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1"/>
  <workbookPr/>
  <mc:AlternateContent xmlns:mc="http://schemas.openxmlformats.org/markup-compatibility/2006">
    <mc:Choice Requires="x15">
      <x15ac:absPath xmlns:x15ac="http://schemas.microsoft.com/office/spreadsheetml/2010/11/ac" url="https://uctcloud-my.sharepoint.com/personal/01405439_wf_uct_ac_za/Documents/Energy Systems Research Group/Projects/Active/WB-CCDR/WIP/JuneModelRuns/"/>
    </mc:Choice>
  </mc:AlternateContent>
  <xr:revisionPtr revIDLastSave="25" documentId="13_ncr:1_{6069A9CE-6C31-475E-9C5B-F4485FC46D5C}" xr6:coauthVersionLast="47" xr6:coauthVersionMax="47" xr10:uidLastSave="{BC640335-182B-0146-80AA-068BF15D716D}"/>
  <bookViews>
    <workbookView xWindow="28940" yWindow="500" windowWidth="32180" windowHeight="20200" firstSheet="15" activeTab="24"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2" i="64" l="1"/>
  <c r="C13" i="64"/>
  <c r="C14" i="64"/>
  <c r="AA19" i="47"/>
  <c r="AB19" i="47"/>
  <c r="AC19" i="47"/>
  <c r="AD19" i="47"/>
  <c r="AE19" i="47"/>
  <c r="AF19" i="47"/>
  <c r="Z19" i="47"/>
  <c r="AF5" i="47"/>
  <c r="AE5" i="47" s="1"/>
  <c r="AD5" i="47" s="1"/>
  <c r="AC5" i="47" s="1"/>
  <c r="AB5" i="47" s="1"/>
  <c r="AA5" i="47" s="1"/>
  <c r="Z5" i="47" s="1"/>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6" i="64" l="1"/>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A29" i="69"/>
  <c r="AU29" i="69"/>
  <c r="Y29" i="69"/>
  <c r="AG29" i="69"/>
  <c r="AR29" i="69"/>
  <c r="AZ29" i="69"/>
  <c r="AK42" i="36"/>
  <c r="AJ83" i="36"/>
  <c r="BH29" i="50"/>
  <c r="BG29" i="50"/>
  <c r="AH29" i="50"/>
  <c r="AK29" i="50"/>
  <c r="AL29" i="50"/>
  <c r="AZ29" i="50"/>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T47" i="50" l="1"/>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Y32" i="69"/>
  <c r="AF32" i="69"/>
  <c r="AF30" i="69"/>
  <c r="AZ32" i="69"/>
  <c r="AZ30" i="69"/>
  <c r="AG32" i="69"/>
  <c r="AG30" i="69"/>
  <c r="AE30" i="69"/>
  <c r="AU32" i="69"/>
  <c r="AU30" i="69"/>
  <c r="AR32" i="69"/>
  <c r="AR30" i="69"/>
  <c r="Y32" i="69"/>
  <c r="Y30" i="69"/>
  <c r="AA32" i="69"/>
  <c r="AA30" i="69"/>
  <c r="P4" i="50"/>
  <c r="P4" i="57" s="1"/>
  <c r="P4" i="69"/>
  <c r="AH32" i="69"/>
  <c r="AH30"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BB30" i="69" l="1"/>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BD18" i="70"/>
  <c r="BD17" i="70"/>
  <c r="AY53" i="69"/>
  <c r="AG18" i="70"/>
  <c r="AG17" i="70"/>
  <c r="AB53" i="69"/>
  <c r="AE17" i="70"/>
  <c r="AE18" i="70"/>
  <c r="Z53" i="69"/>
  <c r="O4" i="50"/>
  <c r="O4" i="57" s="1"/>
  <c r="O4" i="69"/>
  <c r="AS18" i="70"/>
  <c r="AS17" i="70"/>
  <c r="AN53" i="69"/>
  <c r="AU17" i="70"/>
  <c r="AU18" i="70"/>
  <c r="AM17" i="70"/>
  <c r="AM18" i="70"/>
  <c r="AH53" i="69"/>
  <c r="BG17" i="70"/>
  <c r="BG18" i="70"/>
  <c r="BB53" i="69"/>
  <c r="AF18" i="70"/>
  <c r="AF17" i="70"/>
  <c r="AA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C53" i="69" l="1"/>
  <c r="AY18" i="70"/>
  <c r="AH17" i="70"/>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H78" i="70"/>
  <c r="AH62" i="70"/>
  <c r="AT78" i="70"/>
  <c r="AT62" i="70"/>
  <c r="BP62" i="70"/>
  <c r="BP78" i="70"/>
  <c r="BL79" i="70"/>
  <c r="BL63" i="70"/>
  <c r="BO79" i="70"/>
  <c r="BO63" i="70"/>
  <c r="AX78" i="70"/>
  <c r="AX62" i="70"/>
  <c r="AF79" i="70"/>
  <c r="AF63" i="70"/>
  <c r="AU79" i="70"/>
  <c r="AU63" i="70"/>
  <c r="AN63" i="70"/>
  <c r="AN79" i="70"/>
  <c r="BD78" i="70"/>
  <c r="BD62" i="70"/>
  <c r="AK63" i="70"/>
  <c r="AK79" i="70"/>
  <c r="BC79" i="70"/>
  <c r="BC63" i="70"/>
  <c r="AJ79" i="70"/>
  <c r="AJ63" i="70"/>
  <c r="AR62" i="70"/>
  <c r="AR78" i="70"/>
  <c r="AD79" i="70"/>
  <c r="AD63" i="70"/>
  <c r="AP79" i="70"/>
  <c r="AP63" i="70"/>
  <c r="AO79" i="70"/>
  <c r="AO63" i="70"/>
  <c r="AY79" i="70"/>
  <c r="AY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U78" i="70"/>
  <c r="AU62" i="70"/>
  <c r="AS78" i="70"/>
  <c r="AS62" i="70"/>
  <c r="AG62" i="70"/>
  <c r="AG78" i="70"/>
  <c r="BD63" i="70"/>
  <c r="BD79" i="70"/>
  <c r="BE62" i="70"/>
  <c r="BE78" i="70"/>
  <c r="BC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N79" i="70" l="1"/>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S166" i="65"/>
  <c r="S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B166" i="65"/>
  <c r="AB178" i="65" s="1"/>
  <c r="F166" i="65"/>
  <c r="F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E22" i="50"/>
  <c r="AQ22" i="50"/>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AL22" i="50"/>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22" i="69"/>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W22" i="50"/>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S22" i="69"/>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A20" i="50"/>
  <c r="AA21" i="50" s="1"/>
  <c r="AE23" i="69"/>
  <c r="AE24" i="69" s="1"/>
  <c r="AJ14" i="70"/>
  <c r="AJ13" i="70"/>
  <c r="AS23" i="69"/>
  <c r="AS24" i="69" s="1"/>
  <c r="AX13" i="70"/>
  <c r="AX14" i="70"/>
  <c r="BL14" i="70"/>
  <c r="BL13" i="70"/>
  <c r="AF23" i="69"/>
  <c r="AF24" i="69" s="1"/>
  <c r="AK14" i="70"/>
  <c r="AK13" i="70"/>
  <c r="BI13" i="69"/>
  <c r="AC13" i="69"/>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BK35" i="69"/>
  <c r="AX8" i="50"/>
  <c r="AA205" i="65"/>
  <c r="AX5" i="69" s="1"/>
  <c r="K4" i="50"/>
  <c r="K4" i="57" s="1"/>
  <c r="K4" i="69"/>
  <c r="BI23" i="69"/>
  <c r="BI24" i="69" s="1"/>
  <c r="BN13" i="70"/>
  <c r="AC23" i="69"/>
  <c r="AC24" i="69" s="1"/>
  <c r="AH13" i="70"/>
  <c r="AH14" i="70"/>
  <c r="AS35" i="69"/>
  <c r="Y37" i="69"/>
  <c r="AQ42" i="36"/>
  <c r="AP83" i="36"/>
  <c r="BP14" i="36"/>
  <c r="BP13" i="36"/>
  <c r="BK23" i="50"/>
  <c r="BK24" i="50" s="1"/>
  <c r="BH23" i="50"/>
  <c r="BH24" i="50" s="1"/>
  <c r="BM14" i="36"/>
  <c r="BM13" i="36"/>
  <c r="BJ13" i="36"/>
  <c r="BE23" i="50"/>
  <c r="BE24" i="50" s="1"/>
  <c r="BJ14" i="36"/>
  <c r="AQ23" i="50"/>
  <c r="AQ24" i="50" s="1"/>
  <c r="AV13" i="36"/>
  <c r="AV14" i="36"/>
  <c r="AQ14" i="36"/>
  <c r="AL23" i="50"/>
  <c r="AL24" i="50" s="1"/>
  <c r="AQ13" i="36"/>
  <c r="AK23" i="50"/>
  <c r="AK24" i="50" s="1"/>
  <c r="AP14" i="36"/>
  <c r="AH14" i="36"/>
  <c r="AC23" i="50"/>
  <c r="AC24" i="50" s="1"/>
  <c r="AH13" i="36"/>
  <c r="BB13" i="36"/>
  <c r="AW23" i="50"/>
  <c r="AW24" i="50" s="1"/>
  <c r="BB14" i="36"/>
  <c r="AE14" i="36"/>
  <c r="Z23" i="50"/>
  <c r="Z24" i="50" s="1"/>
  <c r="AE13" i="36"/>
  <c r="AS13" i="36"/>
  <c r="AD13" i="36"/>
  <c r="Y23" i="50"/>
  <c r="Y24" i="50" s="1"/>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BA37" i="69" l="1"/>
  <c r="Y15" i="69"/>
  <c r="Y50" i="69" s="1"/>
  <c r="BJ13" i="70"/>
  <c r="AR14" i="70"/>
  <c r="AZ13" i="70"/>
  <c r="AZ14" i="70"/>
  <c r="BG13" i="36"/>
  <c r="BG14" i="36"/>
  <c r="AS14" i="36"/>
  <c r="BE14" i="70"/>
  <c r="AC131" i="65" s="1"/>
  <c r="AQ37" i="69"/>
  <c r="AV21" i="70" s="1"/>
  <c r="AU13" i="69"/>
  <c r="AM13" i="69"/>
  <c r="AY13" i="69"/>
  <c r="AX13" i="36"/>
  <c r="AX14" i="36"/>
  <c r="AE1556" i="67" s="1"/>
  <c r="AX23" i="69"/>
  <c r="AX24" i="69" s="1"/>
  <c r="BD23" i="69"/>
  <c r="BD24" i="69" s="1"/>
  <c r="AQ14" i="70"/>
  <c r="BC14" i="70"/>
  <c r="AP14" i="70"/>
  <c r="BA23" i="50"/>
  <c r="BA24" i="50" s="1"/>
  <c r="BG35" i="69"/>
  <c r="AM35" i="69"/>
  <c r="BI14" i="70"/>
  <c r="BI59" i="70" s="1"/>
  <c r="AI13" i="70"/>
  <c r="BK13" i="70"/>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AN141" i="65" s="1"/>
  <c r="AW471" i="67" s="1"/>
  <c r="BO13" i="70"/>
  <c r="BO74" i="70" s="1"/>
  <c r="AB35" i="69"/>
  <c r="AY37" i="69"/>
  <c r="AY54" i="69" s="1"/>
  <c r="AG13" i="70"/>
  <c r="AR20" i="50"/>
  <c r="AR21" i="50" s="1"/>
  <c r="J206" i="65"/>
  <c r="AD8" i="50"/>
  <c r="AD51" i="50" s="1"/>
  <c r="AH13" i="69"/>
  <c r="BJ23" i="69"/>
  <c r="BJ24" i="69" s="1"/>
  <c r="AD13" i="70"/>
  <c r="B130" i="65" s="1"/>
  <c r="B140" i="65" s="1"/>
  <c r="K470" i="67"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N1089" i="67" s="1"/>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108" i="67"/>
  <c r="AI1210" i="67"/>
  <c r="AI1194" i="67"/>
  <c r="AI1388" i="67"/>
  <c r="AI1402" i="67"/>
  <c r="AI1420" i="67"/>
  <c r="AI1540" i="67"/>
  <c r="AI1556"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W1388" i="67"/>
  <c r="AW1402" i="67"/>
  <c r="AW1420" i="67"/>
  <c r="AW1540" i="67"/>
  <c r="AW1556"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E141" i="65" s="1"/>
  <c r="AN471" i="67" s="1"/>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S1075" i="67"/>
  <c r="AM51" i="50"/>
  <c r="Y54" i="69"/>
  <c r="AD19" i="70"/>
  <c r="AD21" i="70"/>
  <c r="BG54" i="69"/>
  <c r="BL21" i="70"/>
  <c r="BL19" i="70"/>
  <c r="AH74" i="70"/>
  <c r="AH58" i="70"/>
  <c r="F130" i="65"/>
  <c r="F140" i="65" s="1"/>
  <c r="O470" i="67" s="1"/>
  <c r="AM54" i="69"/>
  <c r="AR21" i="70"/>
  <c r="AR19" i="70"/>
  <c r="BC58" i="70"/>
  <c r="BC74" i="70"/>
  <c r="AA130" i="65"/>
  <c r="BK54" i="69"/>
  <c r="BP21" i="70"/>
  <c r="BP19" i="70"/>
  <c r="AY74" i="70"/>
  <c r="AY58" i="70"/>
  <c r="W130" i="65"/>
  <c r="AP75" i="70"/>
  <c r="AP59" i="70"/>
  <c r="N131" i="65"/>
  <c r="N141" i="65" s="1"/>
  <c r="W471" i="67" s="1"/>
  <c r="AD75" i="70"/>
  <c r="B131" i="65"/>
  <c r="B141" i="65" s="1"/>
  <c r="K471" i="67" s="1"/>
  <c r="AD59" i="70"/>
  <c r="BJ74" i="70"/>
  <c r="BJ58" i="70"/>
  <c r="AH130" i="65"/>
  <c r="AH140" i="65" s="1"/>
  <c r="AQ470" i="67" s="1"/>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T141" i="65" s="1"/>
  <c r="AC471" i="67" s="1"/>
  <c r="AV75" i="70"/>
  <c r="AV59" i="70"/>
  <c r="AJ54" i="69"/>
  <c r="AO21" i="70"/>
  <c r="AO19" i="70"/>
  <c r="AU54" i="69"/>
  <c r="AZ21" i="70"/>
  <c r="AZ19" i="70"/>
  <c r="AI75" i="70"/>
  <c r="AI59" i="70"/>
  <c r="G131" i="65"/>
  <c r="W1077" i="67"/>
  <c r="W1091" i="67"/>
  <c r="W1195" i="67"/>
  <c r="W1109" i="67"/>
  <c r="W1211" i="67"/>
  <c r="W1389" i="67"/>
  <c r="W1403" i="67"/>
  <c r="W1421" i="67"/>
  <c r="W1541" i="67"/>
  <c r="W1557" i="67"/>
  <c r="AZ54" i="69"/>
  <c r="BE21" i="70"/>
  <c r="BE19" i="70"/>
  <c r="BN74" i="70"/>
  <c r="BN58" i="70"/>
  <c r="AL130" i="65"/>
  <c r="BC59" i="70"/>
  <c r="BC75" i="70"/>
  <c r="AA131" i="65"/>
  <c r="AV54" i="69"/>
  <c r="BA21" i="70"/>
  <c r="BA19" i="70"/>
  <c r="BE58" i="70"/>
  <c r="BE74" i="70"/>
  <c r="AC130" i="65"/>
  <c r="BJ75" i="70"/>
  <c r="BJ59" i="70"/>
  <c r="AH131" i="65"/>
  <c r="AH141" i="65" s="1"/>
  <c r="AQ471" i="67" s="1"/>
  <c r="AH51" i="50"/>
  <c r="AH9" i="50"/>
  <c r="AM10" i="36" s="1"/>
  <c r="BI60" i="70"/>
  <c r="BI76" i="70"/>
  <c r="AZ76" i="70"/>
  <c r="AZ60" i="70"/>
  <c r="AU60" i="70"/>
  <c r="AU76" i="70"/>
  <c r="BB76" i="70"/>
  <c r="BB60" i="70"/>
  <c r="BL75" i="70"/>
  <c r="BL59" i="70"/>
  <c r="AJ131" i="65"/>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AN1387" i="67"/>
  <c r="AN1401" i="67"/>
  <c r="AN1419" i="67"/>
  <c r="AN1539" i="67"/>
  <c r="AN1555" i="67"/>
  <c r="O1075" i="67"/>
  <c r="O1089" i="67"/>
  <c r="O1107" i="67"/>
  <c r="O1193" i="67"/>
  <c r="O1209" i="67"/>
  <c r="O1387" i="67"/>
  <c r="O1401" i="67"/>
  <c r="O1419" i="67"/>
  <c r="O1539" i="67"/>
  <c r="O1555" i="67"/>
  <c r="T1388" i="67"/>
  <c r="T1402" i="67"/>
  <c r="T1420" i="67"/>
  <c r="T1556" i="67"/>
  <c r="T1540" i="67"/>
  <c r="AL1075" i="67"/>
  <c r="AL1089" i="67"/>
  <c r="AL1107" i="67"/>
  <c r="AL1209" i="67"/>
  <c r="AL1193"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N1076" i="67"/>
  <c r="AN1090" i="67"/>
  <c r="AN1108" i="67"/>
  <c r="AN1210" i="67"/>
  <c r="AN1194" i="67"/>
  <c r="AN1388" i="67"/>
  <c r="AN1402" i="67"/>
  <c r="AN1420" i="67"/>
  <c r="AN1540" i="67"/>
  <c r="AN1556" i="67"/>
  <c r="AS1075" i="67"/>
  <c r="AS1089" i="67"/>
  <c r="AS1107" i="67"/>
  <c r="AS1209" i="67"/>
  <c r="AS1193" i="67"/>
  <c r="AQ1076" i="67"/>
  <c r="AQ1090" i="67"/>
  <c r="AQ1108" i="67"/>
  <c r="AQ1210" i="67"/>
  <c r="AQ1194" i="67"/>
  <c r="AQ1388" i="67"/>
  <c r="AQ1420" i="67"/>
  <c r="AQ1402" i="67"/>
  <c r="AQ1540" i="67"/>
  <c r="AQ1556" i="67"/>
  <c r="AT1388" i="67"/>
  <c r="AT1402" i="67"/>
  <c r="AT1420" i="67"/>
  <c r="AT1540" i="67"/>
  <c r="AT1556" i="67"/>
  <c r="AR1089" i="67"/>
  <c r="AR1075" i="67"/>
  <c r="AR1107" i="67"/>
  <c r="AR1193" i="67"/>
  <c r="AR1209" i="67"/>
  <c r="AR1387" i="67"/>
  <c r="AR1401" i="67"/>
  <c r="AR1419" i="67"/>
  <c r="AR1539" i="67"/>
  <c r="AR1555" i="67"/>
  <c r="T1193" i="67"/>
  <c r="AB1387" i="67"/>
  <c r="AB1401" i="67"/>
  <c r="AB1419" i="67"/>
  <c r="AB1539" i="67"/>
  <c r="AB1555" i="67"/>
  <c r="AG1076" i="67"/>
  <c r="AG1090" i="67"/>
  <c r="AG1194" i="67"/>
  <c r="AG1108" i="67"/>
  <c r="AG1210" i="67"/>
  <c r="AG1420" i="67"/>
  <c r="AG1540" i="67"/>
  <c r="AE1194" i="67"/>
  <c r="P1076" i="67"/>
  <c r="P1090" i="67"/>
  <c r="P1108" i="67"/>
  <c r="P1210" i="67"/>
  <c r="P1194" i="67"/>
  <c r="AE51" i="50"/>
  <c r="BB54" i="69"/>
  <c r="BG19" i="70"/>
  <c r="BG21" i="70"/>
  <c r="BF54" i="69"/>
  <c r="BK19" i="70"/>
  <c r="BK21" i="70"/>
  <c r="AQ75" i="70"/>
  <c r="AQ59" i="70"/>
  <c r="O131" i="65"/>
  <c r="O141" i="65" s="1"/>
  <c r="X471" i="67" s="1"/>
  <c r="AZ74" i="70"/>
  <c r="AZ58" i="70"/>
  <c r="X130" i="65"/>
  <c r="X140" i="65" s="1"/>
  <c r="AG470" i="67" s="1"/>
  <c r="BK58" i="70"/>
  <c r="BK74" i="70"/>
  <c r="AI130" i="65"/>
  <c r="AI140" i="65" s="1"/>
  <c r="AR470" i="67" s="1"/>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AR75" i="70"/>
  <c r="AR59" i="70"/>
  <c r="P131" i="65"/>
  <c r="Y8" i="69"/>
  <c r="Y7" i="69"/>
  <c r="AK74" i="70"/>
  <c r="AK58" i="70"/>
  <c r="I130" i="65"/>
  <c r="AX75" i="70"/>
  <c r="AX59" i="70"/>
  <c r="V131" i="65"/>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R1075" i="67"/>
  <c r="R1089" i="67"/>
  <c r="R1107" i="67"/>
  <c r="R1209" i="67"/>
  <c r="R1193" i="67"/>
  <c r="K1089" i="67"/>
  <c r="K1193" i="67"/>
  <c r="K1075" i="67"/>
  <c r="K1555" i="67"/>
  <c r="K1539" i="67"/>
  <c r="K1401" i="67"/>
  <c r="K1419" i="67"/>
  <c r="K1387" i="67"/>
  <c r="Z1108" i="67"/>
  <c r="Z1090" i="67"/>
  <c r="Z1076" i="67"/>
  <c r="Z1194" i="67"/>
  <c r="Z1210" i="67"/>
  <c r="Z1388" i="67"/>
  <c r="Z1402" i="67"/>
  <c r="Z1420" i="67"/>
  <c r="Z1540" i="67"/>
  <c r="Z1556" i="67"/>
  <c r="AD1209" i="67"/>
  <c r="AD1193" i="67"/>
  <c r="L1388" i="67"/>
  <c r="L1402" i="67"/>
  <c r="L1420" i="67"/>
  <c r="L1540" i="67"/>
  <c r="L1556" i="67"/>
  <c r="Q1076" i="67"/>
  <c r="Q1090" i="67"/>
  <c r="Q1194" i="67"/>
  <c r="Q1108" i="67"/>
  <c r="Q1210" i="67"/>
  <c r="AU1075" i="67"/>
  <c r="AU1089" i="67"/>
  <c r="AU1107" i="67"/>
  <c r="AU1193" i="67"/>
  <c r="AU1209" i="67"/>
  <c r="AS1076" i="67"/>
  <c r="AS1090" i="67"/>
  <c r="AS1194" i="67"/>
  <c r="AS1108" i="67"/>
  <c r="AS1210" i="67"/>
  <c r="O1076" i="67"/>
  <c r="O1090" i="67"/>
  <c r="O1108" i="67"/>
  <c r="O1210" i="67"/>
  <c r="O1194" i="67"/>
  <c r="O1388" i="67"/>
  <c r="O1402" i="67"/>
  <c r="O1420" i="67"/>
  <c r="O1540" i="67"/>
  <c r="O1556" i="67"/>
  <c r="AH1075" i="67"/>
  <c r="AH1089" i="67"/>
  <c r="AH1107" i="67"/>
  <c r="AH1209" i="67"/>
  <c r="AH1193" i="67"/>
  <c r="M1387" i="67"/>
  <c r="M1401" i="67"/>
  <c r="M1419" i="67"/>
  <c r="M1539" i="67"/>
  <c r="M1555" i="67"/>
  <c r="X1076" i="67"/>
  <c r="X1090" i="67"/>
  <c r="X1108" i="67"/>
  <c r="X1210" i="67"/>
  <c r="X1194" i="67"/>
  <c r="X1388" i="67"/>
  <c r="X1402" i="67"/>
  <c r="X1420" i="67"/>
  <c r="X1540" i="67"/>
  <c r="X1556" i="67"/>
  <c r="AC1076" i="67"/>
  <c r="AC1090" i="67"/>
  <c r="AC1194" i="67"/>
  <c r="AC1108" i="67"/>
  <c r="AC1210" i="67"/>
  <c r="AC1388" i="67"/>
  <c r="AC1402" i="67"/>
  <c r="AC1420" i="67"/>
  <c r="AC1540" i="67"/>
  <c r="AC1556" i="67"/>
  <c r="AW1419" i="67"/>
  <c r="AW1401" i="67"/>
  <c r="AW1539" i="67"/>
  <c r="AW1555" i="67"/>
  <c r="AW1387" i="67"/>
  <c r="AE1075" i="67"/>
  <c r="AE1089" i="67"/>
  <c r="AE1107" i="67"/>
  <c r="AE1193" i="67"/>
  <c r="AE1209" i="67"/>
  <c r="AE1387" i="67"/>
  <c r="AE1401" i="67"/>
  <c r="AE1419" i="67"/>
  <c r="AE1539" i="67"/>
  <c r="AE1555" i="67"/>
  <c r="AS54" i="69"/>
  <c r="AX19" i="70"/>
  <c r="AX21" i="70"/>
  <c r="BA74" i="70"/>
  <c r="BA58" i="70"/>
  <c r="Y130" i="65"/>
  <c r="AQ74" i="70"/>
  <c r="AQ58" i="70"/>
  <c r="O130" i="65"/>
  <c r="O140" i="65" s="1"/>
  <c r="X470" i="67" s="1"/>
  <c r="BN75" i="70"/>
  <c r="BN59" i="70"/>
  <c r="AL131" i="65"/>
  <c r="AL141" i="65" s="1"/>
  <c r="AU471" i="67" s="1"/>
  <c r="AZ59" i="70"/>
  <c r="AZ75" i="70"/>
  <c r="X131" i="65"/>
  <c r="BB75" i="70"/>
  <c r="BH21" i="70"/>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BD74" i="70"/>
  <c r="AI54" i="69"/>
  <c r="AN21" i="70"/>
  <c r="AN19" i="70"/>
  <c r="BD54" i="69"/>
  <c r="BI21" i="70"/>
  <c r="BI19" i="70"/>
  <c r="AK59" i="70"/>
  <c r="AK75" i="70"/>
  <c r="I131" i="65"/>
  <c r="AI74" i="70"/>
  <c r="AI58" i="70"/>
  <c r="G130" i="65"/>
  <c r="BL74" i="70"/>
  <c r="BL58" i="70"/>
  <c r="AJ130" i="65"/>
  <c r="AX74" i="70"/>
  <c r="AX58" i="70"/>
  <c r="V130" i="65"/>
  <c r="V140" i="65" s="1"/>
  <c r="AE470" i="67" s="1"/>
  <c r="AJ74" i="70"/>
  <c r="AJ58" i="70"/>
  <c r="H130" i="65"/>
  <c r="H140" i="65" s="1"/>
  <c r="Q470" i="67" s="1"/>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M1209" i="67" l="1"/>
  <c r="M1089" i="67"/>
  <c r="AR1076" i="67"/>
  <c r="BE75" i="70"/>
  <c r="BE59" i="70"/>
  <c r="AQ54" i="69"/>
  <c r="BB58" i="70"/>
  <c r="AQ36" i="69"/>
  <c r="BB74" i="70"/>
  <c r="AV19" i="70"/>
  <c r="AV80" i="70" s="1"/>
  <c r="AK1076" i="67"/>
  <c r="AV1556" i="67"/>
  <c r="AV1059" i="67" s="1"/>
  <c r="AM1556" i="67"/>
  <c r="AM1059" i="67" s="1"/>
  <c r="BI75" i="70"/>
  <c r="V1420" i="67"/>
  <c r="V45" i="67" s="1"/>
  <c r="BC21" i="70"/>
  <c r="Y1420" i="67"/>
  <c r="Y45" i="67" s="1"/>
  <c r="AK1419" i="67"/>
  <c r="AE1540" i="67"/>
  <c r="AE1402" i="67"/>
  <c r="AE1420" i="67"/>
  <c r="AL74" i="70"/>
  <c r="AE1388" i="67"/>
  <c r="AE925" i="67" s="1"/>
  <c r="V141" i="65"/>
  <c r="AE471" i="67" s="1"/>
  <c r="AE1210" i="67"/>
  <c r="AE21" i="70"/>
  <c r="AE1108" i="67"/>
  <c r="AE19" i="70"/>
  <c r="AE64" i="70" s="1"/>
  <c r="AE1090" i="67"/>
  <c r="AE1076" i="67"/>
  <c r="AH1388" i="67"/>
  <c r="AH925" i="67" s="1"/>
  <c r="BC19" i="70"/>
  <c r="V1402" i="67"/>
  <c r="Y1402" i="67"/>
  <c r="Y939" i="67" s="1"/>
  <c r="AJ1401" i="67"/>
  <c r="AJ938" i="67" s="1"/>
  <c r="AV1420" i="67"/>
  <c r="BP22" i="68" s="1"/>
  <c r="AO22" i="62" s="1"/>
  <c r="AM1540" i="67"/>
  <c r="AM1043" i="67" s="1"/>
  <c r="AI21" i="70"/>
  <c r="V1388" i="67"/>
  <c r="V166" i="67" s="1"/>
  <c r="Y1388" i="67"/>
  <c r="Y166" i="67" s="1"/>
  <c r="AJ1387" i="67"/>
  <c r="AJ924" i="67" s="1"/>
  <c r="AV1402" i="67"/>
  <c r="AM1420" i="67"/>
  <c r="AM655" i="67" s="1"/>
  <c r="AY21" i="70"/>
  <c r="AI19" i="70"/>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Y1194" i="67"/>
  <c r="N1555" i="67"/>
  <c r="N1387" i="67"/>
  <c r="AA1556" i="67"/>
  <c r="AA1059" i="67" s="1"/>
  <c r="AA1540" i="67"/>
  <c r="AA1043" i="67" s="1"/>
  <c r="AU21" i="70"/>
  <c r="N1107" i="67"/>
  <c r="AA1402" i="67"/>
  <c r="AA939" i="67" s="1"/>
  <c r="AU19" i="70"/>
  <c r="AU80" i="70" s="1"/>
  <c r="AA1420" i="67"/>
  <c r="N1108" i="67"/>
  <c r="N1539" i="67"/>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J141" i="65"/>
  <c r="AS471" i="67" s="1"/>
  <c r="V1076" i="67"/>
  <c r="AS1388" i="67"/>
  <c r="M131" i="65"/>
  <c r="M141" i="65" s="1"/>
  <c r="V471" i="67" s="1"/>
  <c r="AN1193" i="67"/>
  <c r="V1108" i="67"/>
  <c r="AO59" i="70"/>
  <c r="BG58" i="70"/>
  <c r="U131" i="65"/>
  <c r="U141" i="65" s="1"/>
  <c r="AD471" i="67" s="1"/>
  <c r="V1090" i="67"/>
  <c r="AO75" i="70"/>
  <c r="AW75" i="70"/>
  <c r="AA1555" i="67"/>
  <c r="AA1058" i="67" s="1"/>
  <c r="AA1539" i="67"/>
  <c r="AA1419" i="67"/>
  <c r="AA1401" i="67"/>
  <c r="AA938" i="67" s="1"/>
  <c r="AT1193" i="67"/>
  <c r="AU1419" i="67"/>
  <c r="AU197" i="67" s="1"/>
  <c r="AB130" i="65"/>
  <c r="AB140" i="65" s="1"/>
  <c r="AK470" i="67" s="1"/>
  <c r="AG1556" i="67"/>
  <c r="AG300" i="67" s="1"/>
  <c r="BA75" i="70"/>
  <c r="AW74" i="70"/>
  <c r="V1075" i="67"/>
  <c r="AK1388" i="67"/>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L140" i="65"/>
  <c r="AU470" i="67" s="1"/>
  <c r="AU1539" i="67"/>
  <c r="AU1042" i="67" s="1"/>
  <c r="AM1193" i="67"/>
  <c r="AS1401" i="67"/>
  <c r="AS938" i="67" s="1"/>
  <c r="AF1090" i="67"/>
  <c r="AH1108" i="67"/>
  <c r="AY59" i="70"/>
  <c r="AM1107" i="67"/>
  <c r="AF1076" i="67"/>
  <c r="AH1076" i="67"/>
  <c r="AD1107" i="67"/>
  <c r="X141" i="65"/>
  <c r="AG471" i="67" s="1"/>
  <c r="AH1539" i="67"/>
  <c r="AH1401" i="67"/>
  <c r="AH938" i="67" s="1"/>
  <c r="AU1401" i="67"/>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AA141" i="65"/>
  <c r="AJ471" i="67" s="1"/>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G141" i="65"/>
  <c r="P471"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I140" i="65"/>
  <c r="R470" i="67" s="1"/>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X1059" i="67"/>
  <c r="X908" i="67"/>
  <c r="X453" i="67"/>
  <c r="X757" i="67"/>
  <c r="X605" i="67"/>
  <c r="X300" i="67"/>
  <c r="X147" i="67"/>
  <c r="M924" i="67"/>
  <c r="M773" i="67"/>
  <c r="M318" i="67"/>
  <c r="M622" i="67"/>
  <c r="M12" i="67"/>
  <c r="M165" i="67"/>
  <c r="O1059" i="67"/>
  <c r="O908" i="67"/>
  <c r="O453" i="67"/>
  <c r="O757" i="67"/>
  <c r="O300" i="67"/>
  <c r="O147" i="67"/>
  <c r="O605" i="67"/>
  <c r="AS925" i="67"/>
  <c r="AS319" i="67"/>
  <c r="AS623" i="67"/>
  <c r="AS774" i="67"/>
  <c r="AS13" i="67"/>
  <c r="AS166" i="67"/>
  <c r="N924" i="67"/>
  <c r="N622" i="67"/>
  <c r="N318" i="67"/>
  <c r="N773" i="67"/>
  <c r="N12" i="67"/>
  <c r="N16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AH13" i="67"/>
  <c r="O924" i="67"/>
  <c r="O318" i="67"/>
  <c r="O622" i="67"/>
  <c r="O773" i="67"/>
  <c r="O12" i="67"/>
  <c r="O165" i="67"/>
  <c r="K925" i="67"/>
  <c r="K319" i="67"/>
  <c r="K623" i="67"/>
  <c r="K13" i="67"/>
  <c r="K774" i="67"/>
  <c r="K166" i="67"/>
  <c r="T1044" i="67"/>
  <c r="T438" i="67"/>
  <c r="T742" i="67"/>
  <c r="T893" i="67"/>
  <c r="T285" i="67"/>
  <c r="T590" i="67"/>
  <c r="T132" i="67"/>
  <c r="F165" i="65"/>
  <c r="F177" i="65" s="1"/>
  <c r="O619" i="67"/>
  <c r="O770" i="67"/>
  <c r="AB300" i="67"/>
  <c r="AB147" i="67"/>
  <c r="AY80" i="70"/>
  <c r="AY64" i="70"/>
  <c r="AP80" i="70"/>
  <c r="AP64" i="70"/>
  <c r="BC80" i="70"/>
  <c r="BC64" i="70"/>
  <c r="O165" i="65"/>
  <c r="O177" i="65" s="1"/>
  <c r="AE938" i="67"/>
  <c r="AE787" i="67"/>
  <c r="AE332" i="67"/>
  <c r="AE636" i="67"/>
  <c r="AE484" i="67"/>
  <c r="AE179" i="67"/>
  <c r="AE26" i="67"/>
  <c r="AY14" i="68"/>
  <c r="X15" i="62" s="1"/>
  <c r="Y1043" i="67"/>
  <c r="Y892" i="67"/>
  <c r="Y437" i="67"/>
  <c r="Y741" i="67"/>
  <c r="Y131" i="67"/>
  <c r="Y284" i="67"/>
  <c r="Y589" i="67"/>
  <c r="L1043" i="67"/>
  <c r="L437" i="67"/>
  <c r="L741" i="67"/>
  <c r="L892" i="67"/>
  <c r="L589" i="67"/>
  <c r="L131" i="67"/>
  <c r="L284" i="67"/>
  <c r="AD283" i="67"/>
  <c r="Z1043" i="67"/>
  <c r="Z437" i="67"/>
  <c r="Z741" i="67"/>
  <c r="Z892" i="67"/>
  <c r="Z284" i="67"/>
  <c r="Z589" i="67"/>
  <c r="Z131" i="67"/>
  <c r="K938" i="67"/>
  <c r="K636" i="67"/>
  <c r="K332" i="67"/>
  <c r="K787" i="67"/>
  <c r="K484" i="67"/>
  <c r="K26" i="67"/>
  <c r="K179" i="67"/>
  <c r="AE14" i="68"/>
  <c r="D15" i="62" s="1"/>
  <c r="R654" i="67"/>
  <c r="R502" i="67"/>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BP14" i="68"/>
  <c r="AO15" i="62" s="1"/>
  <c r="AR93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G1043" i="67"/>
  <c r="AG892" i="67"/>
  <c r="AG437" i="67"/>
  <c r="AG741" i="67"/>
  <c r="AG284" i="67"/>
  <c r="AG131" i="67"/>
  <c r="AG589" i="67"/>
  <c r="AB956" i="67"/>
  <c r="AB350" i="67"/>
  <c r="AB805" i="67"/>
  <c r="AB197" i="67"/>
  <c r="AB654" i="67"/>
  <c r="AB502" i="67"/>
  <c r="AB44" i="67"/>
  <c r="AV22" i="68"/>
  <c r="U22" i="62" s="1"/>
  <c r="AR938" i="67"/>
  <c r="AR332" i="67"/>
  <c r="AR787" i="67"/>
  <c r="AR636" i="67"/>
  <c r="AR484" i="67"/>
  <c r="AR26" i="67"/>
  <c r="AR179" i="67"/>
  <c r="BL14" i="68"/>
  <c r="AK15" i="62" s="1"/>
  <c r="AT939" i="67"/>
  <c r="AT333" i="67"/>
  <c r="AT637" i="67"/>
  <c r="AT788" i="67"/>
  <c r="AT485" i="67"/>
  <c r="AT27" i="67"/>
  <c r="AT180" i="67"/>
  <c r="AQ957" i="67"/>
  <c r="AQ351" i="67"/>
  <c r="AQ655" i="67"/>
  <c r="AQ198" i="67"/>
  <c r="AQ503" i="67"/>
  <c r="AQ806" i="67"/>
  <c r="AQ45" i="67"/>
  <c r="AN939" i="67"/>
  <c r="AN333" i="67"/>
  <c r="AN788" i="67"/>
  <c r="AN485" i="67"/>
  <c r="AN637" i="67"/>
  <c r="AN27" i="67"/>
  <c r="AN180"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AH284" i="67"/>
  <c r="AH131" i="67"/>
  <c r="O1042" i="67"/>
  <c r="O436" i="67"/>
  <c r="O891" i="67"/>
  <c r="O588" i="67"/>
  <c r="O130" i="67"/>
  <c r="O740" i="67"/>
  <c r="O283" i="67"/>
  <c r="AN1042" i="67"/>
  <c r="AN436" i="67"/>
  <c r="AN891" i="67"/>
  <c r="AN588" i="67"/>
  <c r="AN740" i="67"/>
  <c r="AN130" i="67"/>
  <c r="AN283"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BA22" i="68"/>
  <c r="Z22" i="62" s="1"/>
  <c r="AV1043" i="67"/>
  <c r="AV892" i="67"/>
  <c r="AV437" i="67"/>
  <c r="AV741" i="67"/>
  <c r="AV284" i="67"/>
  <c r="AV131" i="67"/>
  <c r="AV589" i="67"/>
  <c r="AB957" i="67"/>
  <c r="AB351" i="67"/>
  <c r="AB806" i="67"/>
  <c r="AB655" i="67"/>
  <c r="AB503" i="67"/>
  <c r="AB198" i="67"/>
  <c r="AB45"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BK14" i="68"/>
  <c r="AJ15" i="62" s="1"/>
  <c r="AC938" i="67"/>
  <c r="AC332" i="67"/>
  <c r="AC636" i="67"/>
  <c r="AC787" i="67"/>
  <c r="AC484" i="67"/>
  <c r="AC26" i="67"/>
  <c r="AC179" i="67"/>
  <c r="AW14" i="68"/>
  <c r="V15" i="62" s="1"/>
  <c r="W939" i="67"/>
  <c r="W333" i="67"/>
  <c r="W637" i="67"/>
  <c r="W788" i="67"/>
  <c r="W485" i="67"/>
  <c r="W27" i="67"/>
  <c r="W180" i="67"/>
  <c r="N939" i="67"/>
  <c r="N333" i="67"/>
  <c r="N637" i="67"/>
  <c r="N788" i="67"/>
  <c r="N27" i="67"/>
  <c r="N180" i="67"/>
  <c r="N485" i="67"/>
  <c r="AI1059" i="67"/>
  <c r="AI453" i="67"/>
  <c r="AI757" i="67"/>
  <c r="AI908" i="67"/>
  <c r="AI147" i="67"/>
  <c r="AI605" i="67"/>
  <c r="AI300" i="67"/>
  <c r="AI925" i="67"/>
  <c r="AI319" i="67"/>
  <c r="AI623" i="67"/>
  <c r="AI13" i="67"/>
  <c r="AI774" i="67"/>
  <c r="AI166"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G165" i="65"/>
  <c r="G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X165" i="65"/>
  <c r="X177" i="65" s="1"/>
  <c r="AE957" i="67"/>
  <c r="AE351" i="67"/>
  <c r="AE655" i="67"/>
  <c r="AE503" i="67"/>
  <c r="AE45" i="67"/>
  <c r="AE806" i="67"/>
  <c r="AE198" i="67"/>
  <c r="AG774" i="67"/>
  <c r="AG13" i="67"/>
  <c r="AG166" i="67"/>
  <c r="AQ939" i="67"/>
  <c r="AQ333" i="67"/>
  <c r="AQ788" i="67"/>
  <c r="AQ637" i="67"/>
  <c r="AQ27" i="67"/>
  <c r="AQ485" i="67"/>
  <c r="AQ180" i="67"/>
  <c r="AS956" i="67"/>
  <c r="AS350" i="67"/>
  <c r="AN957" i="67"/>
  <c r="AN351" i="67"/>
  <c r="AN655" i="67"/>
  <c r="AN806" i="67"/>
  <c r="AN503" i="67"/>
  <c r="AN45" i="67"/>
  <c r="AN198" i="67"/>
  <c r="AI956" i="67"/>
  <c r="AI350" i="67"/>
  <c r="AI805" i="67"/>
  <c r="AI502" i="67"/>
  <c r="AI654" i="67"/>
  <c r="AI44" i="67"/>
  <c r="AI197" i="67"/>
  <c r="BC22" i="68"/>
  <c r="AB22" i="62" s="1"/>
  <c r="AK956" i="67"/>
  <c r="AK350" i="67"/>
  <c r="AK805" i="67"/>
  <c r="AK654" i="67"/>
  <c r="AK502" i="67"/>
  <c r="AK44" i="67"/>
  <c r="AK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Z165" i="65"/>
  <c r="Z177" i="65"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A956" i="67"/>
  <c r="AA350" i="67"/>
  <c r="AA805" i="67"/>
  <c r="AA654" i="67"/>
  <c r="AA502" i="67"/>
  <c r="AA44" i="67"/>
  <c r="AA197" i="67"/>
  <c r="AQ956" i="67"/>
  <c r="AQ350" i="67"/>
  <c r="AQ805" i="67"/>
  <c r="AQ654" i="67"/>
  <c r="AQ502" i="67"/>
  <c r="AQ44" i="67"/>
  <c r="AQ197" i="67"/>
  <c r="BK22" i="68"/>
  <c r="AJ22" i="62" s="1"/>
  <c r="W957" i="67"/>
  <c r="W351" i="67"/>
  <c r="W655" i="67"/>
  <c r="W45" i="67"/>
  <c r="W806" i="67"/>
  <c r="W503" i="67"/>
  <c r="W198" i="67"/>
  <c r="AM300" i="67"/>
  <c r="AK925" i="67"/>
  <c r="AK774" i="67"/>
  <c r="AK319" i="67"/>
  <c r="AK623" i="67"/>
  <c r="AK166" i="67"/>
  <c r="AK13"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I80" i="70"/>
  <c r="AI64" i="70"/>
  <c r="V939" i="67"/>
  <c r="V637" i="67"/>
  <c r="V333" i="67"/>
  <c r="V788" i="67"/>
  <c r="V180" i="67"/>
  <c r="V485" i="67"/>
  <c r="V27" i="67"/>
  <c r="AW924" i="67"/>
  <c r="AW318" i="67"/>
  <c r="AW622" i="67"/>
  <c r="AW773" i="67"/>
  <c r="AW12" i="67"/>
  <c r="AW165" i="67"/>
  <c r="X1043" i="67"/>
  <c r="X892" i="67"/>
  <c r="X437" i="67"/>
  <c r="X741" i="67"/>
  <c r="X284" i="67"/>
  <c r="X589" i="67"/>
  <c r="X131" i="67"/>
  <c r="O1043" i="67"/>
  <c r="O892" i="67"/>
  <c r="O437" i="67"/>
  <c r="O741" i="67"/>
  <c r="O589" i="67"/>
  <c r="O131" i="67"/>
  <c r="O284" i="67"/>
  <c r="N1058" i="67"/>
  <c r="N907" i="67"/>
  <c r="N452" i="67"/>
  <c r="N756" i="67"/>
  <c r="N604" i="67"/>
  <c r="N299" i="67"/>
  <c r="N146"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1058" i="67"/>
  <c r="AE452" i="67"/>
  <c r="AE756" i="67"/>
  <c r="AE907" i="67"/>
  <c r="AE604" i="67"/>
  <c r="AE299" i="67"/>
  <c r="AE146" i="67"/>
  <c r="AE924" i="67"/>
  <c r="AE318" i="67"/>
  <c r="AE622" i="67"/>
  <c r="AE773" i="67"/>
  <c r="AE12" i="67"/>
  <c r="AE165" i="67"/>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957" i="67"/>
  <c r="L351" i="67"/>
  <c r="L806" i="67"/>
  <c r="L655" i="67"/>
  <c r="L503" i="67"/>
  <c r="L45" i="67"/>
  <c r="L198" i="67"/>
  <c r="Z957" i="67"/>
  <c r="Z351" i="67"/>
  <c r="Z655" i="67"/>
  <c r="Z806" i="67"/>
  <c r="Z503" i="67"/>
  <c r="Z45" i="67"/>
  <c r="Z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E1043" i="67"/>
  <c r="AE892" i="67"/>
  <c r="AE437" i="67"/>
  <c r="AE741" i="67"/>
  <c r="AE589" i="67"/>
  <c r="AE131" i="67"/>
  <c r="AE284" i="67"/>
  <c r="AG957" i="67"/>
  <c r="AG351" i="67"/>
  <c r="AG806" i="67"/>
  <c r="AG655" i="67"/>
  <c r="AG503" i="67"/>
  <c r="AG45" i="67"/>
  <c r="AG198" i="67"/>
  <c r="AB938" i="67"/>
  <c r="AB636" i="67"/>
  <c r="AB787" i="67"/>
  <c r="AB332" i="67"/>
  <c r="AB484" i="67"/>
  <c r="AB26" i="67"/>
  <c r="AB179" i="67"/>
  <c r="AL925" i="67"/>
  <c r="AL319" i="67"/>
  <c r="AL774" i="67"/>
  <c r="AL623" i="67"/>
  <c r="AL13" i="67"/>
  <c r="AL166" i="67"/>
  <c r="AP924" i="67"/>
  <c r="AP622" i="67"/>
  <c r="AP773" i="67"/>
  <c r="AP318" i="67"/>
  <c r="AP12" i="67"/>
  <c r="AP165" i="67"/>
  <c r="T1058"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925" i="67"/>
  <c r="AQ319" i="67"/>
  <c r="AQ623" i="67"/>
  <c r="AQ13" i="67"/>
  <c r="AQ774" i="67"/>
  <c r="AQ166" i="67"/>
  <c r="AS924" i="67"/>
  <c r="AS773" i="67"/>
  <c r="AS318" i="67"/>
  <c r="AS622" i="67"/>
  <c r="AS165" i="67"/>
  <c r="AS12" i="67"/>
  <c r="AN1059" i="67"/>
  <c r="AN908" i="67"/>
  <c r="AN453" i="67"/>
  <c r="AN757" i="67"/>
  <c r="AN605" i="67"/>
  <c r="AN300" i="67"/>
  <c r="AN147" i="67"/>
  <c r="AN925" i="67"/>
  <c r="AN319" i="67"/>
  <c r="AN623" i="67"/>
  <c r="AN774" i="67"/>
  <c r="AN13" i="67"/>
  <c r="AN166"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AH351" i="67"/>
  <c r="AH503" i="67"/>
  <c r="O956" i="67"/>
  <c r="O350" i="67"/>
  <c r="O654" i="67"/>
  <c r="O805" i="67"/>
  <c r="O502" i="67"/>
  <c r="O44" i="67"/>
  <c r="O197" i="67"/>
  <c r="AI22" i="68"/>
  <c r="H22" i="62" s="1"/>
  <c r="AN956" i="67"/>
  <c r="AN350" i="67"/>
  <c r="AN502" i="67"/>
  <c r="AN654" i="67"/>
  <c r="AN44" i="67"/>
  <c r="AN805" i="67"/>
  <c r="AN197" i="67"/>
  <c r="BH22" i="68"/>
  <c r="AG22" i="62" s="1"/>
  <c r="Z956" i="67"/>
  <c r="Z350" i="67"/>
  <c r="Z805" i="67"/>
  <c r="Z654" i="67"/>
  <c r="Z502" i="67"/>
  <c r="Z44" i="67"/>
  <c r="Z197" i="67"/>
  <c r="AT22" i="68"/>
  <c r="S22" i="62" s="1"/>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AK165" i="65"/>
  <c r="AK177" i="65" s="1"/>
  <c r="T1384" i="67"/>
  <c r="T1398" i="67"/>
  <c r="T1416" i="67"/>
  <c r="T1536" i="67"/>
  <c r="T1552" i="67"/>
  <c r="W958" i="67"/>
  <c r="W352" i="67"/>
  <c r="W656" i="67"/>
  <c r="W807" i="67"/>
  <c r="W504" i="67"/>
  <c r="W46" i="67"/>
  <c r="W199" i="67"/>
  <c r="AQ23" i="68"/>
  <c r="AO64" i="70"/>
  <c r="AO80" i="70"/>
  <c r="AW64" i="70"/>
  <c r="AW80" i="70"/>
  <c r="AH165" i="65"/>
  <c r="AH177" i="65" s="1"/>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B333" i="67"/>
  <c r="AB485" i="67"/>
  <c r="AP939" i="67"/>
  <c r="AP788" i="67"/>
  <c r="AP333" i="67"/>
  <c r="AP637" i="67"/>
  <c r="AP485" i="67"/>
  <c r="AP27" i="67"/>
  <c r="AP180" i="67"/>
  <c r="U939" i="67"/>
  <c r="U333" i="67"/>
  <c r="U637" i="67"/>
  <c r="U27" i="67"/>
  <c r="U788" i="67"/>
  <c r="U485" i="67"/>
  <c r="U180" i="67"/>
  <c r="AW1059" i="67"/>
  <c r="AW757" i="67"/>
  <c r="AW908" i="67"/>
  <c r="AW453" i="67"/>
  <c r="AW300" i="67"/>
  <c r="AW147" i="67"/>
  <c r="AW605" i="67"/>
  <c r="AW925" i="67"/>
  <c r="AW319" i="67"/>
  <c r="AW774" i="67"/>
  <c r="AW623" i="67"/>
  <c r="AW13" i="67"/>
  <c r="AW166"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131" i="67"/>
  <c r="AJ284"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E956" i="67"/>
  <c r="AE350" i="67"/>
  <c r="AE654" i="67"/>
  <c r="AE805" i="67"/>
  <c r="AE502" i="67"/>
  <c r="AE44" i="67"/>
  <c r="AE197" i="67"/>
  <c r="AY22" i="68"/>
  <c r="X22" i="62" s="1"/>
  <c r="AC925" i="67"/>
  <c r="AC774" i="67"/>
  <c r="AC319" i="67"/>
  <c r="AC623" i="67"/>
  <c r="AC13" i="67"/>
  <c r="AC166" i="67"/>
  <c r="X925" i="67"/>
  <c r="X319" i="67"/>
  <c r="X623" i="67"/>
  <c r="X774" i="67"/>
  <c r="X13" i="67"/>
  <c r="X166" i="67"/>
  <c r="AH924" i="67"/>
  <c r="AH318" i="67"/>
  <c r="AH773" i="67"/>
  <c r="AH622" i="67"/>
  <c r="AH12" i="67"/>
  <c r="AH165" i="67"/>
  <c r="O925" i="67"/>
  <c r="O319" i="67"/>
  <c r="O774" i="67"/>
  <c r="O166" i="67"/>
  <c r="O623" i="67"/>
  <c r="O13" i="67"/>
  <c r="N1042" i="67"/>
  <c r="N436" i="67"/>
  <c r="N891" i="67"/>
  <c r="N588" i="67"/>
  <c r="N130" i="67"/>
  <c r="N740" i="67"/>
  <c r="N283" i="67"/>
  <c r="AU146" i="67"/>
  <c r="Q300" i="67"/>
  <c r="Q147"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D10" i="70" s="1"/>
  <c r="AQ80" i="70"/>
  <c r="AQ64" i="70"/>
  <c r="AF80" i="70"/>
  <c r="AF64" i="70"/>
  <c r="AK80" i="70"/>
  <c r="AK64" i="70"/>
  <c r="BG80" i="70"/>
  <c r="BG64" i="70"/>
  <c r="AG908" i="67"/>
  <c r="AG453" i="67"/>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O1058" i="67"/>
  <c r="O452" i="67"/>
  <c r="O756" i="67"/>
  <c r="O907" i="67"/>
  <c r="O604" i="67"/>
  <c r="O299" i="67"/>
  <c r="O146" i="67"/>
  <c r="AN1058" i="67"/>
  <c r="AN907" i="67"/>
  <c r="AN452" i="67"/>
  <c r="AN756" i="67"/>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P14" i="68"/>
  <c r="O15" i="62" s="1"/>
  <c r="AW957" i="67"/>
  <c r="AW351" i="67"/>
  <c r="AW655" i="67"/>
  <c r="AW806" i="67"/>
  <c r="AW45" i="67"/>
  <c r="AW198" i="67"/>
  <c r="AW503" i="67"/>
  <c r="AC956" i="67"/>
  <c r="AC350" i="67"/>
  <c r="AC805" i="67"/>
  <c r="AC654" i="67"/>
  <c r="AC197" i="67"/>
  <c r="AC502" i="67"/>
  <c r="AC44"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BQ22" i="68"/>
  <c r="AP22" i="62" s="1"/>
  <c r="AA925" i="67"/>
  <c r="AA319" i="67"/>
  <c r="AA623" i="67"/>
  <c r="AA13" i="67"/>
  <c r="AA774" i="67"/>
  <c r="AA166" i="67"/>
  <c r="AC1043" i="67"/>
  <c r="AC741" i="67"/>
  <c r="AC437" i="67"/>
  <c r="AC892" i="67"/>
  <c r="AC284" i="67"/>
  <c r="AC589" i="67"/>
  <c r="AC131" i="67"/>
  <c r="M1042" i="67"/>
  <c r="M436" i="67"/>
  <c r="M891" i="67"/>
  <c r="M130" i="67"/>
  <c r="M283" i="67"/>
  <c r="M588" i="67"/>
  <c r="M740" i="67"/>
  <c r="AH1042" i="67"/>
  <c r="AH436" i="67"/>
  <c r="AH891" i="67"/>
  <c r="AH588" i="67"/>
  <c r="AH130" i="67"/>
  <c r="AH740" i="67"/>
  <c r="AH283"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E1042" i="67"/>
  <c r="AE436" i="67"/>
  <c r="AE891" i="67"/>
  <c r="AE588" i="67"/>
  <c r="AE130" i="67"/>
  <c r="AE740" i="67"/>
  <c r="AE283" i="67"/>
  <c r="AW1042" i="67"/>
  <c r="AW436" i="67"/>
  <c r="AW891" i="67"/>
  <c r="AW588" i="67"/>
  <c r="AW740" i="67"/>
  <c r="AW130" i="67"/>
  <c r="AW283" i="67"/>
  <c r="AA27" i="67"/>
  <c r="AA180"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AU938" i="67"/>
  <c r="AU787" i="67"/>
  <c r="AU332" i="67"/>
  <c r="AU636" i="67"/>
  <c r="AU484" i="67"/>
  <c r="AU179" i="67"/>
  <c r="AU26" i="67"/>
  <c r="BO14" i="68"/>
  <c r="AN15" i="62" s="1"/>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R1043" i="67"/>
  <c r="AR741"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I165" i="65"/>
  <c r="I177" i="65" s="1"/>
  <c r="AE165" i="65"/>
  <c r="AE177" i="65" s="1"/>
  <c r="AG64" i="70"/>
  <c r="AG80" i="70"/>
  <c r="U737" i="67"/>
  <c r="U280" i="67"/>
  <c r="U888" i="67"/>
  <c r="U433" i="67"/>
  <c r="U585" i="67"/>
  <c r="U127" i="67"/>
  <c r="U770" i="67"/>
  <c r="U619" i="67"/>
  <c r="P1043" i="67"/>
  <c r="AE939" i="67"/>
  <c r="AE788" i="67"/>
  <c r="AE333" i="67"/>
  <c r="AE637" i="67"/>
  <c r="AE485" i="67"/>
  <c r="AE27" i="67"/>
  <c r="AE180" i="67"/>
  <c r="AG939" i="67"/>
  <c r="AG333" i="67"/>
  <c r="AG788" i="67"/>
  <c r="AG180" i="67"/>
  <c r="AG637" i="67"/>
  <c r="AG485" i="67"/>
  <c r="AG27" i="67"/>
  <c r="AB1058" i="67"/>
  <c r="AB756" i="67"/>
  <c r="AB452" i="67"/>
  <c r="AB907" i="67"/>
  <c r="AB299" i="67"/>
  <c r="AB604" i="67"/>
  <c r="AB146" i="67"/>
  <c r="AB924" i="67"/>
  <c r="AB318" i="67"/>
  <c r="AB622" i="67"/>
  <c r="AB12" i="67"/>
  <c r="AB773" i="67"/>
  <c r="AB165" i="67"/>
  <c r="T1042" i="67"/>
  <c r="T740" i="67"/>
  <c r="AR1042" i="67"/>
  <c r="AR436" i="67"/>
  <c r="AR891" i="67"/>
  <c r="AR130" i="67"/>
  <c r="AR283" i="67"/>
  <c r="AR588" i="67"/>
  <c r="AR740" i="67"/>
  <c r="AT1043" i="67"/>
  <c r="AT892" i="67"/>
  <c r="AT437" i="67"/>
  <c r="AT741" i="67"/>
  <c r="AT284" i="67"/>
  <c r="AT131" i="67"/>
  <c r="AT589" i="67"/>
  <c r="AQ1043" i="67"/>
  <c r="AQ437" i="67"/>
  <c r="AQ741" i="67"/>
  <c r="AQ892" i="67"/>
  <c r="AQ284" i="67"/>
  <c r="AQ589" i="67"/>
  <c r="AQ131" i="67"/>
  <c r="AS1042" i="67"/>
  <c r="AS436" i="67"/>
  <c r="AS588" i="67"/>
  <c r="AN1043" i="67"/>
  <c r="AN892" i="67"/>
  <c r="AN437" i="67"/>
  <c r="AN741" i="67"/>
  <c r="AN284" i="67"/>
  <c r="AN589" i="67"/>
  <c r="AN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O938" i="67"/>
  <c r="O787" i="67"/>
  <c r="O332" i="67"/>
  <c r="O636" i="67"/>
  <c r="O484" i="67"/>
  <c r="O26" i="67"/>
  <c r="O179" i="67"/>
  <c r="AI14" i="68"/>
  <c r="H15" i="62" s="1"/>
  <c r="AN938" i="67"/>
  <c r="AN332" i="67"/>
  <c r="AN636" i="67"/>
  <c r="AN787" i="67"/>
  <c r="AN179" i="67"/>
  <c r="AN484" i="67"/>
  <c r="AN26" i="67"/>
  <c r="BH14" i="68"/>
  <c r="AG15" i="62" s="1"/>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AV64" i="70"/>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S503" i="67"/>
  <c r="S45" i="67"/>
  <c r="AG938" i="67"/>
  <c r="AG332" i="67"/>
  <c r="AG787" i="67"/>
  <c r="AG484" i="67"/>
  <c r="AG636" i="67"/>
  <c r="AG26" i="67"/>
  <c r="AG179" i="67"/>
  <c r="BA14" i="68"/>
  <c r="Z15" i="62" s="1"/>
  <c r="AV939" i="67"/>
  <c r="AV333" i="67"/>
  <c r="AV788" i="67"/>
  <c r="AV637" i="67"/>
  <c r="AV485" i="67"/>
  <c r="AV27" i="67"/>
  <c r="AV180" i="67"/>
  <c r="AB925" i="67"/>
  <c r="AB774" i="67"/>
  <c r="AB319" i="67"/>
  <c r="AB623" i="67"/>
  <c r="AB13" i="67"/>
  <c r="AB166" i="67"/>
  <c r="AP1059" i="67"/>
  <c r="AP908" i="67"/>
  <c r="AP453" i="67"/>
  <c r="AP757" i="67"/>
  <c r="AP605" i="67"/>
  <c r="AP147" i="67"/>
  <c r="AP300" i="67"/>
  <c r="AP925" i="67"/>
  <c r="AP319" i="67"/>
  <c r="AP623" i="67"/>
  <c r="AP774" i="67"/>
  <c r="AP13" i="67"/>
  <c r="AP166" i="67"/>
  <c r="U774" i="67"/>
  <c r="U13" i="67"/>
  <c r="AW1043" i="67"/>
  <c r="AW892" i="67"/>
  <c r="AW437" i="67"/>
  <c r="AW741" i="67"/>
  <c r="AW284" i="67"/>
  <c r="AW131" i="67"/>
  <c r="AW589" i="67"/>
  <c r="AA1042" i="67"/>
  <c r="AA436" i="67"/>
  <c r="AA891" i="67"/>
  <c r="AA588" i="67"/>
  <c r="AA130" i="67"/>
  <c r="AA740" i="67"/>
  <c r="AA283" i="67"/>
  <c r="AQ1042" i="67"/>
  <c r="AQ436" i="67"/>
  <c r="AQ891" i="67"/>
  <c r="AQ588" i="67"/>
  <c r="AQ130" i="67"/>
  <c r="AQ740" i="67"/>
  <c r="AQ283" i="67"/>
  <c r="AC1042" i="67"/>
  <c r="AC436" i="67"/>
  <c r="AC891" i="67"/>
  <c r="AC588" i="67"/>
  <c r="AC130" i="67"/>
  <c r="AC740" i="67"/>
  <c r="AC283" i="67"/>
  <c r="W1043" i="67"/>
  <c r="W892" i="67"/>
  <c r="W437" i="67"/>
  <c r="W741" i="67"/>
  <c r="W589" i="67"/>
  <c r="W284" i="67"/>
  <c r="W131" i="67"/>
  <c r="AI957" i="67"/>
  <c r="AI351" i="67"/>
  <c r="AI655" i="67"/>
  <c r="AI198" i="67"/>
  <c r="AI806" i="67"/>
  <c r="AI503" i="67"/>
  <c r="AI45" i="67"/>
  <c r="AM939" i="67"/>
  <c r="AM788" i="67"/>
  <c r="AK939" i="67"/>
  <c r="AK333" i="67"/>
  <c r="AK637" i="67"/>
  <c r="AK27" i="67"/>
  <c r="AK788" i="67"/>
  <c r="AK485" i="67"/>
  <c r="AK180" i="67"/>
  <c r="AF636"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H1058" i="67" l="1"/>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S1347" i="67" s="1"/>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H1362" i="67" s="1"/>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K1261" i="67" s="1"/>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G1229" i="67" s="1"/>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R198" i="67"/>
  <c r="K1398" i="67"/>
  <c r="K481" i="67" s="1"/>
  <c r="AP197" i="67"/>
  <c r="AZ22" i="68"/>
  <c r="Y22" i="62" s="1"/>
  <c r="R45" i="67"/>
  <c r="K1536" i="67"/>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AS1229" i="67"/>
  <c r="M1228" i="67"/>
  <c r="L1228" i="67"/>
  <c r="AF7" i="68" s="1"/>
  <c r="E9" i="62" s="1"/>
  <c r="AT1228" i="67"/>
  <c r="R1228" i="67"/>
  <c r="K1228" i="67"/>
  <c r="Z1229" i="67"/>
  <c r="AC1229" i="67"/>
  <c r="W1229" i="67"/>
  <c r="AQ1228" i="67"/>
  <c r="T1262" i="67"/>
  <c r="O1228" i="67"/>
  <c r="AI1261" i="67"/>
  <c r="AQ1346" i="67"/>
  <c r="AP1229" i="67"/>
  <c r="Z1260" i="67"/>
  <c r="AO1230" i="67"/>
  <c r="AM1229" i="67"/>
  <c r="AD1363" i="67"/>
  <c r="AT1244" i="67"/>
  <c r="R1229" i="67"/>
  <c r="AM1228" i="67"/>
  <c r="AO1348" i="67"/>
  <c r="Y1244" i="67"/>
  <c r="AI1229" i="67"/>
  <c r="V1228" i="67"/>
  <c r="W1348" i="67"/>
  <c r="U1364" i="67"/>
  <c r="AF1230" i="67"/>
  <c r="P1262" i="67"/>
  <c r="AE1230" i="67"/>
  <c r="AE1364" i="67"/>
  <c r="Q1364" i="67"/>
  <c r="AF1261" i="67"/>
  <c r="AK1346" i="67"/>
  <c r="AE1243" i="67"/>
  <c r="AJ1262" i="67"/>
  <c r="AR1260" i="67"/>
  <c r="Y10" i="69"/>
  <c r="AI1228" i="67"/>
  <c r="AP1228" i="67"/>
  <c r="AU1229" i="67"/>
  <c r="AC1261" i="67"/>
  <c r="AM1262" i="67"/>
  <c r="AK1229" i="67"/>
  <c r="U1228" i="67"/>
  <c r="AR1364" i="67"/>
  <c r="AP1364" i="67"/>
  <c r="X1230" i="67"/>
  <c r="X1229" i="67"/>
  <c r="AP1243" i="67"/>
  <c r="Q1244" i="67"/>
  <c r="AI1362" i="67"/>
  <c r="Y1228" i="67"/>
  <c r="AQ1229" i="67"/>
  <c r="AT1229" i="67"/>
  <c r="AL1229" i="67"/>
  <c r="AV1228" i="67"/>
  <c r="K1346" i="67"/>
  <c r="N1228" i="67"/>
  <c r="V1243" i="67"/>
  <c r="AN1262" i="67"/>
  <c r="AE1242" i="67"/>
  <c r="AR1346" i="67"/>
  <c r="AB1228" i="67"/>
  <c r="AM1260" i="67"/>
  <c r="AT1346" i="67"/>
  <c r="AV1346" i="67"/>
  <c r="L1243" i="67"/>
  <c r="O1243" i="67"/>
  <c r="AM1348" i="67"/>
  <c r="AG1242" i="67"/>
  <c r="Q1228" i="67"/>
  <c r="AK7" i="68" s="1"/>
  <c r="J9" i="62" s="1"/>
  <c r="AN1242" i="67"/>
  <c r="AN1364" i="67"/>
  <c r="S1364" i="67"/>
  <c r="AK1364" i="67"/>
  <c r="AE1346" i="67"/>
  <c r="M1346" i="67"/>
  <c r="AA1229" i="67"/>
  <c r="Z1348" i="67"/>
  <c r="O1362" i="67"/>
  <c r="AV1244" i="67"/>
  <c r="P1244" i="67"/>
  <c r="AL1244" i="67"/>
  <c r="AU1244" i="67"/>
  <c r="AM1364" i="67"/>
  <c r="N1262" i="67"/>
  <c r="AH1230" i="67"/>
  <c r="AO1262" i="67"/>
  <c r="Y1230" i="67"/>
  <c r="Y1364" i="67"/>
  <c r="M1229" i="67"/>
  <c r="AG7" i="68" s="1"/>
  <c r="F9" i="62" s="1"/>
  <c r="T1363" i="67"/>
  <c r="AV1348" i="67"/>
  <c r="O1348" i="67"/>
  <c r="AT1348" i="67"/>
  <c r="AN1229" i="67"/>
  <c r="AS1228" i="67"/>
  <c r="AJ1348" i="67"/>
  <c r="AK1244" i="67"/>
  <c r="AU1363" i="67"/>
  <c r="W1228" i="67"/>
  <c r="AO1229" i="67"/>
  <c r="AR1244" i="67"/>
  <c r="AB1348" i="67"/>
  <c r="AA1348" i="67"/>
  <c r="K1230" i="67"/>
  <c r="AU1260" i="67"/>
  <c r="X1261" i="67"/>
  <c r="AE1228" i="67"/>
  <c r="AQ1243"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347" i="67"/>
  <c r="AN1230" i="67"/>
  <c r="AH1346" i="67"/>
  <c r="AI1243" i="67"/>
  <c r="AW1261" i="67"/>
  <c r="V1242" i="67"/>
  <c r="AD1244" i="67"/>
  <c r="K1348" i="67"/>
  <c r="N1346" i="67"/>
  <c r="O1229" i="67"/>
  <c r="AH1228" i="67"/>
  <c r="AJ1229" i="67"/>
  <c r="AC1228" i="67"/>
  <c r="AA1228" i="67"/>
  <c r="AW1229" i="67"/>
  <c r="AG1346" i="67"/>
  <c r="X1242" i="67"/>
  <c r="AR1228" i="67"/>
  <c r="AE1362" i="67"/>
  <c r="AP1347" i="67"/>
  <c r="AG1228" i="67"/>
  <c r="Z1228" i="67"/>
  <c r="AT7" i="68" s="1"/>
  <c r="S9" i="62" s="1"/>
  <c r="AN1228" i="67"/>
  <c r="AF1348" i="67"/>
  <c r="AF1243" i="67"/>
  <c r="AK1260"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AL1260" i="67"/>
  <c r="V1230" i="67"/>
  <c r="S1230" i="67"/>
  <c r="AP1230" i="67"/>
  <c r="AS1262" i="67"/>
  <c r="AC1364" i="67"/>
  <c r="Z1243" i="67"/>
  <c r="AU1242"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AC1347"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AE1347" i="67"/>
  <c r="S1244" i="67"/>
  <c r="W1362" i="67"/>
  <c r="Z1261"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AE1261"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AA167" i="65"/>
  <c r="AA179" i="65" s="1"/>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O1242" i="67"/>
  <c r="AV1262" i="67"/>
  <c r="V1364" i="67"/>
  <c r="AQ1364" i="67"/>
  <c r="AU1262" i="67"/>
  <c r="AC1230" i="67"/>
  <c r="AM1243" i="67"/>
  <c r="W1347" i="67"/>
  <c r="AA1346"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K888" i="67"/>
  <c r="K585" i="67"/>
  <c r="K280" i="67"/>
  <c r="K737" i="67"/>
  <c r="K433" i="67"/>
  <c r="K127"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75" i="65"/>
  <c r="B80" i="65" s="1"/>
  <c r="K315" i="67" s="1"/>
  <c r="AD71" i="70"/>
  <c r="B39" i="65"/>
  <c r="B41" i="65" s="1"/>
  <c r="K162" i="67" s="1"/>
  <c r="B127" i="65"/>
  <c r="B137" i="65" s="1"/>
  <c r="K467" i="67" s="1"/>
  <c r="AD55" i="70"/>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M167" i="65"/>
  <c r="AM179" i="65" s="1"/>
  <c r="AI1348" i="67"/>
  <c r="U167" i="65"/>
  <c r="U179" i="65" s="1"/>
  <c r="T176" i="67"/>
  <c r="T329" i="67"/>
  <c r="T481" i="67"/>
  <c r="T633" i="67"/>
  <c r="T23" i="67"/>
  <c r="K167" i="65"/>
  <c r="K179" i="65" s="1"/>
  <c r="K1347" i="67"/>
  <c r="AN1260" i="67"/>
  <c r="O1260" i="67"/>
  <c r="AH1261" i="67"/>
  <c r="AF1244" i="67"/>
  <c r="AE1244" i="67"/>
  <c r="AN1363" i="67"/>
  <c r="AQ1363" i="67"/>
  <c r="AR1362" i="67"/>
  <c r="AB1242" i="67"/>
  <c r="AG1261"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N1362"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B1261" i="67"/>
  <c r="AV1347" i="67"/>
  <c r="AG1260" i="67"/>
  <c r="AI1364" i="67"/>
  <c r="S1260" i="67"/>
  <c r="Z1262" i="67"/>
  <c r="AN1346" i="67"/>
  <c r="O1346" i="67"/>
  <c r="O1230" i="67"/>
  <c r="AT1364" i="67"/>
  <c r="AG1230" i="67"/>
  <c r="AI1242" i="67"/>
  <c r="AB1260" i="67"/>
  <c r="AG1347"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T167" i="65"/>
  <c r="T179" i="65" s="1"/>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W1347" i="67"/>
  <c r="AP1363" i="67"/>
  <c r="AV1243" i="67"/>
  <c r="T1364" i="67"/>
  <c r="K1261" i="67"/>
  <c r="AF1364" i="67"/>
  <c r="AQ1347" i="67"/>
  <c r="AT1347" i="67"/>
  <c r="AG1243" i="67"/>
  <c r="AO1347"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AN1362" i="67"/>
  <c r="Q1348" i="67"/>
  <c r="I167" i="65"/>
  <c r="I179" i="65" s="1"/>
  <c r="O167" i="65"/>
  <c r="O179" i="65" s="1"/>
  <c r="S167" i="65"/>
  <c r="S179" i="65" s="1"/>
  <c r="AM1242" i="67"/>
  <c r="AV1260" i="67"/>
  <c r="AR1348" i="67"/>
  <c r="AC1348" i="67"/>
  <c r="Z1363" i="67"/>
  <c r="AE1260"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AA1362" i="67"/>
  <c r="A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P347" i="67"/>
  <c r="P651" i="67"/>
  <c r="P499" i="67"/>
  <c r="P802" i="67"/>
  <c r="P41" i="67"/>
  <c r="P194" i="67"/>
  <c r="Q336" i="67"/>
  <c r="Q640" i="67"/>
  <c r="Q488" i="67"/>
  <c r="Q30" i="67"/>
  <c r="Q183" i="67"/>
  <c r="Y354" i="67"/>
  <c r="Y658" i="67"/>
  <c r="Y48" i="67"/>
  <c r="Y809" i="67"/>
  <c r="AS25" i="68"/>
  <c r="R23" i="62" s="1"/>
  <c r="Y201" i="67"/>
  <c r="Y506" i="67"/>
  <c r="L337" i="67"/>
  <c r="L31" i="67"/>
  <c r="L641" i="67"/>
  <c r="L489" i="67"/>
  <c r="L184" i="67"/>
  <c r="X1347" i="67"/>
  <c r="G167" i="65"/>
  <c r="G179" i="65" s="1"/>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AA1260" i="67"/>
  <c r="Q167" i="65"/>
  <c r="Q179" i="65" s="1"/>
  <c r="Q1346" i="67"/>
  <c r="AN1261" i="67"/>
  <c r="AJ1244" i="67"/>
  <c r="AU1243" i="67"/>
  <c r="W1260" i="67"/>
  <c r="AA1244" i="67"/>
  <c r="K1260" i="67"/>
  <c r="L1363" i="67"/>
  <c r="AC1363" i="67"/>
  <c r="W1243" i="67"/>
  <c r="AW1243" i="67"/>
  <c r="AP1261" i="67"/>
  <c r="V1362" i="67"/>
  <c r="AI1230" i="67"/>
  <c r="Q1242" i="67"/>
  <c r="B167" i="65"/>
  <c r="B179" i="65" s="1"/>
  <c r="Y167" i="65"/>
  <c r="Y179" i="65" s="1"/>
  <c r="AD1230" i="67"/>
  <c r="P1364" i="67"/>
  <c r="V1262" i="67"/>
  <c r="AQ1261" i="67"/>
  <c r="AT1243" i="67"/>
  <c r="AR1242" i="67"/>
  <c r="AE1363" i="67"/>
  <c r="AJ1230" i="67"/>
  <c r="AM1362" i="67"/>
  <c r="Z1347" i="67"/>
  <c r="N167" i="65"/>
  <c r="N179" i="65" s="1"/>
  <c r="AA1384" i="67"/>
  <c r="AA1398" i="67"/>
  <c r="AA1416" i="67"/>
  <c r="AA1536" i="67"/>
  <c r="AA1552" i="67"/>
  <c r="AN1348" i="67"/>
  <c r="O1363" i="67"/>
  <c r="X1363" i="67"/>
  <c r="Z744" i="67"/>
  <c r="Z440" i="67"/>
  <c r="Z895" i="67"/>
  <c r="Z592" i="67"/>
  <c r="Z134" i="67"/>
  <c r="Z287" i="67"/>
  <c r="AA744" i="67"/>
  <c r="AA440" i="67"/>
  <c r="AA895" i="67"/>
  <c r="AA287" i="67"/>
  <c r="AA592" i="67"/>
  <c r="AA134" i="67"/>
  <c r="AT42" i="36"/>
  <c r="AS83" i="36"/>
  <c r="H5" i="47"/>
  <c r="U38" i="55"/>
  <c r="AR1363" i="67" l="1"/>
  <c r="Y1229" i="67"/>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G11" i="50" s="1"/>
  <c r="AD1243" i="67"/>
  <c r="AP1346" i="67"/>
  <c r="AJ1347" i="67"/>
  <c r="P1261" i="67"/>
  <c r="AR1243" i="67"/>
  <c r="AA1242" i="67"/>
  <c r="AA1347" i="67"/>
  <c r="AA1363" i="67"/>
  <c r="Y1363" i="67"/>
  <c r="AH1243" i="67"/>
  <c r="K770" i="67"/>
  <c r="AJ1228" i="67"/>
  <c r="AK1228" i="67"/>
  <c r="S1242" i="67"/>
  <c r="AR1229" i="67"/>
  <c r="V1229" i="67"/>
  <c r="N1347" i="67"/>
  <c r="AF1242" i="67"/>
  <c r="T1228" i="67"/>
  <c r="AJ1363" i="67"/>
  <c r="AS1346" i="67"/>
  <c r="AH1229" i="67"/>
  <c r="AM1261" i="67"/>
  <c r="AN7" i="68"/>
  <c r="M9" i="62" s="1"/>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K1343" i="67"/>
  <c r="M1233" i="67"/>
  <c r="O1350" i="67"/>
  <c r="P1247" i="67"/>
  <c r="AA1246" i="67"/>
  <c r="Z1246" i="67"/>
  <c r="AT17" i="68" s="1"/>
  <c r="S18" i="62" s="1"/>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G17" i="68" l="1"/>
  <c r="F18" i="62" s="1"/>
  <c r="AX11" i="50"/>
  <c r="AL11" i="50"/>
  <c r="BA11" i="50"/>
  <c r="AE11" i="50"/>
  <c r="BF11" i="50"/>
  <c r="BK11" i="50"/>
  <c r="BD11" i="50"/>
  <c r="AN11" i="50"/>
  <c r="Z11" i="50"/>
  <c r="AE8" i="36" s="1"/>
  <c r="AI11" i="50"/>
  <c r="L64" i="65" s="1"/>
  <c r="BG11" i="50"/>
  <c r="AJ100" i="65" s="1"/>
  <c r="AA11" i="50"/>
  <c r="D64" i="65" s="1"/>
  <c r="BC11" i="50"/>
  <c r="AF100" i="65" s="1"/>
  <c r="BI11" i="50"/>
  <c r="AC11" i="50"/>
  <c r="AM11" i="50"/>
  <c r="P100" i="65" s="1"/>
  <c r="AT11" i="50"/>
  <c r="W64" i="65" s="1"/>
  <c r="Y11" i="50"/>
  <c r="AD8" i="36" s="1"/>
  <c r="K1534" i="67" s="1"/>
  <c r="AZ11" i="50"/>
  <c r="AB11" i="50"/>
  <c r="AG8" i="36" s="1"/>
  <c r="AJ11" i="50"/>
  <c r="M100" i="65" s="1"/>
  <c r="AK11" i="50"/>
  <c r="N100" i="65" s="1"/>
  <c r="AW11" i="50"/>
  <c r="Z64" i="65" s="1"/>
  <c r="AO11" i="50"/>
  <c r="R64" i="65" s="1"/>
  <c r="BE11" i="50"/>
  <c r="AV11" i="50"/>
  <c r="BB11" i="50"/>
  <c r="AS11" i="50"/>
  <c r="V64" i="65" s="1"/>
  <c r="AY11" i="50"/>
  <c r="AP11" i="50"/>
  <c r="S100" i="65" s="1"/>
  <c r="BH11" i="50"/>
  <c r="BJ11" i="50"/>
  <c r="AM64" i="65" s="1"/>
  <c r="AR11" i="50"/>
  <c r="U100" i="65" s="1"/>
  <c r="AD11" i="50"/>
  <c r="G64" i="65" s="1"/>
  <c r="AH11" i="50"/>
  <c r="AM8" i="36" s="1"/>
  <c r="AU11" i="50"/>
  <c r="X64" i="65" s="1"/>
  <c r="AF11" i="50"/>
  <c r="AQ11" i="50"/>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I64" i="65"/>
  <c r="I100" i="65"/>
  <c r="T64" i="65"/>
  <c r="T100" i="65"/>
  <c r="AK64" i="65"/>
  <c r="AK100" i="65"/>
  <c r="J64" i="65"/>
  <c r="J100" i="65"/>
  <c r="AN8" i="36"/>
  <c r="AN64" i="65"/>
  <c r="AN100" i="65"/>
  <c r="AI64" i="65"/>
  <c r="AI100" i="65"/>
  <c r="AJ8" i="36"/>
  <c r="H64" i="65"/>
  <c r="H100" i="65"/>
  <c r="AF64" i="65"/>
  <c r="AG64" i="65"/>
  <c r="AG100" i="65"/>
  <c r="Y64" i="65"/>
  <c r="Y100" i="65"/>
  <c r="AS8" i="36"/>
  <c r="Q64" i="65"/>
  <c r="Q100" i="65"/>
  <c r="AH64" i="65"/>
  <c r="AH100" i="65"/>
  <c r="AC64" i="65"/>
  <c r="AC100" i="65"/>
  <c r="AJ9" i="36"/>
  <c r="AL64" i="65"/>
  <c r="AL100" i="65"/>
  <c r="AE64" i="65"/>
  <c r="AE100" i="65"/>
  <c r="AA64" i="65"/>
  <c r="AA100" i="65"/>
  <c r="AH8" i="36"/>
  <c r="F64" i="65"/>
  <c r="F100" i="65"/>
  <c r="O64" i="65"/>
  <c r="O100" i="65"/>
  <c r="P64" i="65"/>
  <c r="AB64" i="65"/>
  <c r="AB100" i="65"/>
  <c r="AD64" i="65"/>
  <c r="AD100" i="65"/>
  <c r="K1350" i="67"/>
  <c r="AS9" i="36"/>
  <c r="AH9" i="36"/>
  <c r="AV42" i="36"/>
  <c r="AU83" i="36"/>
  <c r="F5" i="47"/>
  <c r="U19" i="55"/>
  <c r="U64" i="65" l="1"/>
  <c r="C64" i="65"/>
  <c r="C100" i="65"/>
  <c r="M64" i="65"/>
  <c r="AE9" i="36"/>
  <c r="L1383" i="67" s="1"/>
  <c r="AI8" i="36"/>
  <c r="E100" i="65"/>
  <c r="N64" i="65"/>
  <c r="AN9" i="36"/>
  <c r="U1383" i="67" s="1"/>
  <c r="AM9" i="36"/>
  <c r="AI9" i="36"/>
  <c r="P1415" i="67" s="1"/>
  <c r="E64" i="65"/>
  <c r="G100" i="65"/>
  <c r="G83" i="65" s="1"/>
  <c r="AD11" i="69" s="1"/>
  <c r="L100" i="65"/>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F83" i="65"/>
  <c r="BC11" i="69" s="1"/>
  <c r="T83" i="65"/>
  <c r="AQ11" i="69" s="1"/>
  <c r="I83" i="65"/>
  <c r="AF11" i="69" s="1"/>
  <c r="N83" i="65"/>
  <c r="AK11" i="69" s="1"/>
  <c r="AL83" i="65"/>
  <c r="BI11" i="69" s="1"/>
  <c r="AE17" i="68"/>
  <c r="D18" i="62" s="1"/>
  <c r="O83" i="65"/>
  <c r="AL11" i="69" s="1"/>
  <c r="U83" i="65"/>
  <c r="AR11" i="69" s="1"/>
  <c r="AK83" i="65"/>
  <c r="BH11" i="69" s="1"/>
  <c r="AH83" i="65"/>
  <c r="BE11" i="69" s="1"/>
  <c r="P83" i="65"/>
  <c r="AM11" i="69" s="1"/>
  <c r="C83" i="65"/>
  <c r="Z11" i="69" s="1"/>
  <c r="AC83" i="65"/>
  <c r="AZ11" i="69" s="1"/>
  <c r="AG83" i="65"/>
  <c r="BD11" i="69" s="1"/>
  <c r="AB83" i="65"/>
  <c r="AY11" i="69" s="1"/>
  <c r="AE83" i="65"/>
  <c r="BB11" i="69" s="1"/>
  <c r="AD83" i="65"/>
  <c r="BA11" i="69" s="1"/>
  <c r="AA83" i="65"/>
  <c r="AX11" i="69" s="1"/>
  <c r="Y83" i="65"/>
  <c r="AV11" i="69" s="1"/>
  <c r="L83" i="65"/>
  <c r="AI11" i="69" s="1"/>
  <c r="AI83" i="65"/>
  <c r="BF11" i="69" s="1"/>
  <c r="J83" i="65"/>
  <c r="AG11" i="69" s="1"/>
  <c r="F83" i="65"/>
  <c r="AC11" i="69" s="1"/>
  <c r="Q83" i="65"/>
  <c r="AN11" i="69" s="1"/>
  <c r="M83" i="65"/>
  <c r="AJ11" i="69" s="1"/>
  <c r="H83" i="65"/>
  <c r="AE11" i="69" s="1"/>
  <c r="AN83" i="65"/>
  <c r="BK11" i="69" s="1"/>
  <c r="Z1383" i="67"/>
  <c r="Z1397" i="67"/>
  <c r="Z1415" i="67"/>
  <c r="Z1535" i="67"/>
  <c r="Z1551" i="67"/>
  <c r="P1397" i="67"/>
  <c r="O1396" i="67"/>
  <c r="O1382" i="67"/>
  <c r="O160" i="67" s="1"/>
  <c r="O1414" i="67"/>
  <c r="O1534" i="67"/>
  <c r="O1550" i="67"/>
  <c r="P1382" i="67"/>
  <c r="P160" i="67" s="1"/>
  <c r="P1396" i="67"/>
  <c r="P1414" i="67"/>
  <c r="P1534" i="67"/>
  <c r="P1550" i="67"/>
  <c r="Z1382" i="67"/>
  <c r="Z160" i="67" s="1"/>
  <c r="Z1396" i="67"/>
  <c r="Z1414" i="67"/>
  <c r="Z1534" i="67"/>
  <c r="Z1550" i="67"/>
  <c r="Q1382" i="67"/>
  <c r="Q160" i="67" s="1"/>
  <c r="Q1396" i="67"/>
  <c r="Q1414" i="67"/>
  <c r="Q1550" i="67"/>
  <c r="Q1534" i="67"/>
  <c r="T1382" i="67"/>
  <c r="T160" i="67" s="1"/>
  <c r="T1396" i="67"/>
  <c r="T1414" i="67"/>
  <c r="T1534" i="67"/>
  <c r="T1550" i="67"/>
  <c r="O1383" i="67"/>
  <c r="O1397" i="67"/>
  <c r="O1415" i="67"/>
  <c r="O1551" i="67"/>
  <c r="O1535" i="67"/>
  <c r="L1415" i="67"/>
  <c r="Q1383" i="67"/>
  <c r="Q1397" i="67"/>
  <c r="Q1415" i="67"/>
  <c r="Q1535" i="67"/>
  <c r="Q1551" i="67"/>
  <c r="U1535" i="67"/>
  <c r="U1415" i="67"/>
  <c r="M1396" i="67"/>
  <c r="M1414" i="67"/>
  <c r="E4" i="50"/>
  <c r="E4" i="57" s="1"/>
  <c r="E4" i="69"/>
  <c r="N1382" i="67"/>
  <c r="N160" i="67" s="1"/>
  <c r="N1396" i="67"/>
  <c r="N1414" i="67"/>
  <c r="N1534" i="67"/>
  <c r="N1550" i="67"/>
  <c r="T1383" i="67"/>
  <c r="T1397" i="67"/>
  <c r="T1415" i="67"/>
  <c r="T1535" i="67"/>
  <c r="T1551" i="67"/>
  <c r="L1382" i="67"/>
  <c r="L160" i="67" s="1"/>
  <c r="L1396" i="67"/>
  <c r="L1414" i="67"/>
  <c r="L1534" i="67"/>
  <c r="L1550" i="67"/>
  <c r="AA1396" i="67"/>
  <c r="AA1550" i="67"/>
  <c r="U1382" i="67"/>
  <c r="U160" i="67" s="1"/>
  <c r="U1396" i="67"/>
  <c r="U1414" i="67"/>
  <c r="U1550" i="67"/>
  <c r="U1534"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L1551" i="67" l="1"/>
  <c r="P1383" i="67"/>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P161" i="67"/>
  <c r="P8" i="67"/>
  <c r="D4" i="50"/>
  <c r="D4" i="57" s="1"/>
  <c r="D4" i="69"/>
  <c r="U161" i="67"/>
  <c r="U8" i="67"/>
  <c r="Q8" i="67"/>
  <c r="Q161" i="67"/>
  <c r="AA8" i="67"/>
  <c r="AA161" i="67"/>
  <c r="L161" i="67"/>
  <c r="L8" i="67"/>
  <c r="M8" i="67"/>
  <c r="M161" i="67"/>
  <c r="T161" i="67"/>
  <c r="T8" i="67"/>
  <c r="O8" i="67"/>
  <c r="O161" i="67"/>
  <c r="Z8" i="67"/>
  <c r="Z161"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N8" i="67" l="1"/>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I72"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F72" i="45" l="1"/>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L72"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J43" i="45" l="1"/>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O72" i="45" s="1"/>
  <c r="Q13" i="45"/>
  <c r="T13" i="68" s="1"/>
  <c r="Q15" i="45"/>
  <c r="T15" i="68" s="1"/>
  <c r="S14" i="45"/>
  <c r="V14" i="68" s="1"/>
  <c r="Q25" i="45"/>
  <c r="T25" i="68" s="1"/>
  <c r="Q23" i="45"/>
  <c r="T23" i="68" s="1"/>
  <c r="P50" i="45"/>
  <c r="S50" i="68" s="1"/>
  <c r="T55" i="36"/>
  <c r="T71" i="36"/>
  <c r="T161" i="34"/>
  <c r="T177" i="34"/>
  <c r="S96" i="34"/>
  <c r="S141" i="34"/>
  <c r="S137" i="34"/>
  <c r="S112" i="34"/>
  <c r="S138" i="34"/>
  <c r="S142" i="34"/>
  <c r="S43" i="68" l="1"/>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R11" i="45"/>
  <c r="AR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K1270" i="67" l="1"/>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AU53" i="45"/>
  <c r="BH12" i="45"/>
  <c r="AX5" i="45"/>
  <c r="AX4" i="45" s="1"/>
  <c r="AX58" i="45" s="1"/>
  <c r="AX54" i="45"/>
  <c r="BE12" i="45"/>
  <c r="BE54" i="45"/>
  <c r="AY5" i="45"/>
  <c r="BK45" i="45"/>
  <c r="BB20" i="45"/>
  <c r="BB19" i="45" s="1"/>
  <c r="BB60" i="45" s="1"/>
  <c r="BJ12" i="45"/>
  <c r="BJ11" i="45" s="1"/>
  <c r="BJ59" i="45" s="1"/>
  <c r="BL5" i="45"/>
  <c r="BL4" i="45" s="1"/>
  <c r="BL58" i="45" s="1"/>
  <c r="BI12" i="45"/>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D4" i="45"/>
  <c r="BD58" i="45" s="1"/>
  <c r="BI11" i="45"/>
  <c r="BI59" i="45" s="1"/>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BG52" i="45"/>
  <c r="BG67" i="45" s="1"/>
  <c r="BL52" i="45"/>
  <c r="BL67" i="45" s="1"/>
  <c r="BI19" i="45"/>
  <c r="BI60"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BI71" i="45"/>
  <c r="AZ71" i="45"/>
  <c r="BG71" i="45"/>
  <c r="BD71" i="45"/>
  <c r="BB71" i="45"/>
  <c r="AU67"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AN1269" i="67" s="1"/>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U1251" i="67" l="1"/>
  <c r="BD9" i="70"/>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67" i="67" s="1"/>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AJ126" i="65"/>
  <c r="AJ136" i="65" s="1"/>
  <c r="AS466" i="67" s="1"/>
  <c r="BL54" i="70"/>
  <c r="AS973" i="67" s="1"/>
  <c r="AJ197" i="65"/>
  <c r="AJ198" i="65" s="1"/>
  <c r="BL70" i="70" s="1"/>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Z1269" i="67" l="1"/>
  <c r="AS1038" i="67"/>
  <c r="AS934" i="67"/>
  <c r="AI951" i="67"/>
  <c r="AI933" i="67"/>
  <c r="AI1053" i="67"/>
  <c r="AI1357" i="67" s="1"/>
  <c r="AI1037" i="67"/>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AI1237" i="67"/>
  <c r="AI1341"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AD1342"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AS1238" i="67"/>
  <c r="AS1342"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I1020" i="67" l="1"/>
  <c r="Y951" i="67"/>
  <c r="AW1019" i="67"/>
  <c r="AW1256" i="67"/>
  <c r="AW1358" i="67"/>
  <c r="BF18" i="68"/>
  <c r="AE19" i="62" s="1"/>
  <c r="AQ1139" i="67"/>
  <c r="AQ1171" i="67"/>
  <c r="AQ1237" i="67"/>
  <c r="AB1167" i="67"/>
  <c r="AM1085" i="67"/>
  <c r="AQ7" i="67"/>
  <c r="AQ1223" i="67" s="1"/>
  <c r="BK5" i="68" s="1"/>
  <c r="AJ7" i="62" s="1"/>
  <c r="AO1167" i="67"/>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AM1238" i="67" s="1"/>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Q1292"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B1324" i="67"/>
  <c r="AA1304" i="67"/>
  <c r="AG1304" i="67"/>
  <c r="N1304" i="67"/>
  <c r="AJ1238" i="67"/>
  <c r="R1237" i="67"/>
  <c r="AA1358" i="67"/>
  <c r="S1238" i="67"/>
  <c r="AC1257" i="67"/>
  <c r="W1141" i="67"/>
  <c r="AA1224" i="67"/>
  <c r="AR1141" i="67"/>
  <c r="AP1223" i="67"/>
  <c r="V1124" i="67"/>
  <c r="M1224" i="67"/>
  <c r="Y1238" i="67"/>
  <c r="Y1342" i="67"/>
  <c r="AE1238" i="67"/>
  <c r="V1294" i="67"/>
  <c r="AO1320"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Q1324" i="67" l="1"/>
  <c r="AG1124" i="67"/>
  <c r="AD1016" i="67"/>
  <c r="AD1171" i="67"/>
  <c r="Y972" i="67"/>
  <c r="AI1293" i="67"/>
  <c r="Z1324" i="67"/>
  <c r="AD838" i="67"/>
  <c r="AB1320" i="67"/>
  <c r="AN1320" i="67"/>
  <c r="AG1342" i="67"/>
  <c r="P1255" i="67"/>
  <c r="AQ1276" i="67"/>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D1293" i="67" s="1"/>
  <c r="AX47" i="68" s="1"/>
  <c r="AX56" i="68" s="1"/>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AT51" i="68"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D1320" i="67" l="1"/>
  <c r="AD1324" i="67"/>
  <c r="O989" i="67"/>
  <c r="AV50" i="68"/>
  <c r="T1320" i="67"/>
  <c r="BE51" i="68"/>
  <c r="AJ1320" i="67"/>
  <c r="AJ1293" i="67"/>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BE50" i="68"/>
  <c r="BC71" i="68"/>
  <c r="AM1320" i="67"/>
  <c r="W1140" i="67"/>
  <c r="AU1167" i="67"/>
  <c r="AL1167" i="67"/>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AF71"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F51" i="68"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U1320" i="67" s="1"/>
  <c r="AF1016" i="67"/>
  <c r="N1020" i="67"/>
  <c r="AV1016" i="67"/>
  <c r="W1020" i="67"/>
  <c r="W1324" i="67" s="1"/>
  <c r="AT1020" i="67"/>
  <c r="AF45" i="68"/>
  <c r="AT43" i="68"/>
  <c r="AQ12" i="68"/>
  <c r="BO12" i="68"/>
  <c r="AV49" i="68"/>
  <c r="BC43" i="68"/>
  <c r="BM43" i="68"/>
  <c r="AO12" i="68"/>
  <c r="BC49" i="68"/>
  <c r="AW12" i="68"/>
  <c r="AZ12" i="68"/>
  <c r="AI12" i="68"/>
  <c r="BB12" i="68"/>
  <c r="BF12" i="68"/>
  <c r="BD47" i="68"/>
  <c r="BD56" i="68" s="1"/>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N50" i="68" s="1"/>
  <c r="AM174" i="65"/>
  <c r="AV670" i="67" s="1"/>
  <c r="AV1276" i="67" s="1"/>
  <c r="AK174" i="65"/>
  <c r="AT670" i="67" s="1"/>
  <c r="AT1276" i="67" s="1"/>
  <c r="L174" i="65"/>
  <c r="U670" i="67" s="1"/>
  <c r="U1276" i="67" s="1"/>
  <c r="E174" i="65"/>
  <c r="N670" i="67" s="1"/>
  <c r="AI5" i="68"/>
  <c r="AP717" i="67"/>
  <c r="AP1323" i="67" s="1"/>
  <c r="BJ51" i="68" s="1"/>
  <c r="AJ713" i="67"/>
  <c r="AJ1319" i="67" s="1"/>
  <c r="BD50" i="68"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P50" i="68"/>
  <c r="N1277" i="67"/>
  <c r="AV1277" i="67"/>
  <c r="BJ47" i="68"/>
  <c r="BJ56" i="68" s="1"/>
  <c r="AU1277" i="67"/>
  <c r="AX43" i="68"/>
  <c r="U1277" i="67"/>
  <c r="W1277" i="67"/>
  <c r="AL1277" i="67"/>
  <c r="AR1277" i="67"/>
  <c r="U1292" i="67"/>
  <c r="AL1320" i="67"/>
  <c r="AT1292" i="67"/>
  <c r="AC1292" i="67"/>
  <c r="O1277" i="67"/>
  <c r="AL1292" i="67"/>
  <c r="AF1277" i="67"/>
  <c r="AT1277" i="67"/>
  <c r="AH1292" i="67"/>
  <c r="AF1292" i="67"/>
  <c r="O1293" i="67"/>
  <c r="AH1277" i="67"/>
  <c r="W1276" i="67"/>
  <c r="X1292" i="67"/>
  <c r="O1292" i="67"/>
  <c r="N1292" i="67"/>
  <c r="AR1292" i="67"/>
  <c r="AV1292" i="67"/>
  <c r="AU1292" i="67"/>
  <c r="AC1277" i="67"/>
  <c r="W1292" i="67"/>
  <c r="X1277" i="67"/>
  <c r="O1320" i="67"/>
  <c r="BL5" i="68"/>
  <c r="BB5" i="68"/>
  <c r="BP5" i="68"/>
  <c r="AR5" i="68"/>
  <c r="BQ59" i="68"/>
  <c r="BE49" i="68" l="1"/>
  <c r="Y7" i="62"/>
  <c r="AH1320" i="67"/>
  <c r="BD51" i="68"/>
  <c r="BD49" i="68" s="1"/>
  <c r="AU1293" i="67"/>
  <c r="BO47" i="68" s="1"/>
  <c r="BO56" i="68" s="1"/>
  <c r="AN71" i="68"/>
  <c r="AC1324" i="67"/>
  <c r="BQ71" i="68"/>
  <c r="AP51" i="68"/>
  <c r="AP49" i="68" s="1"/>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AD40" i="62"/>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N49" i="68"/>
  <c r="AH713" i="67"/>
  <c r="AH1319" i="67" s="1"/>
  <c r="BB50" i="68" s="1"/>
  <c r="AC717" i="67"/>
  <c r="AC1323" i="67" s="1"/>
  <c r="AW51" i="68"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F49"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BO50" i="68" s="1"/>
  <c r="AT717" i="67"/>
  <c r="AT1323" i="67" s="1"/>
  <c r="AV717" i="67"/>
  <c r="AV1323" i="67" s="1"/>
  <c r="BP51" i="68" s="1"/>
  <c r="AL713" i="67"/>
  <c r="AL1319" i="67" s="1"/>
  <c r="BF50" i="68" s="1"/>
  <c r="AJ43" i="68"/>
  <c r="AR713" i="67"/>
  <c r="AR1319" i="67" s="1"/>
  <c r="AU717" i="67"/>
  <c r="AU1323" i="67" s="1"/>
  <c r="AT713" i="67"/>
  <c r="AT1319" i="67" s="1"/>
  <c r="BN50" i="68" s="1"/>
  <c r="AV713" i="67"/>
  <c r="AV1319" i="67" s="1"/>
  <c r="BP50" i="68" s="1"/>
  <c r="AN43" i="68"/>
  <c r="BG43" i="68"/>
  <c r="AO45" i="68"/>
  <c r="BJ43" i="68"/>
  <c r="AZ45" i="68"/>
  <c r="BQ65" i="68"/>
  <c r="AW50" i="68" l="1"/>
  <c r="BH72" i="68"/>
  <c r="BH73" i="68" s="1"/>
  <c r="AE5" i="63" s="1"/>
  <c r="AE6" i="63" s="1"/>
  <c r="BF51" i="68"/>
  <c r="BF49" i="68" s="1"/>
  <c r="BL50" i="68"/>
  <c r="BL49" i="68" s="1"/>
  <c r="W40" i="62"/>
  <c r="BN51" i="68"/>
  <c r="BN49" i="68" s="1"/>
  <c r="AS49" i="68"/>
  <c r="AS66" i="68" s="1"/>
  <c r="BO51" i="68"/>
  <c r="BO49" i="68" s="1"/>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BD66" i="68"/>
  <c r="AC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BB49" i="68"/>
  <c r="AQ43" i="68"/>
  <c r="BL43" i="68"/>
  <c r="AO49" i="68"/>
  <c r="AI43" i="68"/>
  <c r="AI49" i="68"/>
  <c r="AW49" i="68"/>
  <c r="AQ49" i="68"/>
  <c r="AR43" i="68"/>
  <c r="AO43" i="68"/>
  <c r="AW43" i="68"/>
  <c r="N1323" i="67"/>
  <c r="AH51" i="68" s="1"/>
  <c r="BB43" i="68"/>
  <c r="BF43" i="68"/>
  <c r="N1319" i="67"/>
  <c r="BP49" i="68"/>
  <c r="AZ43" i="68"/>
  <c r="BQ49" i="68"/>
  <c r="AP40" i="62" s="1"/>
  <c r="AH43" i="68"/>
  <c r="BN43" i="68"/>
  <c r="BP43" i="68"/>
  <c r="R40" i="62" l="1"/>
  <c r="AM72" i="68"/>
  <c r="AM73" i="68" s="1"/>
  <c r="J5" i="63" s="1"/>
  <c r="J6" i="63" s="1"/>
  <c r="AP72" i="68"/>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AW66" i="68"/>
  <c r="V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AF80" i="68" l="1"/>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<sst xmlns="http://schemas.openxmlformats.org/spreadsheetml/2006/main" count="15682" uniqueCount="1448">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</sst>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 #,##0.00_-;_-* &quot;-&quot;??_-;_-@_-"/>
    <numFmt numFmtId="165" formatCode="0.000"/>
    <numFmt numFmtId="166" formatCode="0_ ;\-0\ "/>
    <numFmt numFmtId="167" formatCode="0.0"/>
    <numFmt numFmtId="168" formatCode="0.0000"/>
    <numFmt numFmtId="169" formatCode="#,##0.000"/>
    <numFmt numFmtId="170"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164"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5"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6" fontId="13" fillId="0" borderId="0" xfId="9" applyNumberFormat="1" applyFont="1" applyFill="1" applyProtection="1"/>
    <xf numFmtId="166"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8"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9" fontId="3" fillId="9" borderId="0" xfId="4" applyNumberFormat="1"/>
    <xf numFmtId="0" fontId="4" fillId="0" borderId="1" xfId="0" applyFont="1" applyBorder="1" applyAlignment="1">
      <alignment vertical="center" wrapText="1"/>
    </xf>
    <xf numFmtId="0" fontId="17" fillId="0" borderId="0" xfId="0" applyFont="1"/>
    <xf numFmtId="170"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7"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5"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 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66.758299397044382</c:v>
                </c:pt>
                <c:pt idx="1">
                  <c:v>69.562904957948831</c:v>
                </c:pt>
                <c:pt idx="2">
                  <c:v>72.505988712433634</c:v>
                </c:pt>
                <c:pt idx="3">
                  <c:v>74.236547378686069</c:v>
                </c:pt>
                <c:pt idx="4">
                  <c:v>72.227995799185251</c:v>
                </c:pt>
                <c:pt idx="5">
                  <c:v>73.376760198385327</c:v>
                </c:pt>
                <c:pt idx="6">
                  <c:v>74.745825380001122</c:v>
                </c:pt>
                <c:pt idx="7">
                  <c:v>76.098573381601653</c:v>
                </c:pt>
                <c:pt idx="8">
                  <c:v>76.641958163342665</c:v>
                </c:pt>
                <c:pt idx="9">
                  <c:v>77.466559353366392</c:v>
                </c:pt>
                <c:pt idx="10">
                  <c:v>77.64284126942583</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72.505988712433634</c:v>
                </c:pt>
                <c:pt idx="1">
                  <c:v>74.236547378686069</c:v>
                </c:pt>
                <c:pt idx="2">
                  <c:v>72.227995799185251</c:v>
                </c:pt>
                <c:pt idx="3">
                  <c:v>73.376760198385327</c:v>
                </c:pt>
                <c:pt idx="4">
                  <c:v>74.745825380001122</c:v>
                </c:pt>
                <c:pt idx="5">
                  <c:v>76.098573381601653</c:v>
                </c:pt>
                <c:pt idx="6">
                  <c:v>76.641958163342665</c:v>
                </c:pt>
                <c:pt idx="7">
                  <c:v>77.466559353366392</c:v>
                </c:pt>
                <c:pt idx="8">
                  <c:v>77.64284126942583</c:v>
                </c:pt>
                <c:pt idx="9">
                  <c:v>77.390477552261203</c:v>
                </c:pt>
                <c:pt idx="10">
                  <c:v>76.718703958033785</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1461.9296645871286</c:v>
                </c:pt>
                <c:pt idx="13">
                  <c:v>1500.9290445244412</c:v>
                </c:pt>
                <c:pt idx="14">
                  <c:v>1551.6978906253514</c:v>
                </c:pt>
                <c:pt idx="15">
                  <c:v>1579.6991994235048</c:v>
                </c:pt>
                <c:pt idx="16">
                  <c:v>1592.2732513502281</c:v>
                </c:pt>
                <c:pt idx="17">
                  <c:v>1589.0236047287594</c:v>
                </c:pt>
                <c:pt idx="18">
                  <c:v>1597.0850065537823</c:v>
                </c:pt>
                <c:pt idx="19">
                  <c:v>1606.5563837569268</c:v>
                </c:pt>
                <c:pt idx="20">
                  <c:v>1387.0675919075341</c:v>
                </c:pt>
                <c:pt idx="21">
                  <c:v>1462.1001727341941</c:v>
                </c:pt>
                <c:pt idx="22">
                  <c:v>1518.6119716874177</c:v>
                </c:pt>
                <c:pt idx="23">
                  <c:v>1570.7301107015687</c:v>
                </c:pt>
                <c:pt idx="24">
                  <c:v>1632.2054247159574</c:v>
                </c:pt>
                <c:pt idx="25">
                  <c:v>1689.7762051639522</c:v>
                </c:pt>
                <c:pt idx="26">
                  <c:v>1742.6364130911625</c:v>
                </c:pt>
                <c:pt idx="27">
                  <c:v>1793.0909605135969</c:v>
                </c:pt>
                <c:pt idx="28">
                  <c:v>1839.8390689782104</c:v>
                </c:pt>
                <c:pt idx="29">
                  <c:v>1902.170740186901</c:v>
                </c:pt>
                <c:pt idx="30">
                  <c:v>1963.5393835231448</c:v>
                </c:pt>
                <c:pt idx="31">
                  <c:v>2033.4501008025852</c:v>
                </c:pt>
                <c:pt idx="32">
                  <c:v>2119.2883551418904</c:v>
                </c:pt>
                <c:pt idx="33">
                  <c:v>2213.3395475795983</c:v>
                </c:pt>
                <c:pt idx="34">
                  <c:v>2325.0671915208909</c:v>
                </c:pt>
                <c:pt idx="35">
                  <c:v>2412.1259850421925</c:v>
                </c:pt>
                <c:pt idx="36">
                  <c:v>2498.0981802608453</c:v>
                </c:pt>
                <c:pt idx="37">
                  <c:v>2593.4928588045532</c:v>
                </c:pt>
                <c:pt idx="38">
                  <c:v>2686.1454630800686</c:v>
                </c:pt>
                <c:pt idx="39">
                  <c:v>2784.4443123729561</c:v>
                </c:pt>
                <c:pt idx="40">
                  <c:v>2884.1163567560789</c:v>
                </c:pt>
                <c:pt idx="41">
                  <c:v>3000.1293477773979</c:v>
                </c:pt>
                <c:pt idx="42">
                  <c:v>3112.3034282321591</c:v>
                </c:pt>
                <c:pt idx="43">
                  <c:v>3227.1712410995851</c:v>
                </c:pt>
                <c:pt idx="44">
                  <c:v>3346.4907241170727</c:v>
                </c:pt>
                <c:pt idx="45">
                  <c:v>3470.9847000538762</c:v>
                </c:pt>
                <c:pt idx="46">
                  <c:v>3615.4212580153048</c:v>
                </c:pt>
                <c:pt idx="47">
                  <c:v>3716.2303381647012</c:v>
                </c:pt>
                <c:pt idx="48">
                  <c:v>3814.8567751337796</c:v>
                </c:pt>
                <c:pt idx="49">
                  <c:v>3916.1286390553191</c:v>
                </c:pt>
                <c:pt idx="50">
                  <c:v>4018.0159767707196</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1780.5365679391939</c:v>
                </c:pt>
                <c:pt idx="13">
                  <c:v>1834.6425186756087</c:v>
                </c:pt>
                <c:pt idx="14">
                  <c:v>1905.0768868757136</c:v>
                </c:pt>
                <c:pt idx="15">
                  <c:v>1943.9246182197323</c:v>
                </c:pt>
                <c:pt idx="16">
                  <c:v>1961.3692810630382</c:v>
                </c:pt>
                <c:pt idx="17">
                  <c:v>1956.8608704089575</c:v>
                </c:pt>
                <c:pt idx="18">
                  <c:v>1968.0448895064972</c:v>
                </c:pt>
                <c:pt idx="19">
                  <c:v>1981.1850437649255</c:v>
                </c:pt>
                <c:pt idx="20">
                  <c:v>1676.6763623939066</c:v>
                </c:pt>
                <c:pt idx="21">
                  <c:v>1780.7731231208429</c:v>
                </c:pt>
                <c:pt idx="22">
                  <c:v>1859.1750006661814</c:v>
                </c:pt>
                <c:pt idx="23">
                  <c:v>1931.4813159590387</c:v>
                </c:pt>
                <c:pt idx="24">
                  <c:v>2016.7693466127218</c:v>
                </c:pt>
                <c:pt idx="25">
                  <c:v>2096.6404065060606</c:v>
                </c:pt>
                <c:pt idx="26">
                  <c:v>2169.9762341685387</c:v>
                </c:pt>
                <c:pt idx="27">
                  <c:v>2239.9745587997086</c:v>
                </c:pt>
                <c:pt idx="28">
                  <c:v>2304.8307400434264</c:v>
                </c:pt>
                <c:pt idx="29">
                  <c:v>2391.306841385468</c:v>
                </c:pt>
                <c:pt idx="30">
                  <c:v>2476.4468820335142</c:v>
                </c:pt>
                <c:pt idx="31">
                  <c:v>2573.4378042263529</c:v>
                </c:pt>
                <c:pt idx="32">
                  <c:v>2692.5258607043684</c:v>
                </c:pt>
                <c:pt idx="33">
                  <c:v>2823.008170754305</c:v>
                </c:pt>
                <c:pt idx="34">
                  <c:v>2978.0139787620269</c:v>
                </c:pt>
                <c:pt idx="35">
                  <c:v>3098.7953553122879</c:v>
                </c:pt>
                <c:pt idx="36">
                  <c:v>3218.069235222144</c:v>
                </c:pt>
                <c:pt idx="37">
                  <c:v>3350.4154362668382</c:v>
                </c:pt>
                <c:pt idx="38">
                  <c:v>3478.9574092569096</c:v>
                </c:pt>
                <c:pt idx="39">
                  <c:v>3615.3327235782203</c:v>
                </c:pt>
                <c:pt idx="40">
                  <c:v>3753.6131457761994</c:v>
                </c:pt>
                <c:pt idx="41">
                  <c:v>3914.564247744313</c:v>
                </c:pt>
                <c:pt idx="42">
                  <c:v>4070.1894212917819</c:v>
                </c:pt>
                <c:pt idx="43">
                  <c:v>4229.5517556210634</c:v>
                </c:pt>
                <c:pt idx="44">
                  <c:v>4395.0901329084927</c:v>
                </c:pt>
                <c:pt idx="45">
                  <c:v>4567.80736430664</c:v>
                </c:pt>
                <c:pt idx="46">
                  <c:v>4768.1920191949985</c:v>
                </c:pt>
                <c:pt idx="47">
                  <c:v>4908.0499126567374</c:v>
                </c:pt>
                <c:pt idx="48">
                  <c:v>5044.8797070928176</c:v>
                </c:pt>
                <c:pt idx="49">
                  <c:v>5185.3796455311031</c:v>
                </c:pt>
                <c:pt idx="50">
                  <c:v>5326.7334640778345</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448.98205019678232</c:v>
                </c:pt>
                <c:pt idx="13">
                  <c:v>458.09069820274448</c:v>
                </c:pt>
                <c:pt idx="14">
                  <c:v>468.74154231529377</c:v>
                </c:pt>
                <c:pt idx="15">
                  <c:v>476.91443074207569</c:v>
                </c:pt>
                <c:pt idx="16">
                  <c:v>483.47206766951075</c:v>
                </c:pt>
                <c:pt idx="17">
                  <c:v>488.37546558668771</c:v>
                </c:pt>
                <c:pt idx="18">
                  <c:v>494.66817106631419</c:v>
                </c:pt>
                <c:pt idx="19">
                  <c:v>501.21183128389953</c:v>
                </c:pt>
                <c:pt idx="20">
                  <c:v>481.14868040349938</c:v>
                </c:pt>
                <c:pt idx="21">
                  <c:v>493.8959291867323</c:v>
                </c:pt>
                <c:pt idx="22">
                  <c:v>504.52986135587736</c:v>
                </c:pt>
                <c:pt idx="23">
                  <c:v>514.69810728802929</c:v>
                </c:pt>
                <c:pt idx="24">
                  <c:v>526.0044316568775</c:v>
                </c:pt>
                <c:pt idx="25">
                  <c:v>536.90317644649576</c:v>
                </c:pt>
                <c:pt idx="26">
                  <c:v>546.68755601852013</c:v>
                </c:pt>
                <c:pt idx="27">
                  <c:v>556.22711369221872</c:v>
                </c:pt>
                <c:pt idx="28">
                  <c:v>565.37054105187678</c:v>
                </c:pt>
                <c:pt idx="29">
                  <c:v>576.36723995674538</c:v>
                </c:pt>
                <c:pt idx="30">
                  <c:v>587.28837914536984</c:v>
                </c:pt>
                <c:pt idx="31">
                  <c:v>598.73570760555219</c:v>
                </c:pt>
                <c:pt idx="32">
                  <c:v>612.06818097690427</c:v>
                </c:pt>
                <c:pt idx="33">
                  <c:v>626.38658385122096</c:v>
                </c:pt>
                <c:pt idx="34">
                  <c:v>642.7945221488942</c:v>
                </c:pt>
                <c:pt idx="35">
                  <c:v>656.35514423107873</c:v>
                </c:pt>
                <c:pt idx="36">
                  <c:v>669.32928143483048</c:v>
                </c:pt>
                <c:pt idx="37">
                  <c:v>683.42359991334911</c:v>
                </c:pt>
                <c:pt idx="38">
                  <c:v>697.21997564314916</c:v>
                </c:pt>
                <c:pt idx="39">
                  <c:v>711.69657338239529</c:v>
                </c:pt>
                <c:pt idx="40">
                  <c:v>726.35535294949864</c:v>
                </c:pt>
                <c:pt idx="41">
                  <c:v>742.47752982438328</c:v>
                </c:pt>
                <c:pt idx="42">
                  <c:v>758.16824692286013</c:v>
                </c:pt>
                <c:pt idx="43">
                  <c:v>774.18925404183028</c:v>
                </c:pt>
                <c:pt idx="44">
                  <c:v>790.74561227898459</c:v>
                </c:pt>
                <c:pt idx="45">
                  <c:v>807.9216979082355</c:v>
                </c:pt>
                <c:pt idx="46">
                  <c:v>826.96258036848928</c:v>
                </c:pt>
                <c:pt idx="47">
                  <c:v>840.9281112560185</c:v>
                </c:pt>
                <c:pt idx="48">
                  <c:v>854.65045706701812</c:v>
                </c:pt>
                <c:pt idx="49">
                  <c:v>868.69258665232269</c:v>
                </c:pt>
                <c:pt idx="50">
                  <c:v>882.81788297578998</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419.28599149200954</c:v>
                </c:pt>
                <c:pt idx="13">
                  <c:v>427.66019548096807</c:v>
                </c:pt>
                <c:pt idx="14">
                  <c:v>437.45224598008747</c:v>
                </c:pt>
                <c:pt idx="15">
                  <c:v>444.96614209508408</c:v>
                </c:pt>
                <c:pt idx="16">
                  <c:v>450.995026873585</c:v>
                </c:pt>
                <c:pt idx="17">
                  <c:v>455.5030564264448</c:v>
                </c:pt>
                <c:pt idx="18">
                  <c:v>461.28837157907077</c:v>
                </c:pt>
                <c:pt idx="19">
                  <c:v>467.30440661090245</c:v>
                </c:pt>
                <c:pt idx="20">
                  <c:v>448.85897782457226</c:v>
                </c:pt>
                <c:pt idx="21">
                  <c:v>460.57839672613949</c:v>
                </c:pt>
                <c:pt idx="22">
                  <c:v>470.35489891734062</c:v>
                </c:pt>
                <c:pt idx="23">
                  <c:v>479.70326385470582</c:v>
                </c:pt>
                <c:pt idx="24">
                  <c:v>490.0979422491385</c:v>
                </c:pt>
                <c:pt idx="25">
                  <c:v>500.1179048201065</c:v>
                </c:pt>
                <c:pt idx="26">
                  <c:v>509.11335512051306</c:v>
                </c:pt>
                <c:pt idx="27">
                  <c:v>517.88372388124412</c:v>
                </c:pt>
                <c:pt idx="28">
                  <c:v>526.28990291219156</c:v>
                </c:pt>
                <c:pt idx="29">
                  <c:v>536.39992141046378</c:v>
                </c:pt>
                <c:pt idx="30">
                  <c:v>546.4404726862939</c:v>
                </c:pt>
                <c:pt idx="31">
                  <c:v>556.96478579965913</c:v>
                </c:pt>
                <c:pt idx="32">
                  <c:v>569.22224174877249</c:v>
                </c:pt>
                <c:pt idx="33">
                  <c:v>582.38613021906281</c:v>
                </c:pt>
                <c:pt idx="34">
                  <c:v>597.47107172223889</c:v>
                </c:pt>
                <c:pt idx="35">
                  <c:v>609.93828040777123</c:v>
                </c:pt>
                <c:pt idx="36">
                  <c:v>621.86629337455133</c:v>
                </c:pt>
                <c:pt idx="37">
                  <c:v>634.82416571161014</c:v>
                </c:pt>
                <c:pt idx="38">
                  <c:v>647.50811887282998</c:v>
                </c:pt>
                <c:pt idx="39">
                  <c:v>660.81744671766387</c:v>
                </c:pt>
                <c:pt idx="40">
                  <c:v>674.29426679499591</c:v>
                </c:pt>
                <c:pt idx="41">
                  <c:v>689.11648824959389</c:v>
                </c:pt>
                <c:pt idx="42">
                  <c:v>703.54203917983909</c:v>
                </c:pt>
                <c:pt idx="43">
                  <c:v>718.27124834842198</c:v>
                </c:pt>
                <c:pt idx="44">
                  <c:v>733.49264246766472</c:v>
                </c:pt>
                <c:pt idx="45">
                  <c:v>749.28379442534447</c:v>
                </c:pt>
                <c:pt idx="46">
                  <c:v>766.78938183497735</c:v>
                </c:pt>
                <c:pt idx="47">
                  <c:v>779.6288509186129</c:v>
                </c:pt>
                <c:pt idx="48">
                  <c:v>792.24474330496082</c:v>
                </c:pt>
                <c:pt idx="49">
                  <c:v>805.15463481792278</c:v>
                </c:pt>
                <c:pt idx="50">
                  <c:v>818.14098720960328</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944.20834947610251</c:v>
                </c:pt>
                <c:pt idx="14">
                  <c:v>973.85622853221832</c:v>
                </c:pt>
                <c:pt idx="15">
                  <c:v>993.92642644116029</c:v>
                </c:pt>
                <c:pt idx="16">
                  <c:v>1007.6100166861249</c:v>
                </c:pt>
                <c:pt idx="17">
                  <c:v>1014.7469565614488</c:v>
                </c:pt>
                <c:pt idx="18">
                  <c:v>1026.8981254598255</c:v>
                </c:pt>
                <c:pt idx="19">
                  <c:v>1039.800145818496</c:v>
                </c:pt>
                <c:pt idx="20">
                  <c:v>953.65526470360885</c:v>
                </c:pt>
                <c:pt idx="21">
                  <c:v>992.62961133471219</c:v>
                </c:pt>
                <c:pt idx="22">
                  <c:v>1023.654945741859</c:v>
                </c:pt>
                <c:pt idx="23">
                  <c:v>1052.8522198963133</c:v>
                </c:pt>
                <c:pt idx="24">
                  <c:v>1086.1793821221347</c:v>
                </c:pt>
                <c:pt idx="25">
                  <c:v>1117.8921264527471</c:v>
                </c:pt>
                <c:pt idx="26">
                  <c:v>1146.6499705198808</c:v>
                </c:pt>
                <c:pt idx="27">
                  <c:v>1174.4233242186583</c:v>
                </c:pt>
                <c:pt idx="28">
                  <c:v>1200.6492375399691</c:v>
                </c:pt>
                <c:pt idx="29">
                  <c:v>1233.6850201347581</c:v>
                </c:pt>
                <c:pt idx="30">
                  <c:v>1266.3630044691481</c:v>
                </c:pt>
                <c:pt idx="31">
                  <c:v>1301.9816845558162</c:v>
                </c:pt>
                <c:pt idx="32">
                  <c:v>1344.5459343083878</c:v>
                </c:pt>
                <c:pt idx="33">
                  <c:v>1390.714054895647</c:v>
                </c:pt>
                <c:pt idx="34">
                  <c:v>1444.5861828034379</c:v>
                </c:pt>
                <c:pt idx="35">
                  <c:v>1487.8180535100303</c:v>
                </c:pt>
                <c:pt idx="36">
                  <c:v>1529.835414168132</c:v>
                </c:pt>
                <c:pt idx="37">
                  <c:v>1575.9696874229048</c:v>
                </c:pt>
                <c:pt idx="38">
                  <c:v>1620.9512489090748</c:v>
                </c:pt>
                <c:pt idx="39">
                  <c:v>1668.4143098989077</c:v>
                </c:pt>
                <c:pt idx="40">
                  <c:v>1716.5079766551901</c:v>
                </c:pt>
                <c:pt idx="41">
                  <c:v>1770.9661103878145</c:v>
                </c:pt>
                <c:pt idx="42">
                  <c:v>1823.7872494256935</c:v>
                </c:pt>
                <c:pt idx="43">
                  <c:v>1877.8016007988961</c:v>
                </c:pt>
                <c:pt idx="44">
                  <c:v>1933.7708941501317</c:v>
                </c:pt>
                <c:pt idx="45">
                  <c:v>1992.0084318362219</c:v>
                </c:pt>
                <c:pt idx="46">
                  <c:v>2058.1407639458935</c:v>
                </c:pt>
                <c:pt idx="47">
                  <c:v>2105.3911512940008</c:v>
                </c:pt>
                <c:pt idx="48">
                  <c:v>2151.7142494219643</c:v>
                </c:pt>
                <c:pt idx="49">
                  <c:v>2199.2017484923931</c:v>
                </c:pt>
                <c:pt idx="50">
                  <c:v>2246.9743341746139</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920.44626243808534</c:v>
                </c:pt>
                <c:pt idx="13">
                  <c:v>941.69158339834917</c:v>
                </c:pt>
                <c:pt idx="14">
                  <c:v>967.64007013586559</c:v>
                </c:pt>
                <c:pt idx="15">
                  <c:v>985.20595615670993</c:v>
                </c:pt>
                <c:pt idx="16">
                  <c:v>997.18214033234744</c:v>
                </c:pt>
                <c:pt idx="17">
                  <c:v>1003.4285497078974</c:v>
                </c:pt>
                <c:pt idx="18">
                  <c:v>1014.0635244529055</c:v>
                </c:pt>
                <c:pt idx="19">
                  <c:v>1025.3556611865474</c:v>
                </c:pt>
                <c:pt idx="20">
                  <c:v>949.95973485793286</c:v>
                </c:pt>
                <c:pt idx="21">
                  <c:v>984.07095457609125</c:v>
                </c:pt>
                <c:pt idx="22">
                  <c:v>1011.2250210395671</c:v>
                </c:pt>
                <c:pt idx="23">
                  <c:v>1036.7791282906962</c:v>
                </c:pt>
                <c:pt idx="24">
                  <c:v>1065.9478059346841</c:v>
                </c:pt>
                <c:pt idx="25">
                  <c:v>1093.7035089350777</c:v>
                </c:pt>
                <c:pt idx="26">
                  <c:v>1118.8730171472225</c:v>
                </c:pt>
                <c:pt idx="27">
                  <c:v>1143.1808773737509</c:v>
                </c:pt>
                <c:pt idx="28">
                  <c:v>1166.1343831779684</c:v>
                </c:pt>
                <c:pt idx="29">
                  <c:v>1195.0480388530286</c:v>
                </c:pt>
                <c:pt idx="30">
                  <c:v>1223.6485414894817</c:v>
                </c:pt>
                <c:pt idx="31">
                  <c:v>1254.822806808339</c:v>
                </c:pt>
                <c:pt idx="32">
                  <c:v>1292.0759900160297</c:v>
                </c:pt>
                <c:pt idx="33">
                  <c:v>1332.4833615682091</c:v>
                </c:pt>
                <c:pt idx="34">
                  <c:v>1379.6334526047797</c:v>
                </c:pt>
                <c:pt idx="35">
                  <c:v>1417.4709526008085</c:v>
                </c:pt>
                <c:pt idx="36">
                  <c:v>1454.2454862434531</c:v>
                </c:pt>
                <c:pt idx="37">
                  <c:v>1494.6232338533446</c:v>
                </c:pt>
                <c:pt idx="38">
                  <c:v>1533.9921023463469</c:v>
                </c:pt>
                <c:pt idx="39">
                  <c:v>1575.5328346963918</c:v>
                </c:pt>
                <c:pt idx="40">
                  <c:v>1617.6254873148764</c:v>
                </c:pt>
                <c:pt idx="41">
                  <c:v>1665.2884637536379</c:v>
                </c:pt>
                <c:pt idx="42">
                  <c:v>1711.5187058289871</c:v>
                </c:pt>
                <c:pt idx="43">
                  <c:v>1758.7932740228955</c:v>
                </c:pt>
                <c:pt idx="44">
                  <c:v>1807.7788511525052</c:v>
                </c:pt>
                <c:pt idx="45">
                  <c:v>1858.7496464465921</c:v>
                </c:pt>
                <c:pt idx="46">
                  <c:v>1916.6301423640516</c:v>
                </c:pt>
                <c:pt idx="47">
                  <c:v>1957.9847379870382</c:v>
                </c:pt>
                <c:pt idx="48">
                  <c:v>1998.5277493484587</c:v>
                </c:pt>
                <c:pt idx="49">
                  <c:v>2040.0898704531271</c:v>
                </c:pt>
                <c:pt idx="50">
                  <c:v>2081.9015057355591</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210.25125025039679</c:v>
                </c:pt>
                <c:pt idx="13">
                  <c:v>215.15729984140501</c:v>
                </c:pt>
                <c:pt idx="14">
                  <c:v>221.26625183821389</c:v>
                </c:pt>
                <c:pt idx="15">
                  <c:v>225.16453122577883</c:v>
                </c:pt>
                <c:pt idx="16">
                  <c:v>227.57954482450751</c:v>
                </c:pt>
                <c:pt idx="17">
                  <c:v>228.47375642089818</c:v>
                </c:pt>
                <c:pt idx="18">
                  <c:v>230.50265811419089</c:v>
                </c:pt>
                <c:pt idx="19">
                  <c:v>232.69090070904011</c:v>
                </c:pt>
                <c:pt idx="20">
                  <c:v>212.25936220872001</c:v>
                </c:pt>
                <c:pt idx="21">
                  <c:v>220.59898978525632</c:v>
                </c:pt>
                <c:pt idx="22">
                  <c:v>227.11784278085176</c:v>
                </c:pt>
                <c:pt idx="23">
                  <c:v>233.21296026017237</c:v>
                </c:pt>
                <c:pt idx="24">
                  <c:v>240.24417470895492</c:v>
                </c:pt>
                <c:pt idx="25">
                  <c:v>246.90026764036472</c:v>
                </c:pt>
                <c:pt idx="26">
                  <c:v>252.96051862674076</c:v>
                </c:pt>
                <c:pt idx="27">
                  <c:v>258.79109862040963</c:v>
                </c:pt>
                <c:pt idx="28">
                  <c:v>264.26346493310302</c:v>
                </c:pt>
                <c:pt idx="29">
                  <c:v>271.28513172157716</c:v>
                </c:pt>
                <c:pt idx="30">
                  <c:v>278.22002258932821</c:v>
                </c:pt>
                <c:pt idx="31">
                  <c:v>285.8914743603172</c:v>
                </c:pt>
                <c:pt idx="32">
                  <c:v>295.14434534190559</c:v>
                </c:pt>
                <c:pt idx="33">
                  <c:v>305.21585635948543</c:v>
                </c:pt>
                <c:pt idx="34">
                  <c:v>317.04183358746127</c:v>
                </c:pt>
                <c:pt idx="35">
                  <c:v>326.43514810664323</c:v>
                </c:pt>
                <c:pt idx="36">
                  <c:v>335.61521053188017</c:v>
                </c:pt>
                <c:pt idx="37">
                  <c:v>345.7319570949428</c:v>
                </c:pt>
                <c:pt idx="38">
                  <c:v>355.58256927469643</c:v>
                </c:pt>
                <c:pt idx="39">
                  <c:v>365.99653691689667</c:v>
                </c:pt>
                <c:pt idx="40">
                  <c:v>376.55136953142994</c:v>
                </c:pt>
                <c:pt idx="41">
                  <c:v>388.62035709215291</c:v>
                </c:pt>
                <c:pt idx="42">
                  <c:v>400.31345617786513</c:v>
                </c:pt>
                <c:pt idx="43">
                  <c:v>412.27665016912647</c:v>
                </c:pt>
                <c:pt idx="44">
                  <c:v>424.68379052765607</c:v>
                </c:pt>
                <c:pt idx="45">
                  <c:v>437.60637469500176</c:v>
                </c:pt>
                <c:pt idx="46">
                  <c:v>452.39498869085321</c:v>
                </c:pt>
                <c:pt idx="47">
                  <c:v>462.87221888744563</c:v>
                </c:pt>
                <c:pt idx="48">
                  <c:v>473.13622365415773</c:v>
                </c:pt>
                <c:pt idx="49">
                  <c:v>483.6644251414038</c:v>
                </c:pt>
                <c:pt idx="50">
                  <c:v>494.25611099908059</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232.80307737192558</c:v>
                </c:pt>
                <c:pt idx="13">
                  <c:v>238.5884512506511</c:v>
                </c:pt>
                <c:pt idx="14">
                  <c:v>245.7923269255937</c:v>
                </c:pt>
                <c:pt idx="15">
                  <c:v>250.38930527292382</c:v>
                </c:pt>
                <c:pt idx="16">
                  <c:v>253.23716816784014</c:v>
                </c:pt>
                <c:pt idx="17">
                  <c:v>254.29165168168268</c:v>
                </c:pt>
                <c:pt idx="18">
                  <c:v>256.68419880970004</c:v>
                </c:pt>
                <c:pt idx="19">
                  <c:v>259.26464593191383</c:v>
                </c:pt>
                <c:pt idx="20">
                  <c:v>235.17110856560376</c:v>
                </c:pt>
                <c:pt idx="21">
                  <c:v>245.00546972412539</c:v>
                </c:pt>
                <c:pt idx="22">
                  <c:v>252.69271404164954</c:v>
                </c:pt>
                <c:pt idx="23">
                  <c:v>259.88027560182087</c:v>
                </c:pt>
                <c:pt idx="24">
                  <c:v>268.17171327547561</c:v>
                </c:pt>
                <c:pt idx="25">
                  <c:v>276.02079540671315</c:v>
                </c:pt>
                <c:pt idx="26">
                  <c:v>283.16724125988179</c:v>
                </c:pt>
                <c:pt idx="27">
                  <c:v>290.04285157882674</c:v>
                </c:pt>
                <c:pt idx="28">
                  <c:v>296.49604462813863</c:v>
                </c:pt>
                <c:pt idx="29">
                  <c:v>304.77622338899062</c:v>
                </c:pt>
                <c:pt idx="30">
                  <c:v>312.95407315056519</c:v>
                </c:pt>
                <c:pt idx="31">
                  <c:v>322.00049958072725</c:v>
                </c:pt>
                <c:pt idx="32">
                  <c:v>332.91178718332515</c:v>
                </c:pt>
                <c:pt idx="33">
                  <c:v>344.7884418480466</c:v>
                </c:pt>
                <c:pt idx="34">
                  <c:v>358.73402035800098</c:v>
                </c:pt>
                <c:pt idx="35">
                  <c:v>369.81092356614005</c:v>
                </c:pt>
                <c:pt idx="36">
                  <c:v>380.63635294161475</c:v>
                </c:pt>
                <c:pt idx="37">
                  <c:v>392.56635083868053</c:v>
                </c:pt>
                <c:pt idx="38">
                  <c:v>404.18251438065789</c:v>
                </c:pt>
                <c:pt idx="39">
                  <c:v>416.46300507963116</c:v>
                </c:pt>
                <c:pt idx="40">
                  <c:v>428.90960835375182</c:v>
                </c:pt>
                <c:pt idx="41">
                  <c:v>443.14175258328476</c:v>
                </c:pt>
                <c:pt idx="42">
                  <c:v>456.93063684890967</c:v>
                </c:pt>
                <c:pt idx="43">
                  <c:v>471.0380258467747</c:v>
                </c:pt>
                <c:pt idx="44">
                  <c:v>485.66893089744445</c:v>
                </c:pt>
                <c:pt idx="45">
                  <c:v>500.90766411865297</c:v>
                </c:pt>
                <c:pt idx="46">
                  <c:v>518.3468806465421</c:v>
                </c:pt>
                <c:pt idx="47">
                  <c:v>530.70197261541546</c:v>
                </c:pt>
                <c:pt idx="48">
                  <c:v>542.80562219475996</c:v>
                </c:pt>
                <c:pt idx="49">
                  <c:v>555.22082117397701</c:v>
                </c:pt>
                <c:pt idx="50">
                  <c:v>567.7108829958097</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2896.0855151347182</c:v>
                </c:pt>
                <c:pt idx="14">
                  <c:v>2942.4453105118946</c:v>
                </c:pt>
                <c:pt idx="15">
                  <c:v>2979.877509050561</c:v>
                </c:pt>
                <c:pt idx="16">
                  <c:v>3011.589701515968</c:v>
                </c:pt>
                <c:pt idx="17">
                  <c:v>3037.4479061853235</c:v>
                </c:pt>
                <c:pt idx="18">
                  <c:v>3068.5581134720883</c:v>
                </c:pt>
                <c:pt idx="19">
                  <c:v>3100.7243936023337</c:v>
                </c:pt>
                <c:pt idx="20">
                  <c:v>3034.4019213286388</c:v>
                </c:pt>
                <c:pt idx="21">
                  <c:v>3087.4663209653459</c:v>
                </c:pt>
                <c:pt idx="22">
                  <c:v>3132.7648091122078</c:v>
                </c:pt>
                <c:pt idx="23">
                  <c:v>3176.4050102157362</c:v>
                </c:pt>
                <c:pt idx="24">
                  <c:v>3224.3319717371342</c:v>
                </c:pt>
                <c:pt idx="25">
                  <c:v>3270.8175846532267</c:v>
                </c:pt>
                <c:pt idx="26">
                  <c:v>3312.3507459170596</c:v>
                </c:pt>
                <c:pt idx="27">
                  <c:v>3353.0283579714319</c:v>
                </c:pt>
                <c:pt idx="28">
                  <c:v>3392.2901150628618</c:v>
                </c:pt>
                <c:pt idx="29">
                  <c:v>3438.473819719256</c:v>
                </c:pt>
                <c:pt idx="30">
                  <c:v>3484.4308836629652</c:v>
                </c:pt>
                <c:pt idx="31">
                  <c:v>3531.6549145949753</c:v>
                </c:pt>
                <c:pt idx="32">
                  <c:v>3585.9070564427843</c:v>
                </c:pt>
                <c:pt idx="33">
                  <c:v>3643.854765004512</c:v>
                </c:pt>
                <c:pt idx="34">
                  <c:v>3709.588848375065</c:v>
                </c:pt>
                <c:pt idx="35">
                  <c:v>3764.81148725098</c:v>
                </c:pt>
                <c:pt idx="36">
                  <c:v>3817.1914941945943</c:v>
                </c:pt>
                <c:pt idx="37">
                  <c:v>3873.7548155542349</c:v>
                </c:pt>
                <c:pt idx="38">
                  <c:v>3929.2454811158477</c:v>
                </c:pt>
                <c:pt idx="39">
                  <c:v>3987.2892375753895</c:v>
                </c:pt>
                <c:pt idx="40">
                  <c:v>4046.0403592734533</c:v>
                </c:pt>
                <c:pt idx="41">
                  <c:v>4109.5727838168041</c:v>
                </c:pt>
                <c:pt idx="42">
                  <c:v>4171.5294811842759</c:v>
                </c:pt>
                <c:pt idx="43">
                  <c:v>4234.7339816238264</c:v>
                </c:pt>
                <c:pt idx="44">
                  <c:v>4299.9464796262682</c:v>
                </c:pt>
                <c:pt idx="45">
                  <c:v>4367.4798587975756</c:v>
                </c:pt>
                <c:pt idx="46">
                  <c:v>4441.2553658394272</c:v>
                </c:pt>
                <c:pt idx="47">
                  <c:v>4496.2356989606924</c:v>
                </c:pt>
                <c:pt idx="48">
                  <c:v>4550.3311062883231</c:v>
                </c:pt>
                <c:pt idx="49">
                  <c:v>4605.628285382898</c:v>
                </c:pt>
                <c:pt idx="50">
                  <c:v>4661.2503122351436</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1989.2140809840125</c:v>
                </c:pt>
                <c:pt idx="14">
                  <c:v>2031.5845891224524</c:v>
                </c:pt>
                <c:pt idx="15">
                  <c:v>2065.7957253002255</c:v>
                </c:pt>
                <c:pt idx="16">
                  <c:v>2094.7790652397453</c:v>
                </c:pt>
                <c:pt idx="17">
                  <c:v>2118.4121564230545</c:v>
                </c:pt>
                <c:pt idx="18">
                  <c:v>2146.8453123571589</c:v>
                </c:pt>
                <c:pt idx="19">
                  <c:v>2176.2436654550006</c:v>
                </c:pt>
                <c:pt idx="20">
                  <c:v>2115.6282803271893</c:v>
                </c:pt>
                <c:pt idx="21">
                  <c:v>2164.1264576460535</c:v>
                </c:pt>
                <c:pt idx="22">
                  <c:v>2205.5269846559399</c:v>
                </c:pt>
                <c:pt idx="23">
                  <c:v>2245.4119211828715</c:v>
                </c:pt>
                <c:pt idx="24">
                  <c:v>2289.2147399112914</c:v>
                </c:pt>
                <c:pt idx="25">
                  <c:v>2331.7002389165632</c:v>
                </c:pt>
                <c:pt idx="26">
                  <c:v>2369.6594476021719</c:v>
                </c:pt>
                <c:pt idx="27">
                  <c:v>2406.8367275832352</c:v>
                </c:pt>
                <c:pt idx="28">
                  <c:v>2442.7199877408257</c:v>
                </c:pt>
                <c:pt idx="29">
                  <c:v>2484.9295578669789</c:v>
                </c:pt>
                <c:pt idx="30">
                  <c:v>2526.9319898450203</c:v>
                </c:pt>
                <c:pt idx="31">
                  <c:v>2570.0923655683296</c:v>
                </c:pt>
                <c:pt idx="32">
                  <c:v>2619.6760791932184</c:v>
                </c:pt>
                <c:pt idx="33">
                  <c:v>2672.6373538762255</c:v>
                </c:pt>
                <c:pt idx="34">
                  <c:v>2732.7149813067399</c:v>
                </c:pt>
                <c:pt idx="35">
                  <c:v>2783.1856801284607</c:v>
                </c:pt>
                <c:pt idx="36">
                  <c:v>2831.0583571417974</c:v>
                </c:pt>
                <c:pt idx="37">
                  <c:v>2882.7543719431433</c:v>
                </c:pt>
                <c:pt idx="38">
                  <c:v>2933.4700335990451</c:v>
                </c:pt>
                <c:pt idx="39">
                  <c:v>2986.5190912026387</c:v>
                </c:pt>
                <c:pt idx="40">
                  <c:v>3040.2146448563503</c:v>
                </c:pt>
                <c:pt idx="41">
                  <c:v>3098.2800674767045</c:v>
                </c:pt>
                <c:pt idx="42">
                  <c:v>3154.9053551571524</c:v>
                </c:pt>
                <c:pt idx="43">
                  <c:v>3212.6710717327351</c:v>
                </c:pt>
                <c:pt idx="44">
                  <c:v>3272.2719965181104</c:v>
                </c:pt>
                <c:pt idx="45">
                  <c:v>3333.9940893037683</c:v>
                </c:pt>
                <c:pt idx="46">
                  <c:v>3401.4211712419524</c:v>
                </c:pt>
                <c:pt idx="47">
                  <c:v>3451.6704148595286</c:v>
                </c:pt>
                <c:pt idx="48">
                  <c:v>3501.1108810604642</c:v>
                </c:pt>
                <c:pt idx="49">
                  <c:v>3551.6497058718633</c:v>
                </c:pt>
                <c:pt idx="50">
                  <c:v>3602.4854251032702</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165.45874118382812</c:v>
                </c:pt>
                <c:pt idx="21">
                  <c:v>166.73905048159477</c:v>
                </c:pt>
                <c:pt idx="22">
                  <c:v>168.02573979335472</c:v>
                </c:pt>
                <c:pt idx="23">
                  <c:v>169.32506836511763</c:v>
                </c:pt>
                <c:pt idx="24">
                  <c:v>170.64313503477456</c:v>
                </c:pt>
                <c:pt idx="25">
                  <c:v>171.97438858337287</c:v>
                </c:pt>
                <c:pt idx="26">
                  <c:v>173.12725063899256</c:v>
                </c:pt>
                <c:pt idx="27">
                  <c:v>174.2902020845579</c:v>
                </c:pt>
                <c:pt idx="28">
                  <c:v>175.46279138559382</c:v>
                </c:pt>
                <c:pt idx="29">
                  <c:v>176.6534500133007</c:v>
                </c:pt>
                <c:pt idx="30">
                  <c:v>177.85515225085354</c:v>
                </c:pt>
                <c:pt idx="31">
                  <c:v>178.9139530453262</c:v>
                </c:pt>
                <c:pt idx="32">
                  <c:v>179.98840298702737</c:v>
                </c:pt>
                <c:pt idx="33">
                  <c:v>181.07524926861009</c:v>
                </c:pt>
                <c:pt idx="34">
                  <c:v>182.17864957918621</c:v>
                </c:pt>
                <c:pt idx="35">
                  <c:v>183.28041428406607</c:v>
                </c:pt>
                <c:pt idx="36">
                  <c:v>184.23822780034351</c:v>
                </c:pt>
                <c:pt idx="37">
                  <c:v>185.20684654893296</c:v>
                </c:pt>
                <c:pt idx="38">
                  <c:v>186.18107264292806</c:v>
                </c:pt>
                <c:pt idx="39">
                  <c:v>187.16457413385066</c:v>
                </c:pt>
                <c:pt idx="40">
                  <c:v>188.15555789784736</c:v>
                </c:pt>
                <c:pt idx="41">
                  <c:v>189.01571907741825</c:v>
                </c:pt>
                <c:pt idx="42">
                  <c:v>189.87925591399451</c:v>
                </c:pt>
                <c:pt idx="43">
                  <c:v>190.7490175437442</c:v>
                </c:pt>
                <c:pt idx="44">
                  <c:v>191.62579370606221</c:v>
                </c:pt>
                <c:pt idx="45">
                  <c:v>192.50992783408594</c:v>
                </c:pt>
                <c:pt idx="46">
                  <c:v>193.25901367803252</c:v>
                </c:pt>
                <c:pt idx="47">
                  <c:v>193.99278652520539</c:v>
                </c:pt>
                <c:pt idx="48">
                  <c:v>194.72914169106977</c:v>
                </c:pt>
                <c:pt idx="49">
                  <c:v>195.47017977418002</c:v>
                </c:pt>
                <c:pt idx="50">
                  <c:v>196.21504322531183</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190.79416149087547</c:v>
                </c:pt>
                <c:pt idx="21">
                  <c:v>193.03718494819523</c:v>
                </c:pt>
                <c:pt idx="22">
                  <c:v>195.29138579918842</c:v>
                </c:pt>
                <c:pt idx="23">
                  <c:v>197.56772985941973</c:v>
                </c:pt>
                <c:pt idx="24">
                  <c:v>199.87690191925634</c:v>
                </c:pt>
                <c:pt idx="25">
                  <c:v>202.20917658316375</c:v>
                </c:pt>
                <c:pt idx="26">
                  <c:v>204.22892027972176</c:v>
                </c:pt>
                <c:pt idx="27">
                  <c:v>206.26633996938364</c:v>
                </c:pt>
                <c:pt idx="28">
                  <c:v>208.32064459141029</c:v>
                </c:pt>
                <c:pt idx="29">
                  <c:v>210.4066055668288</c:v>
                </c:pt>
                <c:pt idx="30">
                  <c:v>212.51191427016047</c:v>
                </c:pt>
                <c:pt idx="31">
                  <c:v>214.36686839942732</c:v>
                </c:pt>
                <c:pt idx="32">
                  <c:v>216.24923887596415</c:v>
                </c:pt>
                <c:pt idx="33">
                  <c:v>218.1533269805677</c:v>
                </c:pt>
                <c:pt idx="34">
                  <c:v>220.08641672985993</c:v>
                </c:pt>
                <c:pt idx="35">
                  <c:v>222.01664099817012</c:v>
                </c:pt>
                <c:pt idx="36">
                  <c:v>223.69467160256849</c:v>
                </c:pt>
                <c:pt idx="37">
                  <c:v>225.39163231204375</c:v>
                </c:pt>
                <c:pt idx="38">
                  <c:v>227.098416747161</c:v>
                </c:pt>
                <c:pt idx="39">
                  <c:v>228.82145110947991</c:v>
                </c:pt>
                <c:pt idx="40">
                  <c:v>230.55759395585699</c:v>
                </c:pt>
                <c:pt idx="41">
                  <c:v>232.06454364857493</c:v>
                </c:pt>
                <c:pt idx="42">
                  <c:v>233.57740728557184</c:v>
                </c:pt>
                <c:pt idx="43">
                  <c:v>235.10117637887475</c:v>
                </c:pt>
                <c:pt idx="44">
                  <c:v>236.63723450352376</c:v>
                </c:pt>
                <c:pt idx="45">
                  <c:v>238.1861833333366</c:v>
                </c:pt>
                <c:pt idx="46">
                  <c:v>239.49853584256954</c:v>
                </c:pt>
                <c:pt idx="47">
                  <c:v>240.78406091953653</c:v>
                </c:pt>
                <c:pt idx="48">
                  <c:v>242.07411006065698</c:v>
                </c:pt>
                <c:pt idx="49">
                  <c:v>243.37236338591438</c:v>
                </c:pt>
                <c:pt idx="50">
                  <c:v>244.67731852160168</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593358.66490468499</c:v>
                </c:pt>
                <c:pt idx="24">
                  <c:v>598039.0074127327</c:v>
                </c:pt>
                <c:pt idx="25">
                  <c:v>601046.62603335571</c:v>
                </c:pt>
                <c:pt idx="26">
                  <c:v>603045.20236245112</c:v>
                </c:pt>
                <c:pt idx="27">
                  <c:v>604015.06594627816</c:v>
                </c:pt>
                <c:pt idx="28">
                  <c:v>606157.85554919671</c:v>
                </c:pt>
                <c:pt idx="29">
                  <c:v>608615.99513645703</c:v>
                </c:pt>
                <c:pt idx="30">
                  <c:v>591954.99978317763</c:v>
                </c:pt>
                <c:pt idx="31">
                  <c:v>598757.85046768794</c:v>
                </c:pt>
                <c:pt idx="32">
                  <c:v>604088.60163752455</c:v>
                </c:pt>
                <c:pt idx="33">
                  <c:v>609138.9026251859</c:v>
                </c:pt>
                <c:pt idx="34">
                  <c:v>615043.19785551599</c:v>
                </c:pt>
                <c:pt idx="35">
                  <c:v>620697.58253808867</c:v>
                </c:pt>
                <c:pt idx="36">
                  <c:v>625439.87615494407</c:v>
                </c:pt>
                <c:pt idx="37">
                  <c:v>630050.45437348564</c:v>
                </c:pt>
                <c:pt idx="38">
                  <c:v>634423.64949236414</c:v>
                </c:pt>
                <c:pt idx="39">
                  <c:v>640112.39897638618</c:v>
                </c:pt>
                <c:pt idx="40">
                  <c:v>645771.896032213</c:v>
                </c:pt>
                <c:pt idx="41">
                  <c:v>651676.38814400602</c:v>
                </c:pt>
                <c:pt idx="42">
                  <c:v>658879.73593194631</c:v>
                </c:pt>
                <c:pt idx="43">
                  <c:v>666754.64159462869</c:v>
                </c:pt>
                <c:pt idx="44">
                  <c:v>676037.53588111198</c:v>
                </c:pt>
                <c:pt idx="45">
                  <c:v>683389.61151672003</c:v>
                </c:pt>
                <c:pt idx="46">
                  <c:v>690219.61010692269</c:v>
                </c:pt>
                <c:pt idx="47">
                  <c:v>697798.40902130038</c:v>
                </c:pt>
                <c:pt idx="48">
                  <c:v>705173.71056454955</c:v>
                </c:pt>
                <c:pt idx="49">
                  <c:v>712995.57517998014</c:v>
                </c:pt>
                <c:pt idx="50">
                  <c:v>720929.88017012517</c:v>
                </c:pt>
                <c:pt idx="51">
                  <c:v>729698.45600335486</c:v>
                </c:pt>
                <c:pt idx="52">
                  <c:v>738167.5372325714</c:v>
                </c:pt>
                <c:pt idx="53">
                  <c:v>746837.9486975543</c:v>
                </c:pt>
                <c:pt idx="54">
                  <c:v>755841.15702636587</c:v>
                </c:pt>
                <c:pt idx="55">
                  <c:v>765228.63346572674</c:v>
                </c:pt>
                <c:pt idx="56">
                  <c:v>775681.51860518416</c:v>
                </c:pt>
                <c:pt idx="57">
                  <c:v>782830.64179954154</c:v>
                </c:pt>
                <c:pt idx="58">
                  <c:v>789815.34440266527</c:v>
                </c:pt>
                <c:pt idx="59">
                  <c:v>796997.96821618616</c:v>
                </c:pt>
                <c:pt idx="60">
                  <c:v>804225.20115651039</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491640.03663531045</c:v>
                </c:pt>
                <c:pt idx="24">
                  <c:v>495518.03471340711</c:v>
                </c:pt>
                <c:pt idx="25">
                  <c:v>498010.06157049473</c:v>
                </c:pt>
                <c:pt idx="26">
                  <c:v>499666.02481460234</c:v>
                </c:pt>
                <c:pt idx="27">
                  <c:v>500469.62606977334</c:v>
                </c:pt>
                <c:pt idx="28">
                  <c:v>502245.08031219151</c:v>
                </c:pt>
                <c:pt idx="29">
                  <c:v>504281.82454163581</c:v>
                </c:pt>
                <c:pt idx="30">
                  <c:v>490476.99982034724</c:v>
                </c:pt>
                <c:pt idx="31">
                  <c:v>496113.64753037004</c:v>
                </c:pt>
                <c:pt idx="32">
                  <c:v>500530.55564252037</c:v>
                </c:pt>
                <c:pt idx="33">
                  <c:v>504715.0907465826</c:v>
                </c:pt>
                <c:pt idx="34">
                  <c:v>509607.22108028462</c:v>
                </c:pt>
                <c:pt idx="35">
                  <c:v>514292.28267441638</c:v>
                </c:pt>
                <c:pt idx="36">
                  <c:v>518221.61167123931</c:v>
                </c:pt>
                <c:pt idx="37">
                  <c:v>522041.80505231669</c:v>
                </c:pt>
                <c:pt idx="38">
                  <c:v>525665.30957938742</c:v>
                </c:pt>
                <c:pt idx="39">
                  <c:v>530378.84486614855</c:v>
                </c:pt>
                <c:pt idx="40">
                  <c:v>535068.14242669079</c:v>
                </c:pt>
                <c:pt idx="41">
                  <c:v>539960.43589074793</c:v>
                </c:pt>
                <c:pt idx="42">
                  <c:v>545928.92405789846</c:v>
                </c:pt>
                <c:pt idx="43">
                  <c:v>552453.84589269233</c:v>
                </c:pt>
                <c:pt idx="44">
                  <c:v>560145.38687292137</c:v>
                </c:pt>
                <c:pt idx="45">
                  <c:v>566237.10668528231</c:v>
                </c:pt>
                <c:pt idx="46">
                  <c:v>571896.24837430741</c:v>
                </c:pt>
                <c:pt idx="47">
                  <c:v>578175.82461764885</c:v>
                </c:pt>
                <c:pt idx="48">
                  <c:v>584286.78875348391</c:v>
                </c:pt>
                <c:pt idx="49">
                  <c:v>590767.76229198358</c:v>
                </c:pt>
                <c:pt idx="50">
                  <c:v>597341.90071238938</c:v>
                </c:pt>
                <c:pt idx="51">
                  <c:v>604607.29211706552</c:v>
                </c:pt>
                <c:pt idx="52">
                  <c:v>611624.53084984492</c:v>
                </c:pt>
                <c:pt idx="53">
                  <c:v>618808.58606368781</c:v>
                </c:pt>
                <c:pt idx="54">
                  <c:v>626268.38725041749</c:v>
                </c:pt>
                <c:pt idx="55">
                  <c:v>634046.5820144593</c:v>
                </c:pt>
                <c:pt idx="56">
                  <c:v>642707.54398715263</c:v>
                </c:pt>
                <c:pt idx="57">
                  <c:v>648631.1032053344</c:v>
                </c:pt>
                <c:pt idx="58">
                  <c:v>654418.42821935122</c:v>
                </c:pt>
                <c:pt idx="59">
                  <c:v>660369.74509341142</c:v>
                </c:pt>
                <c:pt idx="60">
                  <c:v>666358.02381539426</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610311.7696162475</c:v>
                </c:pt>
                <c:pt idx="24">
                  <c:v>615125.83619595377</c:v>
                </c:pt>
                <c:pt idx="25">
                  <c:v>618219.38677716604</c:v>
                </c:pt>
                <c:pt idx="26">
                  <c:v>620275.0652870927</c:v>
                </c:pt>
                <c:pt idx="27">
                  <c:v>621272.63925902906</c:v>
                </c:pt>
                <c:pt idx="28">
                  <c:v>623476.65142203099</c:v>
                </c:pt>
                <c:pt idx="29">
                  <c:v>626005.02356892731</c:v>
                </c:pt>
                <c:pt idx="30">
                  <c:v>608867.99977698282</c:v>
                </c:pt>
                <c:pt idx="31">
                  <c:v>615865.21762390772</c:v>
                </c:pt>
                <c:pt idx="32">
                  <c:v>621348.27597002534</c:v>
                </c:pt>
                <c:pt idx="33">
                  <c:v>626542.87127161992</c:v>
                </c:pt>
                <c:pt idx="34">
                  <c:v>632615.86065138795</c:v>
                </c:pt>
                <c:pt idx="35">
                  <c:v>638431.79918203421</c:v>
                </c:pt>
                <c:pt idx="36">
                  <c:v>643309.5869022283</c:v>
                </c:pt>
                <c:pt idx="37">
                  <c:v>648051.89592701395</c:v>
                </c:pt>
                <c:pt idx="38">
                  <c:v>652550.03947786044</c:v>
                </c:pt>
                <c:pt idx="39">
                  <c:v>658401.3246614259</c:v>
                </c:pt>
                <c:pt idx="40">
                  <c:v>664222.52163313353</c:v>
                </c:pt>
                <c:pt idx="41">
                  <c:v>670295.71351954923</c:v>
                </c:pt>
                <c:pt idx="42">
                  <c:v>677704.87124428782</c:v>
                </c:pt>
                <c:pt idx="43">
                  <c:v>685804.77421161812</c:v>
                </c:pt>
                <c:pt idx="44">
                  <c:v>695352.89404914388</c:v>
                </c:pt>
                <c:pt idx="45">
                  <c:v>702915.02898862644</c:v>
                </c:pt>
                <c:pt idx="46">
                  <c:v>709940.170395692</c:v>
                </c:pt>
                <c:pt idx="47">
                  <c:v>717735.50642190909</c:v>
                </c:pt>
                <c:pt idx="48">
                  <c:v>725321.53086639394</c:v>
                </c:pt>
                <c:pt idx="49">
                  <c:v>733366.87732797966</c:v>
                </c:pt>
                <c:pt idx="50">
                  <c:v>741527.87674641458</c:v>
                </c:pt>
                <c:pt idx="51">
                  <c:v>750546.98331773654</c:v>
                </c:pt>
                <c:pt idx="52">
                  <c:v>759258.03829635924</c:v>
                </c:pt>
                <c:pt idx="53">
                  <c:v>768176.17580319883</c:v>
                </c:pt>
                <c:pt idx="54">
                  <c:v>777436.61865569081</c:v>
                </c:pt>
                <c:pt idx="55">
                  <c:v>787092.30870760477</c:v>
                </c:pt>
                <c:pt idx="56">
                  <c:v>797843.84770818951</c:v>
                </c:pt>
                <c:pt idx="57">
                  <c:v>805197.23156524287</c:v>
                </c:pt>
                <c:pt idx="58">
                  <c:v>812381.49709988444</c:v>
                </c:pt>
                <c:pt idx="59">
                  <c:v>819769.33873664879</c:v>
                </c:pt>
                <c:pt idx="60">
                  <c:v>827203.06404669653</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5903235.3888004785</c:v>
                </c:pt>
                <c:pt idx="24">
                  <c:v>5883575.7867908729</c:v>
                </c:pt>
                <c:pt idx="25">
                  <c:v>5805008.3335930631</c:v>
                </c:pt>
                <c:pt idx="26">
                  <c:v>5690965.7565264814</c:v>
                </c:pt>
                <c:pt idx="27">
                  <c:v>5543806.2775503108</c:v>
                </c:pt>
                <c:pt idx="28">
                  <c:v>5427737.2925172504</c:v>
                </c:pt>
                <c:pt idx="29">
                  <c:v>5317922.8374796044</c:v>
                </c:pt>
                <c:pt idx="30">
                  <c:v>4719772.8767197365</c:v>
                </c:pt>
                <c:pt idx="31">
                  <c:v>4810052.6920818258</c:v>
                </c:pt>
                <c:pt idx="32">
                  <c:v>4858321.8584341649</c:v>
                </c:pt>
                <c:pt idx="33">
                  <c:v>4895479.0162993912</c:v>
                </c:pt>
                <c:pt idx="34">
                  <c:v>4949239.6513521485</c:v>
                </c:pt>
                <c:pt idx="35">
                  <c:v>4992869.2775564361</c:v>
                </c:pt>
                <c:pt idx="36">
                  <c:v>5020995.3601908721</c:v>
                </c:pt>
                <c:pt idx="37">
                  <c:v>5042889.4110027179</c:v>
                </c:pt>
                <c:pt idx="38">
                  <c:v>5056458.9389800234</c:v>
                </c:pt>
                <c:pt idx="39">
                  <c:v>5096630.0751418229</c:v>
                </c:pt>
                <c:pt idx="40">
                  <c:v>5132774.3979193028</c:v>
                </c:pt>
                <c:pt idx="41">
                  <c:v>5134638.5866640983</c:v>
                </c:pt>
                <c:pt idx="42">
                  <c:v>5158851.9550401615</c:v>
                </c:pt>
                <c:pt idx="43">
                  <c:v>5190870.9547783006</c:v>
                </c:pt>
                <c:pt idx="44">
                  <c:v>5244627.6411342593</c:v>
                </c:pt>
                <c:pt idx="45">
                  <c:v>5253213.4421595996</c:v>
                </c:pt>
                <c:pt idx="46">
                  <c:v>5252312.1816986855</c:v>
                </c:pt>
                <c:pt idx="47">
                  <c:v>5260199.3002816634</c:v>
                </c:pt>
                <c:pt idx="48">
                  <c:v>5258743.5589063233</c:v>
                </c:pt>
                <c:pt idx="49">
                  <c:v>5259857.3784672664</c:v>
                </c:pt>
                <c:pt idx="50">
                  <c:v>5257329.5929860473</c:v>
                </c:pt>
                <c:pt idx="51">
                  <c:v>5295063.2595560821</c:v>
                </c:pt>
                <c:pt idx="52">
                  <c:v>5322667.5788190989</c:v>
                </c:pt>
                <c:pt idx="53">
                  <c:v>5348679.1989412587</c:v>
                </c:pt>
                <c:pt idx="54">
                  <c:v>5375088.3276536986</c:v>
                </c:pt>
                <c:pt idx="55">
                  <c:v>5402467.6715433104</c:v>
                </c:pt>
                <c:pt idx="56">
                  <c:v>5445374.2445909819</c:v>
                </c:pt>
                <c:pt idx="57">
                  <c:v>5433289.206983556</c:v>
                </c:pt>
                <c:pt idx="58">
                  <c:v>5415170.0204233658</c:v>
                </c:pt>
                <c:pt idx="59">
                  <c:v>5396403.4576469632</c:v>
                </c:pt>
                <c:pt idx="60">
                  <c:v>5374744.0347834453</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5234944.5900683487</c:v>
                </c:pt>
                <c:pt idx="24">
                  <c:v>5217510.6033805842</c:v>
                </c:pt>
                <c:pt idx="25">
                  <c:v>5147837.5788466781</c:v>
                </c:pt>
                <c:pt idx="26">
                  <c:v>5046705.4822027273</c:v>
                </c:pt>
                <c:pt idx="27">
                  <c:v>4916205.5668842373</c:v>
                </c:pt>
                <c:pt idx="28">
                  <c:v>4813276.4669492599</c:v>
                </c:pt>
                <c:pt idx="29">
                  <c:v>4715893.8370102141</c:v>
                </c:pt>
                <c:pt idx="30">
                  <c:v>4185458.9661476901</c:v>
                </c:pt>
                <c:pt idx="31">
                  <c:v>4265518.4250536934</c:v>
                </c:pt>
                <c:pt idx="32">
                  <c:v>4308323.1574793532</c:v>
                </c:pt>
                <c:pt idx="33">
                  <c:v>4341273.8446428552</c:v>
                </c:pt>
                <c:pt idx="34">
                  <c:v>4388948.3700669985</c:v>
                </c:pt>
                <c:pt idx="35">
                  <c:v>4427638.7933047637</c:v>
                </c:pt>
                <c:pt idx="36">
                  <c:v>4452580.7911126595</c:v>
                </c:pt>
                <c:pt idx="37">
                  <c:v>4471996.2701344844</c:v>
                </c:pt>
                <c:pt idx="38">
                  <c:v>4484029.6251332285</c:v>
                </c:pt>
                <c:pt idx="39">
                  <c:v>4519653.0855031256</c:v>
                </c:pt>
                <c:pt idx="40">
                  <c:v>4551705.5981548522</c:v>
                </c:pt>
                <c:pt idx="41">
                  <c:v>4553358.746664389</c:v>
                </c:pt>
                <c:pt idx="42">
                  <c:v>4574830.9789978778</c:v>
                </c:pt>
                <c:pt idx="43">
                  <c:v>4603225.1863128319</c:v>
                </c:pt>
                <c:pt idx="44">
                  <c:v>4650896.2100624563</c:v>
                </c:pt>
                <c:pt idx="45">
                  <c:v>4658510.0336132301</c:v>
                </c:pt>
                <c:pt idx="46">
                  <c:v>4657710.8026384562</c:v>
                </c:pt>
                <c:pt idx="47">
                  <c:v>4664705.0398724182</c:v>
                </c:pt>
                <c:pt idx="48">
                  <c:v>4663414.0994074931</c:v>
                </c:pt>
                <c:pt idx="49">
                  <c:v>4664401.8261879524</c:v>
                </c:pt>
                <c:pt idx="50">
                  <c:v>4662160.2051008344</c:v>
                </c:pt>
                <c:pt idx="51">
                  <c:v>4695622.1358327521</c:v>
                </c:pt>
                <c:pt idx="52">
                  <c:v>4720101.4378207093</c:v>
                </c:pt>
                <c:pt idx="53">
                  <c:v>4743168.3462309279</c:v>
                </c:pt>
                <c:pt idx="54">
                  <c:v>4766587.7622589394</c:v>
                </c:pt>
                <c:pt idx="55">
                  <c:v>4790867.5577836903</c:v>
                </c:pt>
                <c:pt idx="56">
                  <c:v>4828916.7829391723</c:v>
                </c:pt>
                <c:pt idx="57">
                  <c:v>4818199.8627967378</c:v>
                </c:pt>
                <c:pt idx="58">
                  <c:v>4802131.9049037397</c:v>
                </c:pt>
                <c:pt idx="59">
                  <c:v>4785489.8586680619</c:v>
                </c:pt>
                <c:pt idx="60">
                  <c:v>4766282.4459400363</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559717.1030773099</c:v>
                </c:pt>
                <c:pt idx="24">
                  <c:v>581386.33409904351</c:v>
                </c:pt>
                <c:pt idx="25">
                  <c:v>597546.77075746458</c:v>
                </c:pt>
                <c:pt idx="26">
                  <c:v>610009.49754182261</c:v>
                </c:pt>
                <c:pt idx="27">
                  <c:v>618596.39996388648</c:v>
                </c:pt>
                <c:pt idx="28">
                  <c:v>630321.10002649133</c:v>
                </c:pt>
                <c:pt idx="29">
                  <c:v>642612.00897727197</c:v>
                </c:pt>
                <c:pt idx="30">
                  <c:v>593382.52815527772</c:v>
                </c:pt>
                <c:pt idx="31">
                  <c:v>619302.39003077999</c:v>
                </c:pt>
                <c:pt idx="32">
                  <c:v>640380.5735615259</c:v>
                </c:pt>
                <c:pt idx="33">
                  <c:v>660416.42942310183</c:v>
                </c:pt>
                <c:pt idx="34">
                  <c:v>683147.96159676858</c:v>
                </c:pt>
                <c:pt idx="35">
                  <c:v>704973.4882860753</c:v>
                </c:pt>
                <c:pt idx="36">
                  <c:v>725037.26545712806</c:v>
                </c:pt>
                <c:pt idx="37">
                  <c:v>744573.60736645909</c:v>
                </c:pt>
                <c:pt idx="38">
                  <c:v>763219.69540430943</c:v>
                </c:pt>
                <c:pt idx="39">
                  <c:v>786294.28883759666</c:v>
                </c:pt>
                <c:pt idx="40">
                  <c:v>809251.34714351199</c:v>
                </c:pt>
                <c:pt idx="41">
                  <c:v>836391.97589655768</c:v>
                </c:pt>
                <c:pt idx="42">
                  <c:v>868257.38924332429</c:v>
                </c:pt>
                <c:pt idx="43">
                  <c:v>902748.4850613653</c:v>
                </c:pt>
                <c:pt idx="44">
                  <c:v>942576.92143542122</c:v>
                </c:pt>
                <c:pt idx="45">
                  <c:v>975789.29901228903</c:v>
                </c:pt>
                <c:pt idx="46">
                  <c:v>1008491.8597550213</c:v>
                </c:pt>
                <c:pt idx="47">
                  <c:v>1044204.8393140868</c:v>
                </c:pt>
                <c:pt idx="48">
                  <c:v>1079460.5100817608</c:v>
                </c:pt>
                <c:pt idx="49">
                  <c:v>1116679.640413017</c:v>
                </c:pt>
                <c:pt idx="50">
                  <c:v>1154642.2293304717</c:v>
                </c:pt>
                <c:pt idx="51">
                  <c:v>1195741.8238935631</c:v>
                </c:pt>
                <c:pt idx="52">
                  <c:v>1236006.7460635048</c:v>
                </c:pt>
                <c:pt idx="53">
                  <c:v>1277349.8189087121</c:v>
                </c:pt>
                <c:pt idx="54">
                  <c:v>1320300.1501313027</c:v>
                </c:pt>
                <c:pt idx="55">
                  <c:v>1365087.2342331395</c:v>
                </c:pt>
                <c:pt idx="56">
                  <c:v>1415598.2019334261</c:v>
                </c:pt>
                <c:pt idx="57">
                  <c:v>1453408.0946325543</c:v>
                </c:pt>
                <c:pt idx="58">
                  <c:v>1490813.8947051386</c:v>
                </c:pt>
                <c:pt idx="59">
                  <c:v>1529263.0874146733</c:v>
                </c:pt>
                <c:pt idx="60">
                  <c:v>1568150.81584831</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19402059.805571087</c:v>
                      </c:pt>
                      <c:pt idx="31">
                        <c:v>19431607.567735706</c:v>
                      </c:pt>
                      <c:pt idx="32">
                        <c:v>19465003.610286124</c:v>
                      </c:pt>
                      <c:pt idx="33">
                        <c:v>19502677.298853781</c:v>
                      </c:pt>
                      <c:pt idx="34">
                        <c:v>19545057.4292056</c:v>
                      </c:pt>
                      <c:pt idx="35">
                        <c:v>19591260.285837401</c:v>
                      </c:pt>
                      <c:pt idx="36">
                        <c:v>19619360.484399606</c:v>
                      </c:pt>
                      <c:pt idx="37">
                        <c:v>19650746.790180359</c:v>
                      </c:pt>
                      <c:pt idx="38">
                        <c:v>19685188.965580646</c:v>
                      </c:pt>
                      <c:pt idx="39">
                        <c:v>19723466.805720448</c:v>
                      </c:pt>
                      <c:pt idx="40">
                        <c:v>19764639.822497804</c:v>
                      </c:pt>
                      <c:pt idx="41">
                        <c:v>19791543.543548547</c:v>
                      </c:pt>
                      <c:pt idx="42">
                        <c:v>19821743.090667564</c:v>
                      </c:pt>
                      <c:pt idx="43">
                        <c:v>19854756.020619072</c:v>
                      </c:pt>
                      <c:pt idx="44">
                        <c:v>19890925.179980893</c:v>
                      </c:pt>
                      <c:pt idx="45">
                        <c:v>19928164.848790728</c:v>
                      </c:pt>
                      <c:pt idx="46">
                        <c:v>19950988.116839856</c:v>
                      </c:pt>
                      <c:pt idx="47">
                        <c:v>19976200.960562997</c:v>
                      </c:pt>
                      <c:pt idx="48">
                        <c:v>20003160.68333599</c:v>
                      </c:pt>
                      <c:pt idx="49">
                        <c:v>20032188.030124117</c:v>
                      </c:pt>
                      <c:pt idx="50">
                        <c:v>20063020.695307191</c:v>
                      </c:pt>
                      <c:pt idx="51">
                        <c:v>20080901.126407888</c:v>
                      </c:pt>
                      <c:pt idx="52">
                        <c:v>20100133.841895282</c:v>
                      </c:pt>
                      <c:pt idx="53">
                        <c:v>20120964.63763465</c:v>
                      </c:pt>
                      <c:pt idx="54">
                        <c:v>20143422.270244319</c:v>
                      </c:pt>
                      <c:pt idx="55">
                        <c:v>20167491.040662095</c:v>
                      </c:pt>
                      <c:pt idx="56">
                        <c:v>20178253.39496877</c:v>
                      </c:pt>
                      <c:pt idx="57">
                        <c:v>20188270.578200433</c:v>
                      </c:pt>
                      <c:pt idx="58">
                        <c:v>20199375.643923137</c:v>
                      </c:pt>
                      <c:pt idx="59">
                        <c:v>20211746.595544606</c:v>
                      </c:pt>
                      <c:pt idx="60">
                        <c:v>20225256.082791496</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2899158.361752002</c:v>
                      </c:pt>
                      <c:pt idx="31">
                        <c:v>2903573.544604186</c:v>
                      </c:pt>
                      <c:pt idx="32">
                        <c:v>2908563.7578588463</c:v>
                      </c:pt>
                      <c:pt idx="33">
                        <c:v>2914193.1595988413</c:v>
                      </c:pt>
                      <c:pt idx="34">
                        <c:v>2920525.8227548599</c:v>
                      </c:pt>
                      <c:pt idx="35">
                        <c:v>2927429.6978837498</c:v>
                      </c:pt>
                      <c:pt idx="36">
                        <c:v>2931628.5781286769</c:v>
                      </c:pt>
                      <c:pt idx="37">
                        <c:v>2936318.485889019</c:v>
                      </c:pt>
                      <c:pt idx="38">
                        <c:v>2941465.0178453843</c:v>
                      </c:pt>
                      <c:pt idx="39">
                        <c:v>2947184.6951076533</c:v>
                      </c:pt>
                      <c:pt idx="40">
                        <c:v>2953336.9849709361</c:v>
                      </c:pt>
                      <c:pt idx="41">
                        <c:v>2957357.0812198976</c:v>
                      </c:pt>
                      <c:pt idx="42">
                        <c:v>2961869.6572261876</c:v>
                      </c:pt>
                      <c:pt idx="43">
                        <c:v>2966802.6237706658</c:v>
                      </c:pt>
                      <c:pt idx="44">
                        <c:v>2972207.2108017425</c:v>
                      </c:pt>
                      <c:pt idx="45">
                        <c:v>2977771.7590147066</c:v>
                      </c:pt>
                      <c:pt idx="46">
                        <c:v>2981182.1324013579</c:v>
                      </c:pt>
                      <c:pt idx="47">
                        <c:v>2984949.568819758</c:v>
                      </c:pt>
                      <c:pt idx="48">
                        <c:v>2988978.0331421597</c:v>
                      </c:pt>
                      <c:pt idx="49">
                        <c:v>2993315.4527771669</c:v>
                      </c:pt>
                      <c:pt idx="50">
                        <c:v>2997922.6326321093</c:v>
                      </c:pt>
                      <c:pt idx="51">
                        <c:v>3000594.4211873859</c:v>
                      </c:pt>
                      <c:pt idx="52">
                        <c:v>3003468.275225732</c:v>
                      </c:pt>
                      <c:pt idx="53">
                        <c:v>3006580.9228649479</c:v>
                      </c:pt>
                      <c:pt idx="54">
                        <c:v>3009936.6610709904</c:v>
                      </c:pt>
                      <c:pt idx="55">
                        <c:v>3013533.1440069797</c:v>
                      </c:pt>
                      <c:pt idx="56">
                        <c:v>3015141.311891885</c:v>
                      </c:pt>
                      <c:pt idx="57">
                        <c:v>3016638.1323747775</c:v>
                      </c:pt>
                      <c:pt idx="58">
                        <c:v>3018297.5100115035</c:v>
                      </c:pt>
                      <c:pt idx="59">
                        <c:v>3020146.0430124127</c:v>
                      </c:pt>
                      <c:pt idx="60">
                        <c:v>3022164.7020263155</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2068089.0408217213</c:v>
                      </c:pt>
                      <c:pt idx="23">
                        <c:v>2073465.0740723512</c:v>
                      </c:pt>
                      <c:pt idx="24">
                        <c:v>2080881.121959276</c:v>
                      </c:pt>
                      <c:pt idx="25">
                        <c:v>2089915.8268703569</c:v>
                      </c:pt>
                      <c:pt idx="26">
                        <c:v>2100556.3029240505</c:v>
                      </c:pt>
                      <c:pt idx="27">
                        <c:v>2112737.7866022554</c:v>
                      </c:pt>
                      <c:pt idx="28">
                        <c:v>2125847.6846541637</c:v>
                      </c:pt>
                      <c:pt idx="29">
                        <c:v>2139834.1013227375</c:v>
                      </c:pt>
                      <c:pt idx="30">
                        <c:v>2152683.4377599582</c:v>
                      </c:pt>
                      <c:pt idx="31">
                        <c:v>2158938.7090060171</c:v>
                      </c:pt>
                      <c:pt idx="32">
                        <c:v>2165662.0711804889</c:v>
                      </c:pt>
                      <c:pt idx="33">
                        <c:v>2172935.7450459148</c:v>
                      </c:pt>
                      <c:pt idx="34">
                        <c:v>2180839.5935468497</c:v>
                      </c:pt>
                      <c:pt idx="35">
                        <c:v>2189232.9803399076</c:v>
                      </c:pt>
                      <c:pt idx="36">
                        <c:v>2194480.1718532471</c:v>
                      </c:pt>
                      <c:pt idx="37">
                        <c:v>2200156.2435630234</c:v>
                      </c:pt>
                      <c:pt idx="38">
                        <c:v>2206227.8120205179</c:v>
                      </c:pt>
                      <c:pt idx="39">
                        <c:v>2212827.8157270025</c:v>
                      </c:pt>
                      <c:pt idx="40">
                        <c:v>2219804.216870348</c:v>
                      </c:pt>
                      <c:pt idx="41">
                        <c:v>2224339.625371106</c:v>
                      </c:pt>
                      <c:pt idx="42">
                        <c:v>2229334.7814680873</c:v>
                      </c:pt>
                      <c:pt idx="43">
                        <c:v>2234712.4414722072</c:v>
                      </c:pt>
                      <c:pt idx="44">
                        <c:v>2240530.4774829135</c:v>
                      </c:pt>
                      <c:pt idx="45">
                        <c:v>2246450.0955861607</c:v>
                      </c:pt>
                      <c:pt idx="46">
                        <c:v>2249954.1431548325</c:v>
                      </c:pt>
                      <c:pt idx="47">
                        <c:v>2253789.0520302244</c:v>
                      </c:pt>
                      <c:pt idx="48">
                        <c:v>2257851.607376975</c:v>
                      </c:pt>
                      <c:pt idx="49">
                        <c:v>2262195.086424592</c:v>
                      </c:pt>
                      <c:pt idx="50">
                        <c:v>2266778.0376464408</c:v>
                      </c:pt>
                      <c:pt idx="51">
                        <c:v>2269221.792731313</c:v>
                      </c:pt>
                      <c:pt idx="52">
                        <c:v>2271842.242462297</c:v>
                      </c:pt>
                      <c:pt idx="53">
                        <c:v>2274679.8114960734</c:v>
                      </c:pt>
                      <c:pt idx="54">
                        <c:v>2277739.7261954225</c:v>
                      </c:pt>
                      <c:pt idx="55">
                        <c:v>2281019.9664113745</c:v>
                      </c:pt>
                      <c:pt idx="56">
                        <c:v>2282135.8267613356</c:v>
                      </c:pt>
                      <c:pt idx="57">
                        <c:v>2283104.4438067642</c:v>
                      </c:pt>
                      <c:pt idx="58">
                        <c:v>2284219.8862704039</c:v>
                      </c:pt>
                      <c:pt idx="59">
                        <c:v>2285510.9119560551</c:v>
                      </c:pt>
                      <c:pt idx="60">
                        <c:v>2286957.5303185903</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4014525.785124517</c:v>
                      </c:pt>
                      <c:pt idx="23">
                        <c:v>4024961.6143757398</c:v>
                      </c:pt>
                      <c:pt idx="24">
                        <c:v>4039357.4720385941</c:v>
                      </c:pt>
                      <c:pt idx="25">
                        <c:v>4056895.4286306924</c:v>
                      </c:pt>
                      <c:pt idx="26">
                        <c:v>4077550.4703819798</c:v>
                      </c:pt>
                      <c:pt idx="27">
                        <c:v>4101196.8798749652</c:v>
                      </c:pt>
                      <c:pt idx="28">
                        <c:v>4126645.5055051409</c:v>
                      </c:pt>
                      <c:pt idx="29">
                        <c:v>4153795.6084500193</c:v>
                      </c:pt>
                      <c:pt idx="30">
                        <c:v>4178738.4380046236</c:v>
                      </c:pt>
                      <c:pt idx="31">
                        <c:v>4190881.0233646203</c:v>
                      </c:pt>
                      <c:pt idx="32">
                        <c:v>4203932.2558209486</c:v>
                      </c:pt>
                      <c:pt idx="33">
                        <c:v>4218051.740383246</c:v>
                      </c:pt>
                      <c:pt idx="34">
                        <c:v>4233394.5051203547</c:v>
                      </c:pt>
                      <c:pt idx="35">
                        <c:v>4249687.5500715841</c:v>
                      </c:pt>
                      <c:pt idx="36">
                        <c:v>4259873.2747739498</c:v>
                      </c:pt>
                      <c:pt idx="37">
                        <c:v>4270891.531622339</c:v>
                      </c:pt>
                      <c:pt idx="38">
                        <c:v>4282677.5174515927</c:v>
                      </c:pt>
                      <c:pt idx="39">
                        <c:v>4295489.2893524161</c:v>
                      </c:pt>
                      <c:pt idx="40">
                        <c:v>4309031.7151012635</c:v>
                      </c:pt>
                      <c:pt idx="41">
                        <c:v>4317835.7433674401</c:v>
                      </c:pt>
                      <c:pt idx="42">
                        <c:v>4327532.2228498161</c:v>
                      </c:pt>
                      <c:pt idx="43">
                        <c:v>4337971.2099166373</c:v>
                      </c:pt>
                      <c:pt idx="44">
                        <c:v>4349265.044525655</c:v>
                      </c:pt>
                      <c:pt idx="45">
                        <c:v>4360756.0679025464</c:v>
                      </c:pt>
                      <c:pt idx="46">
                        <c:v>4367558.042594674</c:v>
                      </c:pt>
                      <c:pt idx="47">
                        <c:v>4375002.277470435</c:v>
                      </c:pt>
                      <c:pt idx="48">
                        <c:v>4382888.4143200098</c:v>
                      </c:pt>
                      <c:pt idx="49">
                        <c:v>4391319.8736477364</c:v>
                      </c:pt>
                      <c:pt idx="50">
                        <c:v>4400216.190725443</c:v>
                      </c:pt>
                      <c:pt idx="51">
                        <c:v>4404959.9505960774</c:v>
                      </c:pt>
                      <c:pt idx="52">
                        <c:v>4410046.7059562225</c:v>
                      </c:pt>
                      <c:pt idx="53">
                        <c:v>4415554.9281982593</c:v>
                      </c:pt>
                      <c:pt idx="54">
                        <c:v>4421494.7626146432</c:v>
                      </c:pt>
                      <c:pt idx="55">
                        <c:v>4427862.2877397267</c:v>
                      </c:pt>
                      <c:pt idx="56">
                        <c:v>4430028.3695955332</c:v>
                      </c:pt>
                      <c:pt idx="57">
                        <c:v>4431908.6262131296</c:v>
                      </c:pt>
                      <c:pt idx="58">
                        <c:v>4434073.896877842</c:v>
                      </c:pt>
                      <c:pt idx="59">
                        <c:v>4436580.0055617532</c:v>
                      </c:pt>
                      <c:pt idx="60">
                        <c:v>4439388.1470890269</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309973.53172331402</c:v>
                      </c:pt>
                      <c:pt idx="24">
                        <c:v>312241.56810798903</c:v>
                      </c:pt>
                      <c:pt idx="25">
                        <c:v>312726.42527824303</c:v>
                      </c:pt>
                      <c:pt idx="26">
                        <c:v>312032.30780712381</c:v>
                      </c:pt>
                      <c:pt idx="27">
                        <c:v>310184.61831503391</c:v>
                      </c:pt>
                      <c:pt idx="28">
                        <c:v>309160.1538858742</c:v>
                      </c:pt>
                      <c:pt idx="29">
                        <c:v>308239.46209968894</c:v>
                      </c:pt>
                      <c:pt idx="30">
                        <c:v>291921.37906536442</c:v>
                      </c:pt>
                      <c:pt idx="31">
                        <c:v>295985.82582631079</c:v>
                      </c:pt>
                      <c:pt idx="32">
                        <c:v>298729.54882348579</c:v>
                      </c:pt>
                      <c:pt idx="33">
                        <c:v>301114.17187224014</c:v>
                      </c:pt>
                      <c:pt idx="34">
                        <c:v>304034.35602372541</c:v>
                      </c:pt>
                      <c:pt idx="35">
                        <c:v>306628.2949625476</c:v>
                      </c:pt>
                      <c:pt idx="36">
                        <c:v>309017.46349518612</c:v>
                      </c:pt>
                      <c:pt idx="37">
                        <c:v>311201.05815548857</c:v>
                      </c:pt>
                      <c:pt idx="38">
                        <c:v>313104.08250333113</c:v>
                      </c:pt>
                      <c:pt idx="39">
                        <c:v>315912.34319351229</c:v>
                      </c:pt>
                      <c:pt idx="40">
                        <c:v>318597.84534178313</c:v>
                      </c:pt>
                      <c:pt idx="41">
                        <c:v>321877.18703011889</c:v>
                      </c:pt>
                      <c:pt idx="42">
                        <c:v>326040.49482535676</c:v>
                      </c:pt>
                      <c:pt idx="43">
                        <c:v>330609.65967355168</c:v>
                      </c:pt>
                      <c:pt idx="44">
                        <c:v>336126.71967170568</c:v>
                      </c:pt>
                      <c:pt idx="45">
                        <c:v>340111.70849910099</c:v>
                      </c:pt>
                      <c:pt idx="46">
                        <c:v>344118.38134988002</c:v>
                      </c:pt>
                      <c:pt idx="47">
                        <c:v>348598.30481184355</c:v>
                      </c:pt>
                      <c:pt idx="48">
                        <c:v>352850.53380053723</c:v>
                      </c:pt>
                      <c:pt idx="49">
                        <c:v>357351.57736563648</c:v>
                      </c:pt>
                      <c:pt idx="50">
                        <c:v>361856.43746899324</c:v>
                      </c:pt>
                      <c:pt idx="51">
                        <c:v>367367.57398319745</c:v>
                      </c:pt>
                      <c:pt idx="52">
                        <c:v>372592.97381051572</c:v>
                      </c:pt>
                      <c:pt idx="53">
                        <c:v>377895.69074115017</c:v>
                      </c:pt>
                      <c:pt idx="54">
                        <c:v>383369.51671880484</c:v>
                      </c:pt>
                      <c:pt idx="55">
                        <c:v>389049.81017769384</c:v>
                      </c:pt>
                      <c:pt idx="56">
                        <c:v>395931.15498147684</c:v>
                      </c:pt>
                      <c:pt idx="57">
                        <c:v>400397.69292799069</c:v>
                      </c:pt>
                      <c:pt idx="58">
                        <c:v>404697.59184527537</c:v>
                      </c:pt>
                      <c:pt idx="59">
                        <c:v>409089.38845798641</c:v>
                      </c:pt>
                      <c:pt idx="60">
                        <c:v>413464.08309307916</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1656046.9024620031</c:v>
                      </c:pt>
                      <c:pt idx="23">
                        <c:v>1647045.1860532654</c:v>
                      </c:pt>
                      <c:pt idx="24">
                        <c:v>1647784.0190100395</c:v>
                      </c:pt>
                      <c:pt idx="25">
                        <c:v>1632656.0990208655</c:v>
                      </c:pt>
                      <c:pt idx="26">
                        <c:v>1607948.7164639288</c:v>
                      </c:pt>
                      <c:pt idx="27">
                        <c:v>1574056.8450456362</c:v>
                      </c:pt>
                      <c:pt idx="28">
                        <c:v>1549447.5878836233</c:v>
                      </c:pt>
                      <c:pt idx="29">
                        <c:v>1527015.9199472498</c:v>
                      </c:pt>
                      <c:pt idx="30">
                        <c:v>1360561.8976403926</c:v>
                      </c:pt>
                      <c:pt idx="31">
                        <c:v>1381804.6743820277</c:v>
                      </c:pt>
                      <c:pt idx="32">
                        <c:v>1390826.6767399318</c:v>
                      </c:pt>
                      <c:pt idx="33">
                        <c:v>1396768.3413783726</c:v>
                      </c:pt>
                      <c:pt idx="34">
                        <c:v>1407770.3834708387</c:v>
                      </c:pt>
                      <c:pt idx="35">
                        <c:v>1415964.7783945638</c:v>
                      </c:pt>
                      <c:pt idx="36">
                        <c:v>1420263.0425168015</c:v>
                      </c:pt>
                      <c:pt idx="37">
                        <c:v>1422896.5648369009</c:v>
                      </c:pt>
                      <c:pt idx="38">
                        <c:v>1423253.805520334</c:v>
                      </c:pt>
                      <c:pt idx="39">
                        <c:v>1431518.6125847399</c:v>
                      </c:pt>
                      <c:pt idx="40">
                        <c:v>1438737.8705454522</c:v>
                      </c:pt>
                      <c:pt idx="41">
                        <c:v>1449125.0678670886</c:v>
                      </c:pt>
                      <c:pt idx="42">
                        <c:v>1466671.0072109431</c:v>
                      </c:pt>
                      <c:pt idx="43">
                        <c:v>1487218.2782866484</c:v>
                      </c:pt>
                      <c:pt idx="44">
                        <c:v>1515037.6195571562</c:v>
                      </c:pt>
                      <c:pt idx="45">
                        <c:v>1530055.7085372049</c:v>
                      </c:pt>
                      <c:pt idx="46">
                        <c:v>1543172.4885533513</c:v>
                      </c:pt>
                      <c:pt idx="47">
                        <c:v>1559656.5223196864</c:v>
                      </c:pt>
                      <c:pt idx="48">
                        <c:v>1573968.2125684638</c:v>
                      </c:pt>
                      <c:pt idx="49">
                        <c:v>1589803.9497701789</c:v>
                      </c:pt>
                      <c:pt idx="50">
                        <c:v>1605250.4683514764</c:v>
                      </c:pt>
                      <c:pt idx="51">
                        <c:v>1626046.6656004584</c:v>
                      </c:pt>
                      <c:pt idx="52">
                        <c:v>1644105.3882065681</c:v>
                      </c:pt>
                      <c:pt idx="53">
                        <c:v>1662148.0618729165</c:v>
                      </c:pt>
                      <c:pt idx="54">
                        <c:v>1680831.5353934944</c:v>
                      </c:pt>
                      <c:pt idx="55">
                        <c:v>1700365.829233668</c:v>
                      </c:pt>
                      <c:pt idx="56">
                        <c:v>1725822.8657784231</c:v>
                      </c:pt>
                      <c:pt idx="57">
                        <c:v>1733706.6944804727</c:v>
                      </c:pt>
                      <c:pt idx="58">
                        <c:v>1740003.6246735614</c:v>
                      </c:pt>
                      <c:pt idx="59">
                        <c:v>1746497.5840806407</c:v>
                      </c:pt>
                      <c:pt idx="60">
                        <c:v>1752440.9351581417</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225824.57760845494</c:v>
                      </c:pt>
                      <c:pt idx="23">
                        <c:v>224597.07082544526</c:v>
                      </c:pt>
                      <c:pt idx="24">
                        <c:v>224697.8207740963</c:v>
                      </c:pt>
                      <c:pt idx="25">
                        <c:v>222634.9225937544</c:v>
                      </c:pt>
                      <c:pt idx="26">
                        <c:v>219265.73406326302</c:v>
                      </c:pt>
                      <c:pt idx="27">
                        <c:v>214644.11523349583</c:v>
                      </c:pt>
                      <c:pt idx="28">
                        <c:v>211288.3074386759</c:v>
                      </c:pt>
                      <c:pt idx="29">
                        <c:v>208229.44362917042</c:v>
                      </c:pt>
                      <c:pt idx="30">
                        <c:v>185531.16786005354</c:v>
                      </c:pt>
                      <c:pt idx="31">
                        <c:v>188427.91014300377</c:v>
                      </c:pt>
                      <c:pt idx="32">
                        <c:v>189658.18319180887</c:v>
                      </c:pt>
                      <c:pt idx="33">
                        <c:v>190468.4101879599</c:v>
                      </c:pt>
                      <c:pt idx="34">
                        <c:v>191968.68865511435</c:v>
                      </c:pt>
                      <c:pt idx="35">
                        <c:v>193086.10614471324</c:v>
                      </c:pt>
                      <c:pt idx="36">
                        <c:v>193672.23307047292</c:v>
                      </c:pt>
                      <c:pt idx="37">
                        <c:v>194031.34975048646</c:v>
                      </c:pt>
                      <c:pt idx="38">
                        <c:v>194080.06438913645</c:v>
                      </c:pt>
                      <c:pt idx="39">
                        <c:v>195207.08353428269</c:v>
                      </c:pt>
                      <c:pt idx="40">
                        <c:v>196191.52780165258</c:v>
                      </c:pt>
                      <c:pt idx="41">
                        <c:v>197607.96380005754</c:v>
                      </c:pt>
                      <c:pt idx="42">
                        <c:v>200000.59189240134</c:v>
                      </c:pt>
                      <c:pt idx="43">
                        <c:v>202802.49249363388</c:v>
                      </c:pt>
                      <c:pt idx="44">
                        <c:v>206596.03903052129</c:v>
                      </c:pt>
                      <c:pt idx="45">
                        <c:v>208643.96025507338</c:v>
                      </c:pt>
                      <c:pt idx="46">
                        <c:v>210432.61207545697</c:v>
                      </c:pt>
                      <c:pt idx="47">
                        <c:v>212680.4348617754</c:v>
                      </c:pt>
                      <c:pt idx="48">
                        <c:v>214632.02898660867</c:v>
                      </c:pt>
                      <c:pt idx="49">
                        <c:v>216791.44769593349</c:v>
                      </c:pt>
                      <c:pt idx="50">
                        <c:v>218897.79113883767</c:v>
                      </c:pt>
                      <c:pt idx="51">
                        <c:v>221733.6362182443</c:v>
                      </c:pt>
                      <c:pt idx="52">
                        <c:v>224196.18930089564</c:v>
                      </c:pt>
                      <c:pt idx="53">
                        <c:v>226656.55389176132</c:v>
                      </c:pt>
                      <c:pt idx="54">
                        <c:v>229204.30028093106</c:v>
                      </c:pt>
                      <c:pt idx="55">
                        <c:v>231868.06762277291</c:v>
                      </c:pt>
                      <c:pt idx="56">
                        <c:v>235339.48169705769</c:v>
                      </c:pt>
                      <c:pt idx="57">
                        <c:v>236414.54924733719</c:v>
                      </c:pt>
                      <c:pt idx="58">
                        <c:v>237273.22154639472</c:v>
                      </c:pt>
                      <c:pt idx="59">
                        <c:v>238158.7614655419</c:v>
                      </c:pt>
                      <c:pt idx="60">
                        <c:v>238969.21843065569</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24134771.290486101</c:v>
                      </c:pt>
                      <c:pt idx="24">
                        <c:v>24696932.291742448</c:v>
                      </c:pt>
                      <c:pt idx="25">
                        <c:v>25128517.122223884</c:v>
                      </c:pt>
                      <c:pt idx="26">
                        <c:v>25474971.393442631</c:v>
                      </c:pt>
                      <c:pt idx="27">
                        <c:v>25734234.718944557</c:v>
                      </c:pt>
                      <c:pt idx="28">
                        <c:v>26066681.867313132</c:v>
                      </c:pt>
                      <c:pt idx="29">
                        <c:v>26412334.873995647</c:v>
                      </c:pt>
                      <c:pt idx="30">
                        <c:v>25355832.065900605</c:v>
                      </c:pt>
                      <c:pt idx="31">
                        <c:v>26028344.352485999</c:v>
                      </c:pt>
                      <c:pt idx="32">
                        <c:v>26589488.960053034</c:v>
                      </c:pt>
                      <c:pt idx="33">
                        <c:v>27126092.090025831</c:v>
                      </c:pt>
                      <c:pt idx="34">
                        <c:v>27722677.544957481</c:v>
                      </c:pt>
                      <c:pt idx="35">
                        <c:v>28297785.426376317</c:v>
                      </c:pt>
                      <c:pt idx="36">
                        <c:v>28814162.004052896</c:v>
                      </c:pt>
                      <c:pt idx="37">
                        <c:v>29317635.381325193</c:v>
                      </c:pt>
                      <c:pt idx="38">
                        <c:v>29800229.683156215</c:v>
                      </c:pt>
                      <c:pt idx="39">
                        <c:v>30380510.602899391</c:v>
                      </c:pt>
                      <c:pt idx="40">
                        <c:v>30956813.105027635</c:v>
                      </c:pt>
                      <c:pt idx="41">
                        <c:v>31560856.737746526</c:v>
                      </c:pt>
                      <c:pt idx="42">
                        <c:v>32264278.577724364</c:v>
                      </c:pt>
                      <c:pt idx="43">
                        <c:v>33019682.608176969</c:v>
                      </c:pt>
                      <c:pt idx="44">
                        <c:v>33885248.740652651</c:v>
                      </c:pt>
                      <c:pt idx="45">
                        <c:v>34600729.311977826</c:v>
                      </c:pt>
                      <c:pt idx="46">
                        <c:v>35285301.182877466</c:v>
                      </c:pt>
                      <c:pt idx="47">
                        <c:v>36028935.162048012</c:v>
                      </c:pt>
                      <c:pt idx="48">
                        <c:v>36756871.757598549</c:v>
                      </c:pt>
                      <c:pt idx="49">
                        <c:v>37520678.916710757</c:v>
                      </c:pt>
                      <c:pt idx="50">
                        <c:v>38294101.07818374</c:v>
                      </c:pt>
                      <c:pt idx="51">
                        <c:v>39144686.374357127</c:v>
                      </c:pt>
                      <c:pt idx="52">
                        <c:v>39972536.505911946</c:v>
                      </c:pt>
                      <c:pt idx="53">
                        <c:v>40817812.155378096</c:v>
                      </c:pt>
                      <c:pt idx="54">
                        <c:v>41691325.507981867</c:v>
                      </c:pt>
                      <c:pt idx="55">
                        <c:v>42597526.257199205</c:v>
                      </c:pt>
                      <c:pt idx="56">
                        <c:v>43602062.498085409</c:v>
                      </c:pt>
                      <c:pt idx="57">
                        <c:v>44339009.799270891</c:v>
                      </c:pt>
                      <c:pt idx="58">
                        <c:v>45063142.624176532</c:v>
                      </c:pt>
                      <c:pt idx="59">
                        <c:v>45804144.391420536</c:v>
                      </c:pt>
                      <c:pt idx="60">
                        <c:v>46549539.221671827</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95281774.784899965</c:v>
                      </c:pt>
                      <c:pt idx="24">
                        <c:v>97270973.713722661</c:v>
                      </c:pt>
                      <c:pt idx="25">
                        <c:v>97842130.842887625</c:v>
                      </c:pt>
                      <c:pt idx="26">
                        <c:v>97491901.623900309</c:v>
                      </c:pt>
                      <c:pt idx="27">
                        <c:v>96224012.280420944</c:v>
                      </c:pt>
                      <c:pt idx="28">
                        <c:v>95690259.829558313</c:v>
                      </c:pt>
                      <c:pt idx="29">
                        <c:v>95277598.733681589</c:v>
                      </c:pt>
                      <c:pt idx="30">
                        <c:v>81452097.439482555</c:v>
                      </c:pt>
                      <c:pt idx="31">
                        <c:v>85042126.487729847</c:v>
                      </c:pt>
                      <c:pt idx="32">
                        <c:v>87516090.742548883</c:v>
                      </c:pt>
                      <c:pt idx="33">
                        <c:v>89711681.838842064</c:v>
                      </c:pt>
                      <c:pt idx="34">
                        <c:v>92414964.991402462</c:v>
                      </c:pt>
                      <c:pt idx="35">
                        <c:v>94868672.633047745</c:v>
                      </c:pt>
                      <c:pt idx="36">
                        <c:v>97034415.210543662</c:v>
                      </c:pt>
                      <c:pt idx="37">
                        <c:v>99046636.40739049</c:v>
                      </c:pt>
                      <c:pt idx="38">
                        <c:v>100837729.43397622</c:v>
                      </c:pt>
                      <c:pt idx="39">
                        <c:v>103461990.00342186</c:v>
                      </c:pt>
                      <c:pt idx="40">
                        <c:v>106007524.56278527</c:v>
                      </c:pt>
                      <c:pt idx="41">
                        <c:v>108985749.33098063</c:v>
                      </c:pt>
                      <c:pt idx="42">
                        <c:v>112780710.05819987</c:v>
                      </c:pt>
                      <c:pt idx="43">
                        <c:v>116968051.63431387</c:v>
                      </c:pt>
                      <c:pt idx="44">
                        <c:v>122037050.50027233</c:v>
                      </c:pt>
                      <c:pt idx="45">
                        <c:v>125762928.88931111</c:v>
                      </c:pt>
                      <c:pt idx="46">
                        <c:v>129394333.99705009</c:v>
                      </c:pt>
                      <c:pt idx="47">
                        <c:v>133474382.12248956</c:v>
                      </c:pt>
                      <c:pt idx="48">
                        <c:v>137372895.51815009</c:v>
                      </c:pt>
                      <c:pt idx="49">
                        <c:v>141520058.3987388</c:v>
                      </c:pt>
                      <c:pt idx="50">
                        <c:v>145695897.92715052</c:v>
                      </c:pt>
                      <c:pt idx="51">
                        <c:v>150651953.63436225</c:v>
                      </c:pt>
                      <c:pt idx="52">
                        <c:v>155367528.35269105</c:v>
                      </c:pt>
                      <c:pt idx="53">
                        <c:v>160171566.53623164</c:v>
                      </c:pt>
                      <c:pt idx="54">
                        <c:v>165149793.6018627</c:v>
                      </c:pt>
                      <c:pt idx="55">
                        <c:v>170335227.8365221</c:v>
                      </c:pt>
                      <c:pt idx="56">
                        <c:v>176445655.37145886</c:v>
                      </c:pt>
                      <c:pt idx="57">
                        <c:v>180380889.0567705</c:v>
                      </c:pt>
                      <c:pt idx="58">
                        <c:v>184177355.81758082</c:v>
                      </c:pt>
                      <c:pt idx="59">
                        <c:v>188069376.29859361</c:v>
                      </c:pt>
                      <c:pt idx="60">
                        <c:v>191958709.2247166</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1005615.4704369218</c:v>
                      </c:pt>
                      <c:pt idx="24">
                        <c:v>1029038.8454892697</c:v>
                      </c:pt>
                      <c:pt idx="25">
                        <c:v>1047021.5467593295</c:v>
                      </c:pt>
                      <c:pt idx="26">
                        <c:v>1061457.141393444</c:v>
                      </c:pt>
                      <c:pt idx="27">
                        <c:v>1072259.7799560241</c:v>
                      </c:pt>
                      <c:pt idx="28">
                        <c:v>1086111.7444713814</c:v>
                      </c:pt>
                      <c:pt idx="29">
                        <c:v>1100513.9530831531</c:v>
                      </c:pt>
                      <c:pt idx="30">
                        <c:v>1056493.0027458596</c:v>
                      </c:pt>
                      <c:pt idx="31">
                        <c:v>1084514.3480202509</c:v>
                      </c:pt>
                      <c:pt idx="32">
                        <c:v>1107895.373335544</c:v>
                      </c:pt>
                      <c:pt idx="33">
                        <c:v>1130253.8370844107</c:v>
                      </c:pt>
                      <c:pt idx="34">
                        <c:v>1155111.5643732294</c:v>
                      </c:pt>
                      <c:pt idx="35">
                        <c:v>1179074.392765681</c:v>
                      </c:pt>
                      <c:pt idx="36">
                        <c:v>1200590.0835022051</c:v>
                      </c:pt>
                      <c:pt idx="37">
                        <c:v>1221568.1408885508</c:v>
                      </c:pt>
                      <c:pt idx="38">
                        <c:v>1241676.2367981768</c:v>
                      </c:pt>
                      <c:pt idx="39">
                        <c:v>1265854.6084541425</c:v>
                      </c:pt>
                      <c:pt idx="40">
                        <c:v>1289867.212709486</c:v>
                      </c:pt>
                      <c:pt idx="41">
                        <c:v>1315035.6974061064</c:v>
                      </c:pt>
                      <c:pt idx="42">
                        <c:v>1344344.9407385164</c:v>
                      </c:pt>
                      <c:pt idx="43">
                        <c:v>1375820.1086740417</c:v>
                      </c:pt>
                      <c:pt idx="44">
                        <c:v>1411885.3641938618</c:v>
                      </c:pt>
                      <c:pt idx="45">
                        <c:v>1441697.0546657441</c:v>
                      </c:pt>
                      <c:pt idx="46">
                        <c:v>1470220.8826198957</c:v>
                      </c:pt>
                      <c:pt idx="47">
                        <c:v>1501205.6317520018</c:v>
                      </c:pt>
                      <c:pt idx="48">
                        <c:v>1531536.3232332743</c:v>
                      </c:pt>
                      <c:pt idx="49">
                        <c:v>1563361.6215296164</c:v>
                      </c:pt>
                      <c:pt idx="50">
                        <c:v>1595587.5449243241</c:v>
                      </c:pt>
                      <c:pt idx="51">
                        <c:v>1631028.5989315487</c:v>
                      </c:pt>
                      <c:pt idx="52">
                        <c:v>1665522.3544129995</c:v>
                      </c:pt>
                      <c:pt idx="53">
                        <c:v>1700742.1731407556</c:v>
                      </c:pt>
                      <c:pt idx="54">
                        <c:v>1737138.5628325795</c:v>
                      </c:pt>
                      <c:pt idx="55">
                        <c:v>1774896.927383302</c:v>
                      </c:pt>
                      <c:pt idx="56">
                        <c:v>1816752.6040868936</c:v>
                      </c:pt>
                      <c:pt idx="57">
                        <c:v>1847458.7416362888</c:v>
                      </c:pt>
                      <c:pt idx="58">
                        <c:v>1877630.942674024</c:v>
                      </c:pt>
                      <c:pt idx="59">
                        <c:v>1908506.016309191</c:v>
                      </c:pt>
                      <c:pt idx="60">
                        <c:v>1939564.1342363278</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3970073.9493708354</c:v>
                      </c:pt>
                      <c:pt idx="24">
                        <c:v>4052957.2380717816</c:v>
                      </c:pt>
                      <c:pt idx="25">
                        <c:v>4076755.4517869884</c:v>
                      </c:pt>
                      <c:pt idx="26">
                        <c:v>4062162.5676625171</c:v>
                      </c:pt>
                      <c:pt idx="27">
                        <c:v>4009333.8450175426</c:v>
                      </c:pt>
                      <c:pt idx="28">
                        <c:v>3987094.1595649333</c:v>
                      </c:pt>
                      <c:pt idx="29">
                        <c:v>3969899.9472367363</c:v>
                      </c:pt>
                      <c:pt idx="30">
                        <c:v>3393837.3933117758</c:v>
                      </c:pt>
                      <c:pt idx="31">
                        <c:v>3543421.9369887467</c:v>
                      </c:pt>
                      <c:pt idx="32">
                        <c:v>3646503.7809395399</c:v>
                      </c:pt>
                      <c:pt idx="33">
                        <c:v>3737986.7432850893</c:v>
                      </c:pt>
                      <c:pt idx="34">
                        <c:v>3850623.5413084393</c:v>
                      </c:pt>
                      <c:pt idx="35">
                        <c:v>3952861.359710326</c:v>
                      </c:pt>
                      <c:pt idx="36">
                        <c:v>4043100.6337726563</c:v>
                      </c:pt>
                      <c:pt idx="37">
                        <c:v>4126943.183641274</c:v>
                      </c:pt>
                      <c:pt idx="38">
                        <c:v>4201572.0597490128</c:v>
                      </c:pt>
                      <c:pt idx="39">
                        <c:v>4310916.2501425808</c:v>
                      </c:pt>
                      <c:pt idx="40">
                        <c:v>4416980.1901160572</c:v>
                      </c:pt>
                      <c:pt idx="41">
                        <c:v>4541072.8887908636</c:v>
                      </c:pt>
                      <c:pt idx="42">
                        <c:v>4699196.2524249991</c:v>
                      </c:pt>
                      <c:pt idx="43">
                        <c:v>4873668.8180964151</c:v>
                      </c:pt>
                      <c:pt idx="44">
                        <c:v>5084877.1041780189</c:v>
                      </c:pt>
                      <c:pt idx="45">
                        <c:v>5240122.0370546337</c:v>
                      </c:pt>
                      <c:pt idx="46">
                        <c:v>5391430.5832104255</c:v>
                      </c:pt>
                      <c:pt idx="47">
                        <c:v>5561432.5884370701</c:v>
                      </c:pt>
                      <c:pt idx="48">
                        <c:v>5723870.646589593</c:v>
                      </c:pt>
                      <c:pt idx="49">
                        <c:v>5896669.0999474553</c:v>
                      </c:pt>
                      <c:pt idx="50">
                        <c:v>6070662.4136312781</c:v>
                      </c:pt>
                      <c:pt idx="51">
                        <c:v>6277164.7347651003</c:v>
                      </c:pt>
                      <c:pt idx="52">
                        <c:v>6473647.0146954665</c:v>
                      </c:pt>
                      <c:pt idx="53">
                        <c:v>6673815.2723429902</c:v>
                      </c:pt>
                      <c:pt idx="54">
                        <c:v>6881241.4000776187</c:v>
                      </c:pt>
                      <c:pt idx="55">
                        <c:v>7097301.1598550947</c:v>
                      </c:pt>
                      <c:pt idx="56">
                        <c:v>7351902.3071441259</c:v>
                      </c:pt>
                      <c:pt idx="57">
                        <c:v>7515870.3773654448</c:v>
                      </c:pt>
                      <c:pt idx="58">
                        <c:v>7674056.4923992082</c:v>
                      </c:pt>
                      <c:pt idx="59">
                        <c:v>7836224.012441407</c:v>
                      </c:pt>
                      <c:pt idx="60">
                        <c:v>7998279.5510298656</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24497.747310072355</c:v>
                </c:pt>
                <c:pt idx="14">
                  <c:v>24503.520525013522</c:v>
                </c:pt>
                <c:pt idx="15">
                  <c:v>24330.600675717971</c:v>
                </c:pt>
                <c:pt idx="16">
                  <c:v>24050.505209418399</c:v>
                </c:pt>
                <c:pt idx="17">
                  <c:v>23669.383405227258</c:v>
                </c:pt>
                <c:pt idx="18">
                  <c:v>23387.298701141393</c:v>
                </c:pt>
                <c:pt idx="19">
                  <c:v>23126.61405950896</c:v>
                </c:pt>
                <c:pt idx="20">
                  <c:v>21313.144688128854</c:v>
                </c:pt>
                <c:pt idx="21">
                  <c:v>21643.62492091993</c:v>
                </c:pt>
                <c:pt idx="22">
                  <c:v>21842.958136389145</c:v>
                </c:pt>
                <c:pt idx="23">
                  <c:v>22009.194240731045</c:v>
                </c:pt>
                <c:pt idx="24">
                  <c:v>22231.074707470554</c:v>
                </c:pt>
                <c:pt idx="25">
                  <c:v>22422.850167511733</c:v>
                </c:pt>
                <c:pt idx="26">
                  <c:v>22559.899729891837</c:v>
                </c:pt>
                <c:pt idx="27">
                  <c:v>22678.789804693661</c:v>
                </c:pt>
                <c:pt idx="28">
                  <c:v>22772.564291623203</c:v>
                </c:pt>
                <c:pt idx="29">
                  <c:v>22954.561330846169</c:v>
                </c:pt>
                <c:pt idx="30">
                  <c:v>23125.578897891348</c:v>
                </c:pt>
                <c:pt idx="31">
                  <c:v>23204.761754545805</c:v>
                </c:pt>
                <c:pt idx="32">
                  <c:v>23360.460548427258</c:v>
                </c:pt>
                <c:pt idx="33">
                  <c:v>23545.70515377089</c:v>
                </c:pt>
                <c:pt idx="34">
                  <c:v>23807.124650761561</c:v>
                </c:pt>
                <c:pt idx="35">
                  <c:v>23923.169451213398</c:v>
                </c:pt>
                <c:pt idx="36">
                  <c:v>24005.969030672688</c:v>
                </c:pt>
                <c:pt idx="37">
                  <c:v>24121.902266535981</c:v>
                </c:pt>
                <c:pt idx="38">
                  <c:v>24210.355152899174</c:v>
                </c:pt>
                <c:pt idx="39">
                  <c:v>24311.449018618248</c:v>
                </c:pt>
                <c:pt idx="40">
                  <c:v>24404.324527169487</c:v>
                </c:pt>
                <c:pt idx="41">
                  <c:v>24615.408993379664</c:v>
                </c:pt>
                <c:pt idx="42">
                  <c:v>24795.702904811915</c:v>
                </c:pt>
                <c:pt idx="43">
                  <c:v>24974.386073971655</c:v>
                </c:pt>
                <c:pt idx="44">
                  <c:v>25158.443800992005</c:v>
                </c:pt>
                <c:pt idx="45">
                  <c:v>25350.056020455428</c:v>
                </c:pt>
                <c:pt idx="46">
                  <c:v>25595.524180483277</c:v>
                </c:pt>
                <c:pt idx="47">
                  <c:v>25652.270580970602</c:v>
                </c:pt>
                <c:pt idx="48">
                  <c:v>25690.931860069006</c:v>
                </c:pt>
                <c:pt idx="49">
                  <c:v>25730.493648525517</c:v>
                </c:pt>
                <c:pt idx="50">
                  <c:v>25763.015085078572</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773.31500928313358</c:v>
                </c:pt>
                <c:pt idx="14">
                  <c:v>776.88026181002795</c:v>
                </c:pt>
                <c:pt idx="15">
                  <c:v>774.22773270072685</c:v>
                </c:pt>
                <c:pt idx="16">
                  <c:v>767.77846974201964</c:v>
                </c:pt>
                <c:pt idx="17">
                  <c:v>757.64147058917911</c:v>
                </c:pt>
                <c:pt idx="18">
                  <c:v>751.15754383054082</c:v>
                </c:pt>
                <c:pt idx="19">
                  <c:v>745.51317364056126</c:v>
                </c:pt>
                <c:pt idx="20">
                  <c:v>681.46155894576009</c:v>
                </c:pt>
                <c:pt idx="21">
                  <c:v>692.86732538795809</c:v>
                </c:pt>
                <c:pt idx="22">
                  <c:v>699.39212063733851</c:v>
                </c:pt>
                <c:pt idx="23">
                  <c:v>704.72508415997606</c:v>
                </c:pt>
                <c:pt idx="24">
                  <c:v>712.20843035591349</c:v>
                </c:pt>
                <c:pt idx="25">
                  <c:v>718.6108501769346</c:v>
                </c:pt>
                <c:pt idx="26">
                  <c:v>723.31700906424885</c:v>
                </c:pt>
                <c:pt idx="27">
                  <c:v>727.38525584131366</c:v>
                </c:pt>
                <c:pt idx="28">
                  <c:v>730.55056909954737</c:v>
                </c:pt>
                <c:pt idx="29">
                  <c:v>737.09601000578937</c:v>
                </c:pt>
                <c:pt idx="30">
                  <c:v>743.27474666916328</c:v>
                </c:pt>
                <c:pt idx="31">
                  <c:v>750.76962733079017</c:v>
                </c:pt>
                <c:pt idx="32">
                  <c:v>761.41228249937808</c:v>
                </c:pt>
                <c:pt idx="33">
                  <c:v>773.46132112230077</c:v>
                </c:pt>
                <c:pt idx="34">
                  <c:v>788.77982516687086</c:v>
                </c:pt>
                <c:pt idx="35">
                  <c:v>798.7129418251194</c:v>
                </c:pt>
                <c:pt idx="36">
                  <c:v>807.81842627326637</c:v>
                </c:pt>
                <c:pt idx="37">
                  <c:v>818.50597003561677</c:v>
                </c:pt>
                <c:pt idx="38">
                  <c:v>828.36349907766919</c:v>
                </c:pt>
                <c:pt idx="39">
                  <c:v>839.01333282960752</c:v>
                </c:pt>
                <c:pt idx="40">
                  <c:v>849.61875419758996</c:v>
                </c:pt>
                <c:pt idx="41">
                  <c:v>862.62218720907708</c:v>
                </c:pt>
                <c:pt idx="42">
                  <c:v>874.55314588033423</c:v>
                </c:pt>
                <c:pt idx="43">
                  <c:v>886.623525331211</c:v>
                </c:pt>
                <c:pt idx="44">
                  <c:v>899.13457200336393</c:v>
                </c:pt>
                <c:pt idx="45">
                  <c:v>912.19038098779788</c:v>
                </c:pt>
                <c:pt idx="46">
                  <c:v>928.01344026915001</c:v>
                </c:pt>
                <c:pt idx="47">
                  <c:v>935.94959641100047</c:v>
                </c:pt>
                <c:pt idx="48">
                  <c:v>943.26918911865266</c:v>
                </c:pt>
                <c:pt idx="49">
                  <c:v>950.79335853373641</c:v>
                </c:pt>
                <c:pt idx="50">
                  <c:v>958.1774515005684</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1628.349845404995</c:v>
                </c:pt>
                <c:pt idx="14">
                  <c:v>1654.3267410473245</c:v>
                </c:pt>
                <c:pt idx="15">
                  <c:v>1663.6384309182044</c:v>
                </c:pt>
                <c:pt idx="16">
                  <c:v>1662.3021398559861</c:v>
                </c:pt>
                <c:pt idx="17">
                  <c:v>1650.3976769413116</c:v>
                </c:pt>
                <c:pt idx="18">
                  <c:v>1647.5009704288248</c:v>
                </c:pt>
                <c:pt idx="19">
                  <c:v>1646.2684747308624</c:v>
                </c:pt>
                <c:pt idx="20">
                  <c:v>1485.0672239967832</c:v>
                </c:pt>
                <c:pt idx="21">
                  <c:v>1531.7678337568175</c:v>
                </c:pt>
                <c:pt idx="22">
                  <c:v>1565.2797135794174</c:v>
                </c:pt>
                <c:pt idx="23">
                  <c:v>1595.5977309339771</c:v>
                </c:pt>
                <c:pt idx="24">
                  <c:v>1632.1146503587709</c:v>
                </c:pt>
                <c:pt idx="25">
                  <c:v>1665.7737581151644</c:v>
                </c:pt>
                <c:pt idx="26">
                  <c:v>1695.0546053993332</c:v>
                </c:pt>
                <c:pt idx="27">
                  <c:v>1722.606278767714</c:v>
                </c:pt>
                <c:pt idx="28">
                  <c:v>1747.6145266122355</c:v>
                </c:pt>
                <c:pt idx="29">
                  <c:v>1782.7040059062331</c:v>
                </c:pt>
                <c:pt idx="30">
                  <c:v>1816.9551645589017</c:v>
                </c:pt>
                <c:pt idx="31">
                  <c:v>1853.8651522635487</c:v>
                </c:pt>
                <c:pt idx="32">
                  <c:v>1900.6148321123671</c:v>
                </c:pt>
                <c:pt idx="33">
                  <c:v>1952.1111580596387</c:v>
                </c:pt>
                <c:pt idx="34">
                  <c:v>2014.1969847431008</c:v>
                </c:pt>
                <c:pt idx="35">
                  <c:v>2060.2706197803477</c:v>
                </c:pt>
                <c:pt idx="36">
                  <c:v>2104.4830447343411</c:v>
                </c:pt>
                <c:pt idx="37">
                  <c:v>2154.1067837727705</c:v>
                </c:pt>
                <c:pt idx="38">
                  <c:v>2201.6153246846625</c:v>
                </c:pt>
                <c:pt idx="39">
                  <c:v>2252.1439705293146</c:v>
                </c:pt>
                <c:pt idx="40">
                  <c:v>2303.0675778776113</c:v>
                </c:pt>
                <c:pt idx="41">
                  <c:v>2363.6430162981173</c:v>
                </c:pt>
                <c:pt idx="42">
                  <c:v>2421.4281026600174</c:v>
                </c:pt>
                <c:pt idx="43">
                  <c:v>2480.3458467715691</c:v>
                </c:pt>
                <c:pt idx="44">
                  <c:v>2541.419721005976</c:v>
                </c:pt>
                <c:pt idx="45">
                  <c:v>2605.045094325405</c:v>
                </c:pt>
                <c:pt idx="46">
                  <c:v>2679.0543822771356</c:v>
                </c:pt>
                <c:pt idx="47">
                  <c:v>2727.2018300434552</c:v>
                </c:pt>
                <c:pt idx="48">
                  <c:v>2773.7739329888864</c:v>
                </c:pt>
                <c:pt idx="49">
                  <c:v>2821.5666216112859</c:v>
                </c:pt>
                <c:pt idx="50">
                  <c:v>2869.4090203291116</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892.99961042800624</c:v>
                </c:pt>
                <c:pt idx="22">
                  <c:v>897.66502434733229</c:v>
                </c:pt>
                <c:pt idx="23">
                  <c:v>901.31677957229135</c:v>
                </c:pt>
                <c:pt idx="24">
                  <c:v>904.69718143729835</c:v>
                </c:pt>
                <c:pt idx="25">
                  <c:v>908.47574920758507</c:v>
                </c:pt>
                <c:pt idx="26">
                  <c:v>912.00886230682897</c:v>
                </c:pt>
                <c:pt idx="27">
                  <c:v>915.15522281701794</c:v>
                </c:pt>
                <c:pt idx="28">
                  <c:v>918.14911339193043</c:v>
                </c:pt>
                <c:pt idx="29">
                  <c:v>920.93862378014114</c:v>
                </c:pt>
                <c:pt idx="30">
                  <c:v>924.38117404713842</c:v>
                </c:pt>
                <c:pt idx="31">
                  <c:v>927.72886456057699</c:v>
                </c:pt>
                <c:pt idx="32">
                  <c:v>931.30044289181558</c:v>
                </c:pt>
                <c:pt idx="33">
                  <c:v>935.47463981104102</c:v>
                </c:pt>
                <c:pt idx="34">
                  <c:v>939.89945345474598</c:v>
                </c:pt>
                <c:pt idx="35">
                  <c:v>944.93069992096457</c:v>
                </c:pt>
                <c:pt idx="36">
                  <c:v>948.88651159106837</c:v>
                </c:pt>
                <c:pt idx="37">
                  <c:v>952.65045566979234</c:v>
                </c:pt>
                <c:pt idx="38">
                  <c:v>956.69732285696261</c:v>
                </c:pt>
                <c:pt idx="39">
                  <c:v>960.56505395961551</c:v>
                </c:pt>
                <c:pt idx="40">
                  <c:v>964.56260681029062</c:v>
                </c:pt>
                <c:pt idx="41">
                  <c:v>968.53102991020114</c:v>
                </c:pt>
                <c:pt idx="42">
                  <c:v>972.91815093223238</c:v>
                </c:pt>
                <c:pt idx="43">
                  <c:v>977.08221160435949</c:v>
                </c:pt>
                <c:pt idx="44">
                  <c:v>981.24968371542741</c:v>
                </c:pt>
                <c:pt idx="45">
                  <c:v>985.47496417545995</c:v>
                </c:pt>
                <c:pt idx="46">
                  <c:v>989.77519860882489</c:v>
                </c:pt>
                <c:pt idx="47">
                  <c:v>994.53641231240658</c:v>
                </c:pt>
                <c:pt idx="48">
                  <c:v>997.87560728554854</c:v>
                </c:pt>
                <c:pt idx="49">
                  <c:v>1001.0952288876074</c:v>
                </c:pt>
                <c:pt idx="50">
                  <c:v>1004.3409499737036</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469.9309125855201</c:v>
                </c:pt>
                <c:pt idx="22">
                  <c:v>469.81336359291407</c:v>
                </c:pt>
                <c:pt idx="23">
                  <c:v>469.7213545760593</c:v>
                </c:pt>
                <c:pt idx="24">
                  <c:v>469.63618253329815</c:v>
                </c:pt>
                <c:pt idx="25">
                  <c:v>469.54097836865776</c:v>
                </c:pt>
                <c:pt idx="26">
                  <c:v>469.45195863905593</c:v>
                </c:pt>
                <c:pt idx="27">
                  <c:v>469.37268346331723</c:v>
                </c:pt>
                <c:pt idx="28">
                  <c:v>469.29724989469105</c:v>
                </c:pt>
                <c:pt idx="29">
                  <c:v>469.22696585523204</c:v>
                </c:pt>
                <c:pt idx="30">
                  <c:v>469.14022793167828</c:v>
                </c:pt>
                <c:pt idx="31">
                  <c:v>469.05588007868687</c:v>
                </c:pt>
                <c:pt idx="32">
                  <c:v>468.96589118550173</c:v>
                </c:pt>
                <c:pt idx="33">
                  <c:v>468.86071881467279</c:v>
                </c:pt>
                <c:pt idx="34">
                  <c:v>468.74923194656606</c:v>
                </c:pt>
                <c:pt idx="35">
                  <c:v>468.62246549799733</c:v>
                </c:pt>
                <c:pt idx="36">
                  <c:v>468.5227955255574</c:v>
                </c:pt>
                <c:pt idx="37">
                  <c:v>468.42795981701568</c:v>
                </c:pt>
                <c:pt idx="38">
                  <c:v>468.325995624923</c:v>
                </c:pt>
                <c:pt idx="39">
                  <c:v>468.22854491580057</c:v>
                </c:pt>
                <c:pt idx="40">
                  <c:v>468.12782323952234</c:v>
                </c:pt>
                <c:pt idx="41">
                  <c:v>468.02783551159615</c:v>
                </c:pt>
                <c:pt idx="42">
                  <c:v>467.91729834051165</c:v>
                </c:pt>
                <c:pt idx="43">
                  <c:v>467.81238136087751</c:v>
                </c:pt>
                <c:pt idx="44">
                  <c:v>467.70737842719552</c:v>
                </c:pt>
                <c:pt idx="45">
                  <c:v>467.60091896397466</c:v>
                </c:pt>
                <c:pt idx="46">
                  <c:v>467.49257097291689</c:v>
                </c:pt>
                <c:pt idx="47">
                  <c:v>467.37260822489156</c:v>
                </c:pt>
                <c:pt idx="48">
                  <c:v>467.28847442411939</c:v>
                </c:pt>
                <c:pt idx="49">
                  <c:v>467.20735337410349</c:v>
                </c:pt>
                <c:pt idx="50">
                  <c:v>467.12557472583177</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17093.826915551952</c:v>
                </c:pt>
                <c:pt idx="14">
                  <c:v>17091.396392844264</c:v>
                </c:pt>
                <c:pt idx="15">
                  <c:v>16996.523789335217</c:v>
                </c:pt>
                <c:pt idx="16">
                  <c:v>16845.135916251194</c:v>
                </c:pt>
                <c:pt idx="17">
                  <c:v>16640.888084222788</c:v>
                </c:pt>
                <c:pt idx="18">
                  <c:v>16487.529960272332</c:v>
                </c:pt>
                <c:pt idx="19">
                  <c:v>16345.805129696333</c:v>
                </c:pt>
                <c:pt idx="20">
                  <c:v>15401.51338572641</c:v>
                </c:pt>
                <c:pt idx="21">
                  <c:v>15559.250259076742</c:v>
                </c:pt>
                <c:pt idx="22">
                  <c:v>15660.642208066411</c:v>
                </c:pt>
                <c:pt idx="23">
                  <c:v>15744.018666502143</c:v>
                </c:pt>
                <c:pt idx="24">
                  <c:v>15855.748284442217</c:v>
                </c:pt>
                <c:pt idx="25">
                  <c:v>15952.123607028068</c:v>
                </c:pt>
                <c:pt idx="26">
                  <c:v>16019.915777379028</c:v>
                </c:pt>
                <c:pt idx="27">
                  <c:v>16077.942070662069</c:v>
                </c:pt>
                <c:pt idx="28">
                  <c:v>16122.828604229202</c:v>
                </c:pt>
                <c:pt idx="29">
                  <c:v>16212.778100163969</c:v>
                </c:pt>
                <c:pt idx="30">
                  <c:v>16297.447641513161</c:v>
                </c:pt>
                <c:pt idx="31">
                  <c:v>16332.305872153571</c:v>
                </c:pt>
                <c:pt idx="32">
                  <c:v>16406.241692148429</c:v>
                </c:pt>
                <c:pt idx="33">
                  <c:v>16495.381450393801</c:v>
                </c:pt>
                <c:pt idx="34">
                  <c:v>16623.210825906786</c:v>
                </c:pt>
                <c:pt idx="35">
                  <c:v>16676.747333350337</c:v>
                </c:pt>
                <c:pt idx="36">
                  <c:v>16711.989082281249</c:v>
                </c:pt>
                <c:pt idx="37">
                  <c:v>16763.564286915818</c:v>
                </c:pt>
                <c:pt idx="38">
                  <c:v>16800.934904807964</c:v>
                </c:pt>
                <c:pt idx="39">
                  <c:v>16844.149730729314</c:v>
                </c:pt>
                <c:pt idx="40">
                  <c:v>16882.824892079276</c:v>
                </c:pt>
                <c:pt idx="41">
                  <c:v>16982.793544338863</c:v>
                </c:pt>
                <c:pt idx="42">
                  <c:v>17067.032824254886</c:v>
                </c:pt>
                <c:pt idx="43">
                  <c:v>17149.824072377902</c:v>
                </c:pt>
                <c:pt idx="44">
                  <c:v>17234.86075232863</c:v>
                </c:pt>
                <c:pt idx="45">
                  <c:v>17323.257633762991</c:v>
                </c:pt>
                <c:pt idx="46">
                  <c:v>17438.204150508431</c:v>
                </c:pt>
                <c:pt idx="47">
                  <c:v>17457.974435219832</c:v>
                </c:pt>
                <c:pt idx="48">
                  <c:v>17467.144461418975</c:v>
                </c:pt>
                <c:pt idx="49">
                  <c:v>17476.295952380831</c:v>
                </c:pt>
                <c:pt idx="50">
                  <c:v>17481.551334401061</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2037.2818538590109</c:v>
                </c:pt>
                <c:pt idx="16">
                  <c:v>2020.7416492119837</c:v>
                </c:pt>
                <c:pt idx="17">
                  <c:v>1997.8167979558436</c:v>
                </c:pt>
                <c:pt idx="18">
                  <c:v>1981.3182233351415</c:v>
                </c:pt>
                <c:pt idx="19">
                  <c:v>1966.2827775921453</c:v>
                </c:pt>
                <c:pt idx="20">
                  <c:v>1851.1201579223073</c:v>
                </c:pt>
                <c:pt idx="21">
                  <c:v>1872.820271885671</c:v>
                </c:pt>
                <c:pt idx="22">
                  <c:v>1886.4065202553863</c:v>
                </c:pt>
                <c:pt idx="23">
                  <c:v>1897.9007195413274</c:v>
                </c:pt>
                <c:pt idx="24">
                  <c:v>1913.0457016522892</c:v>
                </c:pt>
                <c:pt idx="25">
                  <c:v>1926.312932051688</c:v>
                </c:pt>
                <c:pt idx="26">
                  <c:v>1935.847862135196</c:v>
                </c:pt>
                <c:pt idx="27">
                  <c:v>1944.2506877547819</c:v>
                </c:pt>
                <c:pt idx="28">
                  <c:v>1951.07263695962</c:v>
                </c:pt>
                <c:pt idx="29">
                  <c:v>1963.6445671248712</c:v>
                </c:pt>
                <c:pt idx="30">
                  <c:v>1975.5645912833775</c:v>
                </c:pt>
                <c:pt idx="31">
                  <c:v>1981.8626651061134</c:v>
                </c:pt>
                <c:pt idx="32">
                  <c:v>1993.185044683898</c:v>
                </c:pt>
                <c:pt idx="33">
                  <c:v>2006.5025816985867</c:v>
                </c:pt>
                <c:pt idx="34">
                  <c:v>2024.8423513947509</c:v>
                </c:pt>
                <c:pt idx="35">
                  <c:v>2033.8209003877701</c:v>
                </c:pt>
                <c:pt idx="36">
                  <c:v>2040.4931021493153</c:v>
                </c:pt>
                <c:pt idx="37">
                  <c:v>2049.377826989125</c:v>
                </c:pt>
                <c:pt idx="38">
                  <c:v>2056.539184463677</c:v>
                </c:pt>
                <c:pt idx="39">
                  <c:v>2064.5819598819166</c:v>
                </c:pt>
                <c:pt idx="40">
                  <c:v>2072.1527985367738</c:v>
                </c:pt>
                <c:pt idx="41">
                  <c:v>2087.0065986618852</c:v>
                </c:pt>
                <c:pt idx="42">
                  <c:v>2099.9090831066587</c:v>
                </c:pt>
                <c:pt idx="43">
                  <c:v>2112.7539729567561</c:v>
                </c:pt>
                <c:pt idx="44">
                  <c:v>2126.003420303532</c:v>
                </c:pt>
                <c:pt idx="45">
                  <c:v>2139.8027144777898</c:v>
                </c:pt>
                <c:pt idx="46">
                  <c:v>2157.0217556958919</c:v>
                </c:pt>
                <c:pt idx="47">
                  <c:v>2161.916993673472</c:v>
                </c:pt>
                <c:pt idx="48">
                  <c:v>2165.6376194009017</c:v>
                </c:pt>
                <c:pt idx="49">
                  <c:v>2169.4549879700739</c:v>
                </c:pt>
                <c:pt idx="50">
                  <c:v>2172.8496384789942</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468.55349021707195</c:v>
                </c:pt>
                <c:pt idx="14">
                  <c:v>475.46673921112142</c:v>
                </c:pt>
                <c:pt idx="15">
                  <c:v>478.52713833996251</c:v>
                </c:pt>
                <c:pt idx="16">
                  <c:v>479.1307500856546</c:v>
                </c:pt>
                <c:pt idx="17">
                  <c:v>477.27784879908722</c:v>
                </c:pt>
                <c:pt idx="18">
                  <c:v>477.58815133846173</c:v>
                </c:pt>
                <c:pt idx="19">
                  <c:v>478.3250991764117</c:v>
                </c:pt>
                <c:pt idx="20">
                  <c:v>440.89838112666757</c:v>
                </c:pt>
                <c:pt idx="21">
                  <c:v>452.25433731138094</c:v>
                </c:pt>
                <c:pt idx="22">
                  <c:v>460.49341351373761</c:v>
                </c:pt>
                <c:pt idx="23">
                  <c:v>467.99934922430617</c:v>
                </c:pt>
                <c:pt idx="24">
                  <c:v>477.01646993918706</c:v>
                </c:pt>
                <c:pt idx="25">
                  <c:v>485.37826184506105</c:v>
                </c:pt>
                <c:pt idx="26">
                  <c:v>492.63954484385323</c:v>
                </c:pt>
                <c:pt idx="27">
                  <c:v>499.51011298443024</c:v>
                </c:pt>
                <c:pt idx="28">
                  <c:v>505.79332035607274</c:v>
                </c:pt>
                <c:pt idx="29">
                  <c:v>514.51442938232935</c:v>
                </c:pt>
                <c:pt idx="30">
                  <c:v>523.05672724452518</c:v>
                </c:pt>
                <c:pt idx="31">
                  <c:v>532.66962727255941</c:v>
                </c:pt>
                <c:pt idx="32">
                  <c:v>544.68591241773242</c:v>
                </c:pt>
                <c:pt idx="33">
                  <c:v>557.88816688628663</c:v>
                </c:pt>
                <c:pt idx="34">
                  <c:v>573.69060835942162</c:v>
                </c:pt>
                <c:pt idx="35">
                  <c:v>585.67510379685325</c:v>
                </c:pt>
                <c:pt idx="36">
                  <c:v>597.18617841501373</c:v>
                </c:pt>
                <c:pt idx="37">
                  <c:v>610.04536443031634</c:v>
                </c:pt>
                <c:pt idx="38">
                  <c:v>622.43091355398064</c:v>
                </c:pt>
                <c:pt idx="39">
                  <c:v>635.58813706631486</c:v>
                </c:pt>
                <c:pt idx="40">
                  <c:v>648.88057799649482</c:v>
                </c:pt>
                <c:pt idx="41">
                  <c:v>664.2098385764009</c:v>
                </c:pt>
                <c:pt idx="42">
                  <c:v>678.88956765377372</c:v>
                </c:pt>
                <c:pt idx="43">
                  <c:v>693.87483089121622</c:v>
                </c:pt>
                <c:pt idx="44">
                  <c:v>709.41585759768498</c:v>
                </c:pt>
                <c:pt idx="45">
                  <c:v>725.61019878500633</c:v>
                </c:pt>
                <c:pt idx="46">
                  <c:v>744.31485234577633</c:v>
                </c:pt>
                <c:pt idx="47">
                  <c:v>756.71904868172453</c:v>
                </c:pt>
                <c:pt idx="48">
                  <c:v>768.75904591505696</c:v>
                </c:pt>
                <c:pt idx="49">
                  <c:v>781.11936277152188</c:v>
                </c:pt>
                <c:pt idx="50">
                  <c:v>793.51285839706986</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22916.931601602213</c:v>
                </c:pt>
                <c:pt idx="4">
                  <c:v>22902.965793483334</c:v>
                </c:pt>
                <c:pt idx="5">
                  <c:v>22783.717172728906</c:v>
                </c:pt>
                <c:pt idx="6">
                  <c:v>22638.455195046372</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26982.018509963782</c:v>
                      </c:pt>
                      <c:pt idx="3">
                        <c:v>26899.412164760484</c:v>
                      </c:pt>
                      <c:pt idx="4">
                        <c:v>26934.727527870873</c:v>
                      </c:pt>
                      <c:pt idx="5">
                        <c:v>26768.466839336899</c:v>
                      </c:pt>
                      <c:pt idx="6">
                        <c:v>26480.585819016407</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49879.47357031166</c:v>
                      </c:pt>
                      <c:pt idx="3">
                        <c:v>49816.343766362697</c:v>
                      </c:pt>
                      <c:pt idx="4">
                        <c:v>49837.693321354207</c:v>
                      </c:pt>
                      <c:pt idx="5">
                        <c:v>49552.184012065802</c:v>
                      </c:pt>
                      <c:pt idx="6">
                        <c:v>49119.041014062779</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593358.66490468499</c:v>
                </c:pt>
                <c:pt idx="24">
                  <c:v>598039.0074127327</c:v>
                </c:pt>
                <c:pt idx="25">
                  <c:v>601046.62603335571</c:v>
                </c:pt>
                <c:pt idx="26">
                  <c:v>603045.20236245112</c:v>
                </c:pt>
                <c:pt idx="27">
                  <c:v>604015.06594627816</c:v>
                </c:pt>
                <c:pt idx="28">
                  <c:v>606157.85554919671</c:v>
                </c:pt>
                <c:pt idx="29">
                  <c:v>608615.99513645703</c:v>
                </c:pt>
                <c:pt idx="30">
                  <c:v>591954.99978317763</c:v>
                </c:pt>
                <c:pt idx="31">
                  <c:v>593967.78766394651</c:v>
                </c:pt>
                <c:pt idx="32">
                  <c:v>594423.18401132419</c:v>
                </c:pt>
                <c:pt idx="33">
                  <c:v>594519.56896218157</c:v>
                </c:pt>
                <c:pt idx="34">
                  <c:v>595361.81552413933</c:v>
                </c:pt>
                <c:pt idx="35">
                  <c:v>595869.67923656525</c:v>
                </c:pt>
                <c:pt idx="36">
                  <c:v>595418.7620995068</c:v>
                </c:pt>
                <c:pt idx="37">
                  <c:v>594767.62892857054</c:v>
                </c:pt>
                <c:pt idx="38">
                  <c:v>593820.53592485294</c:v>
                </c:pt>
                <c:pt idx="39">
                  <c:v>594024.3062500864</c:v>
                </c:pt>
                <c:pt idx="40">
                  <c:v>594110.14434963593</c:v>
                </c:pt>
                <c:pt idx="41">
                  <c:v>598564.76251026965</c:v>
                </c:pt>
                <c:pt idx="42">
                  <c:v>604192.71784959477</c:v>
                </c:pt>
                <c:pt idx="43">
                  <c:v>610413.87437988259</c:v>
                </c:pt>
                <c:pt idx="44">
                  <c:v>617898.30779533635</c:v>
                </c:pt>
                <c:pt idx="45">
                  <c:v>623593.02050900715</c:v>
                </c:pt>
                <c:pt idx="46">
                  <c:v>628790.06480740663</c:v>
                </c:pt>
                <c:pt idx="47">
                  <c:v>634647.65300487261</c:v>
                </c:pt>
                <c:pt idx="48">
                  <c:v>640297.72919261106</c:v>
                </c:pt>
                <c:pt idx="49">
                  <c:v>646330.48890065204</c:v>
                </c:pt>
                <c:pt idx="50">
                  <c:v>652441.54155396321</c:v>
                </c:pt>
                <c:pt idx="51">
                  <c:v>659282.55499903113</c:v>
                </c:pt>
                <c:pt idx="52">
                  <c:v>665827.11858377943</c:v>
                </c:pt>
                <c:pt idx="53">
                  <c:v>672527.5728021476</c:v>
                </c:pt>
                <c:pt idx="54">
                  <c:v>679501.20016670297</c:v>
                </c:pt>
                <c:pt idx="55">
                  <c:v>686792.69853548973</c:v>
                </c:pt>
                <c:pt idx="56">
                  <c:v>695010.64067024505</c:v>
                </c:pt>
                <c:pt idx="57">
                  <c:v>700242.00908968993</c:v>
                </c:pt>
                <c:pt idx="58">
                  <c:v>705305.10255158006</c:v>
                </c:pt>
                <c:pt idx="59">
                  <c:v>710523.68866472994</c:v>
                </c:pt>
                <c:pt idx="60">
                  <c:v>715760.42902929429</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491640.03663531045</c:v>
                </c:pt>
                <c:pt idx="24">
                  <c:v>495518.03471340711</c:v>
                </c:pt>
                <c:pt idx="25">
                  <c:v>498010.06157049473</c:v>
                </c:pt>
                <c:pt idx="26">
                  <c:v>499666.02481460234</c:v>
                </c:pt>
                <c:pt idx="27">
                  <c:v>500469.62606977334</c:v>
                </c:pt>
                <c:pt idx="28">
                  <c:v>502245.08031219151</c:v>
                </c:pt>
                <c:pt idx="29">
                  <c:v>504281.82454163581</c:v>
                </c:pt>
                <c:pt idx="30">
                  <c:v>490476.99982034724</c:v>
                </c:pt>
                <c:pt idx="31">
                  <c:v>492144.73835012707</c:v>
                </c:pt>
                <c:pt idx="32">
                  <c:v>492522.06675224</c:v>
                </c:pt>
                <c:pt idx="33">
                  <c:v>492601.92856866476</c:v>
                </c:pt>
                <c:pt idx="34">
                  <c:v>493299.79000571545</c:v>
                </c:pt>
                <c:pt idx="35">
                  <c:v>493720.59136743977</c:v>
                </c:pt>
                <c:pt idx="36">
                  <c:v>493346.97431101993</c:v>
                </c:pt>
                <c:pt idx="37">
                  <c:v>492807.46396938706</c:v>
                </c:pt>
                <c:pt idx="38">
                  <c:v>492022.7297663067</c:v>
                </c:pt>
                <c:pt idx="39">
                  <c:v>492191.56803578587</c:v>
                </c:pt>
                <c:pt idx="40">
                  <c:v>492262.69103255548</c:v>
                </c:pt>
                <c:pt idx="41">
                  <c:v>495953.660365652</c:v>
                </c:pt>
                <c:pt idx="42">
                  <c:v>500616.82336109277</c:v>
                </c:pt>
                <c:pt idx="43">
                  <c:v>505771.49591475981</c:v>
                </c:pt>
                <c:pt idx="44">
                  <c:v>511972.88360185013</c:v>
                </c:pt>
                <c:pt idx="45">
                  <c:v>516691.35985032015</c:v>
                </c:pt>
                <c:pt idx="46">
                  <c:v>520997.48226899403</c:v>
                </c:pt>
                <c:pt idx="47">
                  <c:v>525850.91248975159</c:v>
                </c:pt>
                <c:pt idx="48">
                  <c:v>530532.40418816346</c:v>
                </c:pt>
                <c:pt idx="49">
                  <c:v>535530.97651768313</c:v>
                </c:pt>
                <c:pt idx="50">
                  <c:v>540594.42014471244</c:v>
                </c:pt>
                <c:pt idx="51">
                  <c:v>546262.68842776865</c:v>
                </c:pt>
                <c:pt idx="52">
                  <c:v>551685.32682656008</c:v>
                </c:pt>
                <c:pt idx="53">
                  <c:v>557237.13175035082</c:v>
                </c:pt>
                <c:pt idx="54">
                  <c:v>563015.28013812529</c:v>
                </c:pt>
                <c:pt idx="55">
                  <c:v>569056.80735797714</c:v>
                </c:pt>
                <c:pt idx="56">
                  <c:v>575865.95941248874</c:v>
                </c:pt>
                <c:pt idx="57">
                  <c:v>580200.5218171716</c:v>
                </c:pt>
                <c:pt idx="58">
                  <c:v>584395.65639988065</c:v>
                </c:pt>
                <c:pt idx="59">
                  <c:v>588719.62775077624</c:v>
                </c:pt>
                <c:pt idx="60">
                  <c:v>593058.64119570097</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610311.7696162475</c:v>
                </c:pt>
                <c:pt idx="24">
                  <c:v>615125.83619595377</c:v>
                </c:pt>
                <c:pt idx="25">
                  <c:v>618219.38677716604</c:v>
                </c:pt>
                <c:pt idx="26">
                  <c:v>620275.0652870927</c:v>
                </c:pt>
                <c:pt idx="27">
                  <c:v>621272.63925902906</c:v>
                </c:pt>
                <c:pt idx="28">
                  <c:v>623476.65142203099</c:v>
                </c:pt>
                <c:pt idx="29">
                  <c:v>626005.02356892731</c:v>
                </c:pt>
                <c:pt idx="30">
                  <c:v>608867.99977698282</c:v>
                </c:pt>
                <c:pt idx="31">
                  <c:v>610938.29588291654</c:v>
                </c:pt>
                <c:pt idx="32">
                  <c:v>611406.70355450502</c:v>
                </c:pt>
                <c:pt idx="33">
                  <c:v>611505.84236110118</c:v>
                </c:pt>
                <c:pt idx="34">
                  <c:v>612372.1531105435</c:v>
                </c:pt>
                <c:pt idx="35">
                  <c:v>612894.52721475298</c:v>
                </c:pt>
                <c:pt idx="36">
                  <c:v>612430.72673092142</c:v>
                </c:pt>
                <c:pt idx="37">
                  <c:v>611760.98975510127</c:v>
                </c:pt>
                <c:pt idx="38">
                  <c:v>610786.83695127734</c:v>
                </c:pt>
                <c:pt idx="39">
                  <c:v>610996.42928580323</c:v>
                </c:pt>
                <c:pt idx="40">
                  <c:v>611084.71990248282</c:v>
                </c:pt>
                <c:pt idx="41">
                  <c:v>615666.61286770599</c:v>
                </c:pt>
                <c:pt idx="42">
                  <c:v>621455.3669310119</c:v>
                </c:pt>
                <c:pt idx="43">
                  <c:v>627854.27079073642</c:v>
                </c:pt>
                <c:pt idx="44">
                  <c:v>635552.54516091745</c:v>
                </c:pt>
                <c:pt idx="45">
                  <c:v>641409.96395212167</c:v>
                </c:pt>
                <c:pt idx="46">
                  <c:v>646755.49523047544</c:v>
                </c:pt>
                <c:pt idx="47">
                  <c:v>652780.44309072627</c:v>
                </c:pt>
                <c:pt idx="48">
                  <c:v>658591.95002668572</c:v>
                </c:pt>
                <c:pt idx="49">
                  <c:v>664797.07429781358</c:v>
                </c:pt>
                <c:pt idx="50">
                  <c:v>671082.72845550522</c:v>
                </c:pt>
                <c:pt idx="51">
                  <c:v>678119.19942757499</c:v>
                </c:pt>
                <c:pt idx="52">
                  <c:v>684850.75054331601</c:v>
                </c:pt>
                <c:pt idx="53">
                  <c:v>691742.64631078043</c:v>
                </c:pt>
                <c:pt idx="54">
                  <c:v>698915.52017146605</c:v>
                </c:pt>
                <c:pt idx="55">
                  <c:v>706415.34706507518</c:v>
                </c:pt>
                <c:pt idx="56">
                  <c:v>714868.08754653786</c:v>
                </c:pt>
                <c:pt idx="57">
                  <c:v>720248.92363510968</c:v>
                </c:pt>
                <c:pt idx="58">
                  <c:v>725456.67691019678</c:v>
                </c:pt>
                <c:pt idx="59">
                  <c:v>730824.3654837223</c:v>
                </c:pt>
                <c:pt idx="60">
                  <c:v>736210.72700155992</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5903235.3888004785</c:v>
                </c:pt>
                <c:pt idx="24">
                  <c:v>5883575.7867908729</c:v>
                </c:pt>
                <c:pt idx="25">
                  <c:v>5805008.3335930631</c:v>
                </c:pt>
                <c:pt idx="26">
                  <c:v>5690965.7565264814</c:v>
                </c:pt>
                <c:pt idx="27">
                  <c:v>5543806.2775503108</c:v>
                </c:pt>
                <c:pt idx="28">
                  <c:v>5427737.2925172504</c:v>
                </c:pt>
                <c:pt idx="29">
                  <c:v>5317922.8374796044</c:v>
                </c:pt>
                <c:pt idx="30">
                  <c:v>4719772.8767197365</c:v>
                </c:pt>
                <c:pt idx="31">
                  <c:v>4771572.2705451697</c:v>
                </c:pt>
                <c:pt idx="32">
                  <c:v>4780588.708699218</c:v>
                </c:pt>
                <c:pt idx="33">
                  <c:v>4777987.5199082047</c:v>
                </c:pt>
                <c:pt idx="34">
                  <c:v>4790863.9825088792</c:v>
                </c:pt>
                <c:pt idx="35">
                  <c:v>4793154.5064541781</c:v>
                </c:pt>
                <c:pt idx="36">
                  <c:v>4779987.5829017106</c:v>
                </c:pt>
                <c:pt idx="37">
                  <c:v>4760487.603986566</c:v>
                </c:pt>
                <c:pt idx="38">
                  <c:v>4732845.5668853018</c:v>
                </c:pt>
                <c:pt idx="39">
                  <c:v>4729672.7097316124</c:v>
                </c:pt>
                <c:pt idx="40">
                  <c:v>4722152.4460857594</c:v>
                </c:pt>
                <c:pt idx="41">
                  <c:v>4716165.5418509757</c:v>
                </c:pt>
                <c:pt idx="42">
                  <c:v>4730667.2427718276</c:v>
                </c:pt>
                <c:pt idx="43">
                  <c:v>4752242.3590995343</c:v>
                </c:pt>
                <c:pt idx="44">
                  <c:v>4793589.6639967132</c:v>
                </c:pt>
                <c:pt idx="45">
                  <c:v>4793557.2659706343</c:v>
                </c:pt>
                <c:pt idx="46">
                  <c:v>4784856.3975275019</c:v>
                </c:pt>
                <c:pt idx="47">
                  <c:v>4784151.263606173</c:v>
                </c:pt>
                <c:pt idx="48">
                  <c:v>4774939.1514869407</c:v>
                </c:pt>
                <c:pt idx="49">
                  <c:v>4768060.7135805776</c:v>
                </c:pt>
                <c:pt idx="50">
                  <c:v>4757883.2816523733</c:v>
                </c:pt>
                <c:pt idx="51">
                  <c:v>4784089.6550089205</c:v>
                </c:pt>
                <c:pt idx="52">
                  <c:v>4801046.1560948277</c:v>
                </c:pt>
                <c:pt idx="53">
                  <c:v>4816485.6186466031</c:v>
                </c:pt>
                <c:pt idx="54">
                  <c:v>4832204.4065606762</c:v>
                </c:pt>
                <c:pt idx="55">
                  <c:v>4848714.7352101216</c:v>
                </c:pt>
                <c:pt idx="56">
                  <c:v>4879055.32315352</c:v>
                </c:pt>
                <c:pt idx="57">
                  <c:v>4860077.1956467917</c:v>
                </c:pt>
                <c:pt idx="58">
                  <c:v>4835746.8282380663</c:v>
                </c:pt>
                <c:pt idx="59">
                  <c:v>4810893.6824922673</c:v>
                </c:pt>
                <c:pt idx="60">
                  <c:v>4783522.1909572668</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5234944.5900683487</c:v>
                </c:pt>
                <c:pt idx="24">
                  <c:v>5217510.6033805842</c:v>
                </c:pt>
                <c:pt idx="25">
                  <c:v>5147837.5788466781</c:v>
                </c:pt>
                <c:pt idx="26">
                  <c:v>5046705.4822027273</c:v>
                </c:pt>
                <c:pt idx="27">
                  <c:v>4916205.5668842373</c:v>
                </c:pt>
                <c:pt idx="28">
                  <c:v>4813276.4669492599</c:v>
                </c:pt>
                <c:pt idx="29">
                  <c:v>4715893.8370102141</c:v>
                </c:pt>
                <c:pt idx="30">
                  <c:v>4185458.9661476901</c:v>
                </c:pt>
                <c:pt idx="31">
                  <c:v>4231394.2776532639</c:v>
                </c:pt>
                <c:pt idx="32">
                  <c:v>4239389.9869596837</c:v>
                </c:pt>
                <c:pt idx="33">
                  <c:v>4237083.2723714262</c:v>
                </c:pt>
                <c:pt idx="34">
                  <c:v>4248502.0222248547</c:v>
                </c:pt>
                <c:pt idx="35">
                  <c:v>4250533.2415725728</c:v>
                </c:pt>
                <c:pt idx="36">
                  <c:v>4238856.913139252</c:v>
                </c:pt>
                <c:pt idx="37">
                  <c:v>4221564.4790069545</c:v>
                </c:pt>
                <c:pt idx="38">
                  <c:v>4197051.7291247007</c:v>
                </c:pt>
                <c:pt idx="39">
                  <c:v>4194238.0633469014</c:v>
                </c:pt>
                <c:pt idx="40">
                  <c:v>4187569.1503024651</c:v>
                </c:pt>
                <c:pt idx="41">
                  <c:v>4182260.0088112419</c:v>
                </c:pt>
                <c:pt idx="42">
                  <c:v>4195120.0077410536</c:v>
                </c:pt>
                <c:pt idx="43">
                  <c:v>4214252.6580693973</c:v>
                </c:pt>
                <c:pt idx="44">
                  <c:v>4250919.1359970849</c:v>
                </c:pt>
                <c:pt idx="45">
                  <c:v>4250890.4056720715</c:v>
                </c:pt>
                <c:pt idx="46">
                  <c:v>4243174.5412036339</c:v>
                </c:pt>
                <c:pt idx="47">
                  <c:v>4242549.2337639639</c:v>
                </c:pt>
                <c:pt idx="48">
                  <c:v>4234380.0022620037</c:v>
                </c:pt>
                <c:pt idx="49">
                  <c:v>4228280.2554393793</c:v>
                </c:pt>
                <c:pt idx="50">
                  <c:v>4219254.9856162546</c:v>
                </c:pt>
                <c:pt idx="51">
                  <c:v>4242494.5997248916</c:v>
                </c:pt>
                <c:pt idx="52">
                  <c:v>4257531.4969142815</c:v>
                </c:pt>
                <c:pt idx="53">
                  <c:v>4271223.09578095</c:v>
                </c:pt>
                <c:pt idx="54">
                  <c:v>4285162.3982707877</c:v>
                </c:pt>
                <c:pt idx="55">
                  <c:v>4299803.6331108613</c:v>
                </c:pt>
                <c:pt idx="56">
                  <c:v>4326709.4375134986</c:v>
                </c:pt>
                <c:pt idx="57">
                  <c:v>4309879.7772716833</c:v>
                </c:pt>
                <c:pt idx="58">
                  <c:v>4288303.7910790388</c:v>
                </c:pt>
                <c:pt idx="59">
                  <c:v>4266264.2090025768</c:v>
                </c:pt>
                <c:pt idx="60">
                  <c:v>4241991.3768866323</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559717.1030773099</c:v>
                </c:pt>
                <c:pt idx="24">
                  <c:v>581386.33409904351</c:v>
                </c:pt>
                <c:pt idx="25">
                  <c:v>597546.77075746458</c:v>
                </c:pt>
                <c:pt idx="26">
                  <c:v>610009.49754182261</c:v>
                </c:pt>
                <c:pt idx="27">
                  <c:v>618596.39996388648</c:v>
                </c:pt>
                <c:pt idx="28">
                  <c:v>630321.10002649133</c:v>
                </c:pt>
                <c:pt idx="29">
                  <c:v>642612.00897727197</c:v>
                </c:pt>
                <c:pt idx="30">
                  <c:v>593382.52815527772</c:v>
                </c:pt>
                <c:pt idx="31">
                  <c:v>620997.34749688918</c:v>
                </c:pt>
                <c:pt idx="32">
                  <c:v>643895.48538764194</c:v>
                </c:pt>
                <c:pt idx="33">
                  <c:v>665868.71917066386</c:v>
                </c:pt>
                <c:pt idx="34">
                  <c:v>690688.65657680726</c:v>
                </c:pt>
                <c:pt idx="35">
                  <c:v>714727.4153663693</c:v>
                </c:pt>
                <c:pt idx="36">
                  <c:v>737108.50114649197</c:v>
                </c:pt>
                <c:pt idx="37">
                  <c:v>759076.43238040956</c:v>
                </c:pt>
                <c:pt idx="38">
                  <c:v>780256.83283660025</c:v>
                </c:pt>
                <c:pt idx="39">
                  <c:v>806095.79495363415</c:v>
                </c:pt>
                <c:pt idx="40">
                  <c:v>831958.93211415701</c:v>
                </c:pt>
                <c:pt idx="41">
                  <c:v>858957.28915156296</c:v>
                </c:pt>
                <c:pt idx="42">
                  <c:v>890746.10864511749</c:v>
                </c:pt>
                <c:pt idx="43">
                  <c:v>925159.10382339312</c:v>
                </c:pt>
                <c:pt idx="44">
                  <c:v>964964.08828360087</c:v>
                </c:pt>
                <c:pt idx="45">
                  <c:v>997919.63443475368</c:v>
                </c:pt>
                <c:pt idx="46">
                  <c:v>1030285.4267827312</c:v>
                </c:pt>
                <c:pt idx="47">
                  <c:v>1065655.8650205596</c:v>
                </c:pt>
                <c:pt idx="48">
                  <c:v>1100486.2713124838</c:v>
                </c:pt>
                <c:pt idx="49">
                  <c:v>1137243.6820520044</c:v>
                </c:pt>
                <c:pt idx="50">
                  <c:v>1174680.9035678047</c:v>
                </c:pt>
                <c:pt idx="51">
                  <c:v>1215228.3681977217</c:v>
                </c:pt>
                <c:pt idx="52">
                  <c:v>1254844.171508742</c:v>
                </c:pt>
                <c:pt idx="53">
                  <c:v>1295471.1745145689</c:v>
                </c:pt>
                <c:pt idx="54">
                  <c:v>1337642.2889837744</c:v>
                </c:pt>
                <c:pt idx="55">
                  <c:v>1381584.9843402614</c:v>
                </c:pt>
                <c:pt idx="56">
                  <c:v>1431223.7982246315</c:v>
                </c:pt>
                <c:pt idx="57">
                  <c:v>1467931.9864039156</c:v>
                </c:pt>
                <c:pt idx="58">
                  <c:v>1504156.6489796164</c:v>
                </c:pt>
                <c:pt idx="59">
                  <c:v>1541358.2160037851</c:v>
                </c:pt>
                <c:pt idx="60">
                  <c:v>1578924.6546684001</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19402059.805571087</c:v>
                      </c:pt>
                      <c:pt idx="31">
                        <c:v>19431607.567735706</c:v>
                      </c:pt>
                      <c:pt idx="32">
                        <c:v>19465003.610286124</c:v>
                      </c:pt>
                      <c:pt idx="33">
                        <c:v>19502677.298853781</c:v>
                      </c:pt>
                      <c:pt idx="34">
                        <c:v>19545057.4292056</c:v>
                      </c:pt>
                      <c:pt idx="35">
                        <c:v>19591260.285837401</c:v>
                      </c:pt>
                      <c:pt idx="36">
                        <c:v>19619360.484399606</c:v>
                      </c:pt>
                      <c:pt idx="37">
                        <c:v>19650746.790180359</c:v>
                      </c:pt>
                      <c:pt idx="38">
                        <c:v>19685188.965580646</c:v>
                      </c:pt>
                      <c:pt idx="39">
                        <c:v>19723466.805720448</c:v>
                      </c:pt>
                      <c:pt idx="40">
                        <c:v>19764639.822497804</c:v>
                      </c:pt>
                      <c:pt idx="41">
                        <c:v>19791543.543548547</c:v>
                      </c:pt>
                      <c:pt idx="42">
                        <c:v>19821743.090667564</c:v>
                      </c:pt>
                      <c:pt idx="43">
                        <c:v>19854756.020619072</c:v>
                      </c:pt>
                      <c:pt idx="44">
                        <c:v>19890925.179980893</c:v>
                      </c:pt>
                      <c:pt idx="45">
                        <c:v>19928164.848790728</c:v>
                      </c:pt>
                      <c:pt idx="46">
                        <c:v>19950988.116839856</c:v>
                      </c:pt>
                      <c:pt idx="47">
                        <c:v>19976200.960562997</c:v>
                      </c:pt>
                      <c:pt idx="48">
                        <c:v>20003160.68333599</c:v>
                      </c:pt>
                      <c:pt idx="49">
                        <c:v>20032188.030124117</c:v>
                      </c:pt>
                      <c:pt idx="50">
                        <c:v>20063020.695307191</c:v>
                      </c:pt>
                      <c:pt idx="51">
                        <c:v>20080901.126407888</c:v>
                      </c:pt>
                      <c:pt idx="52">
                        <c:v>20100133.841895282</c:v>
                      </c:pt>
                      <c:pt idx="53">
                        <c:v>20120964.63763465</c:v>
                      </c:pt>
                      <c:pt idx="54">
                        <c:v>20143422.270244319</c:v>
                      </c:pt>
                      <c:pt idx="55">
                        <c:v>20167491.040662095</c:v>
                      </c:pt>
                      <c:pt idx="56">
                        <c:v>20178253.39496877</c:v>
                      </c:pt>
                      <c:pt idx="57">
                        <c:v>20188270.578200433</c:v>
                      </c:pt>
                      <c:pt idx="58">
                        <c:v>20199375.643923137</c:v>
                      </c:pt>
                      <c:pt idx="59">
                        <c:v>20211746.595544606</c:v>
                      </c:pt>
                      <c:pt idx="60">
                        <c:v>20225256.082791496</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2899158.361752002</c:v>
                      </c:pt>
                      <c:pt idx="31">
                        <c:v>2903573.544604186</c:v>
                      </c:pt>
                      <c:pt idx="32">
                        <c:v>2908563.7578588463</c:v>
                      </c:pt>
                      <c:pt idx="33">
                        <c:v>2914193.1595988413</c:v>
                      </c:pt>
                      <c:pt idx="34">
                        <c:v>2920525.8227548599</c:v>
                      </c:pt>
                      <c:pt idx="35">
                        <c:v>2927429.6978837498</c:v>
                      </c:pt>
                      <c:pt idx="36">
                        <c:v>2931628.5781286769</c:v>
                      </c:pt>
                      <c:pt idx="37">
                        <c:v>2936318.485889019</c:v>
                      </c:pt>
                      <c:pt idx="38">
                        <c:v>2941465.0178453843</c:v>
                      </c:pt>
                      <c:pt idx="39">
                        <c:v>2947184.6951076533</c:v>
                      </c:pt>
                      <c:pt idx="40">
                        <c:v>2953336.9849709361</c:v>
                      </c:pt>
                      <c:pt idx="41">
                        <c:v>2957357.0812198976</c:v>
                      </c:pt>
                      <c:pt idx="42">
                        <c:v>2961869.6572261876</c:v>
                      </c:pt>
                      <c:pt idx="43">
                        <c:v>2966802.6237706658</c:v>
                      </c:pt>
                      <c:pt idx="44">
                        <c:v>2972207.2108017425</c:v>
                      </c:pt>
                      <c:pt idx="45">
                        <c:v>2977771.7590147066</c:v>
                      </c:pt>
                      <c:pt idx="46">
                        <c:v>2981182.1324013579</c:v>
                      </c:pt>
                      <c:pt idx="47">
                        <c:v>2984949.568819758</c:v>
                      </c:pt>
                      <c:pt idx="48">
                        <c:v>2988978.0331421597</c:v>
                      </c:pt>
                      <c:pt idx="49">
                        <c:v>2993315.4527771669</c:v>
                      </c:pt>
                      <c:pt idx="50">
                        <c:v>2997922.6326321093</c:v>
                      </c:pt>
                      <c:pt idx="51">
                        <c:v>3000594.4211873859</c:v>
                      </c:pt>
                      <c:pt idx="52">
                        <c:v>3003468.275225732</c:v>
                      </c:pt>
                      <c:pt idx="53">
                        <c:v>3006580.9228649479</c:v>
                      </c:pt>
                      <c:pt idx="54">
                        <c:v>3009936.6610709904</c:v>
                      </c:pt>
                      <c:pt idx="55">
                        <c:v>3013533.1440069797</c:v>
                      </c:pt>
                      <c:pt idx="56">
                        <c:v>3015141.311891885</c:v>
                      </c:pt>
                      <c:pt idx="57">
                        <c:v>3016638.1323747775</c:v>
                      </c:pt>
                      <c:pt idx="58">
                        <c:v>3018297.5100115035</c:v>
                      </c:pt>
                      <c:pt idx="59">
                        <c:v>3020146.0430124127</c:v>
                      </c:pt>
                      <c:pt idx="60">
                        <c:v>3022164.7020263155</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2068089.0408217213</c:v>
                      </c:pt>
                      <c:pt idx="23">
                        <c:v>2073465.0740723512</c:v>
                      </c:pt>
                      <c:pt idx="24">
                        <c:v>2080881.121959276</c:v>
                      </c:pt>
                      <c:pt idx="25">
                        <c:v>2089915.8268703569</c:v>
                      </c:pt>
                      <c:pt idx="26">
                        <c:v>2100556.3029240505</c:v>
                      </c:pt>
                      <c:pt idx="27">
                        <c:v>2112737.7866022554</c:v>
                      </c:pt>
                      <c:pt idx="28">
                        <c:v>2125847.6846541637</c:v>
                      </c:pt>
                      <c:pt idx="29">
                        <c:v>2139834.1013227375</c:v>
                      </c:pt>
                      <c:pt idx="30">
                        <c:v>2152683.4377599582</c:v>
                      </c:pt>
                      <c:pt idx="31">
                        <c:v>2158938.7090060171</c:v>
                      </c:pt>
                      <c:pt idx="32">
                        <c:v>2165662.0711804889</c:v>
                      </c:pt>
                      <c:pt idx="33">
                        <c:v>2172935.7450459148</c:v>
                      </c:pt>
                      <c:pt idx="34">
                        <c:v>2180839.5935468497</c:v>
                      </c:pt>
                      <c:pt idx="35">
                        <c:v>2189232.9803399076</c:v>
                      </c:pt>
                      <c:pt idx="36">
                        <c:v>2194480.1718532471</c:v>
                      </c:pt>
                      <c:pt idx="37">
                        <c:v>2200156.2435630234</c:v>
                      </c:pt>
                      <c:pt idx="38">
                        <c:v>2206227.8120205179</c:v>
                      </c:pt>
                      <c:pt idx="39">
                        <c:v>2212827.8157270025</c:v>
                      </c:pt>
                      <c:pt idx="40">
                        <c:v>2219804.216870348</c:v>
                      </c:pt>
                      <c:pt idx="41">
                        <c:v>2224339.625371106</c:v>
                      </c:pt>
                      <c:pt idx="42">
                        <c:v>2229334.7814680873</c:v>
                      </c:pt>
                      <c:pt idx="43">
                        <c:v>2234712.4414722072</c:v>
                      </c:pt>
                      <c:pt idx="44">
                        <c:v>2240530.4774829135</c:v>
                      </c:pt>
                      <c:pt idx="45">
                        <c:v>2246450.0955861607</c:v>
                      </c:pt>
                      <c:pt idx="46">
                        <c:v>2249954.1431548325</c:v>
                      </c:pt>
                      <c:pt idx="47">
                        <c:v>2253789.0520302244</c:v>
                      </c:pt>
                      <c:pt idx="48">
                        <c:v>2257851.607376975</c:v>
                      </c:pt>
                      <c:pt idx="49">
                        <c:v>2262195.086424592</c:v>
                      </c:pt>
                      <c:pt idx="50">
                        <c:v>2266778.0376464408</c:v>
                      </c:pt>
                      <c:pt idx="51">
                        <c:v>2269221.792731313</c:v>
                      </c:pt>
                      <c:pt idx="52">
                        <c:v>2271842.242462297</c:v>
                      </c:pt>
                      <c:pt idx="53">
                        <c:v>2274679.8114960734</c:v>
                      </c:pt>
                      <c:pt idx="54">
                        <c:v>2277739.7261954225</c:v>
                      </c:pt>
                      <c:pt idx="55">
                        <c:v>2281019.9664113745</c:v>
                      </c:pt>
                      <c:pt idx="56">
                        <c:v>2282135.8267613356</c:v>
                      </c:pt>
                      <c:pt idx="57">
                        <c:v>2283104.4438067642</c:v>
                      </c:pt>
                      <c:pt idx="58">
                        <c:v>2284219.8862704039</c:v>
                      </c:pt>
                      <c:pt idx="59">
                        <c:v>2285510.9119560551</c:v>
                      </c:pt>
                      <c:pt idx="60">
                        <c:v>2286957.5303185903</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4014525.785124517</c:v>
                      </c:pt>
                      <c:pt idx="23">
                        <c:v>4024961.6143757398</c:v>
                      </c:pt>
                      <c:pt idx="24">
                        <c:v>4039357.4720385941</c:v>
                      </c:pt>
                      <c:pt idx="25">
                        <c:v>4056895.4286306924</c:v>
                      </c:pt>
                      <c:pt idx="26">
                        <c:v>4077550.4703819798</c:v>
                      </c:pt>
                      <c:pt idx="27">
                        <c:v>4101196.8798749652</c:v>
                      </c:pt>
                      <c:pt idx="28">
                        <c:v>4126645.5055051409</c:v>
                      </c:pt>
                      <c:pt idx="29">
                        <c:v>4153795.6084500193</c:v>
                      </c:pt>
                      <c:pt idx="30">
                        <c:v>4178738.4380046236</c:v>
                      </c:pt>
                      <c:pt idx="31">
                        <c:v>4190881.0233646203</c:v>
                      </c:pt>
                      <c:pt idx="32">
                        <c:v>4203932.2558209486</c:v>
                      </c:pt>
                      <c:pt idx="33">
                        <c:v>4218051.740383246</c:v>
                      </c:pt>
                      <c:pt idx="34">
                        <c:v>4233394.5051203547</c:v>
                      </c:pt>
                      <c:pt idx="35">
                        <c:v>4249687.5500715841</c:v>
                      </c:pt>
                      <c:pt idx="36">
                        <c:v>4259873.2747739498</c:v>
                      </c:pt>
                      <c:pt idx="37">
                        <c:v>4270891.531622339</c:v>
                      </c:pt>
                      <c:pt idx="38">
                        <c:v>4282677.5174515927</c:v>
                      </c:pt>
                      <c:pt idx="39">
                        <c:v>4295489.2893524161</c:v>
                      </c:pt>
                      <c:pt idx="40">
                        <c:v>4309031.7151012635</c:v>
                      </c:pt>
                      <c:pt idx="41">
                        <c:v>4317835.7433674401</c:v>
                      </c:pt>
                      <c:pt idx="42">
                        <c:v>4327532.2228498161</c:v>
                      </c:pt>
                      <c:pt idx="43">
                        <c:v>4337971.2099166373</c:v>
                      </c:pt>
                      <c:pt idx="44">
                        <c:v>4349265.044525655</c:v>
                      </c:pt>
                      <c:pt idx="45">
                        <c:v>4360756.0679025464</c:v>
                      </c:pt>
                      <c:pt idx="46">
                        <c:v>4367558.042594674</c:v>
                      </c:pt>
                      <c:pt idx="47">
                        <c:v>4375002.277470435</c:v>
                      </c:pt>
                      <c:pt idx="48">
                        <c:v>4382888.4143200098</c:v>
                      </c:pt>
                      <c:pt idx="49">
                        <c:v>4391319.8736477364</c:v>
                      </c:pt>
                      <c:pt idx="50">
                        <c:v>4400216.190725443</c:v>
                      </c:pt>
                      <c:pt idx="51">
                        <c:v>4404959.9505960774</c:v>
                      </c:pt>
                      <c:pt idx="52">
                        <c:v>4410046.7059562225</c:v>
                      </c:pt>
                      <c:pt idx="53">
                        <c:v>4415554.9281982593</c:v>
                      </c:pt>
                      <c:pt idx="54">
                        <c:v>4421494.7626146432</c:v>
                      </c:pt>
                      <c:pt idx="55">
                        <c:v>4427862.2877397267</c:v>
                      </c:pt>
                      <c:pt idx="56">
                        <c:v>4430028.3695955332</c:v>
                      </c:pt>
                      <c:pt idx="57">
                        <c:v>4431908.6262131296</c:v>
                      </c:pt>
                      <c:pt idx="58">
                        <c:v>4434073.896877842</c:v>
                      </c:pt>
                      <c:pt idx="59">
                        <c:v>4436580.0055617532</c:v>
                      </c:pt>
                      <c:pt idx="60">
                        <c:v>4439388.1470890269</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309973.53172331402</c:v>
                      </c:pt>
                      <c:pt idx="24">
                        <c:v>312241.56810798903</c:v>
                      </c:pt>
                      <c:pt idx="25">
                        <c:v>312726.42527824303</c:v>
                      </c:pt>
                      <c:pt idx="26">
                        <c:v>312032.30780712381</c:v>
                      </c:pt>
                      <c:pt idx="27">
                        <c:v>310184.61831503391</c:v>
                      </c:pt>
                      <c:pt idx="28">
                        <c:v>309160.1538858742</c:v>
                      </c:pt>
                      <c:pt idx="29">
                        <c:v>308239.46209968894</c:v>
                      </c:pt>
                      <c:pt idx="30">
                        <c:v>291921.37906536442</c:v>
                      </c:pt>
                      <c:pt idx="31">
                        <c:v>295985.82582631079</c:v>
                      </c:pt>
                      <c:pt idx="32">
                        <c:v>298729.54882348579</c:v>
                      </c:pt>
                      <c:pt idx="33">
                        <c:v>301114.17187224014</c:v>
                      </c:pt>
                      <c:pt idx="34">
                        <c:v>304034.35602372541</c:v>
                      </c:pt>
                      <c:pt idx="35">
                        <c:v>306628.2949625476</c:v>
                      </c:pt>
                      <c:pt idx="36">
                        <c:v>309017.46349518612</c:v>
                      </c:pt>
                      <c:pt idx="37">
                        <c:v>311201.05815548857</c:v>
                      </c:pt>
                      <c:pt idx="38">
                        <c:v>313104.08250333113</c:v>
                      </c:pt>
                      <c:pt idx="39">
                        <c:v>315912.34319351229</c:v>
                      </c:pt>
                      <c:pt idx="40">
                        <c:v>318597.84534178313</c:v>
                      </c:pt>
                      <c:pt idx="41">
                        <c:v>321877.18703011889</c:v>
                      </c:pt>
                      <c:pt idx="42">
                        <c:v>326040.49482535676</c:v>
                      </c:pt>
                      <c:pt idx="43">
                        <c:v>330609.65967355168</c:v>
                      </c:pt>
                      <c:pt idx="44">
                        <c:v>336126.71967170568</c:v>
                      </c:pt>
                      <c:pt idx="45">
                        <c:v>340111.70849910099</c:v>
                      </c:pt>
                      <c:pt idx="46">
                        <c:v>344118.38134988002</c:v>
                      </c:pt>
                      <c:pt idx="47">
                        <c:v>348598.30481184355</c:v>
                      </c:pt>
                      <c:pt idx="48">
                        <c:v>352850.53380053723</c:v>
                      </c:pt>
                      <c:pt idx="49">
                        <c:v>357351.57736563648</c:v>
                      </c:pt>
                      <c:pt idx="50">
                        <c:v>361856.43746899324</c:v>
                      </c:pt>
                      <c:pt idx="51">
                        <c:v>367367.57398319745</c:v>
                      </c:pt>
                      <c:pt idx="52">
                        <c:v>372592.97381051572</c:v>
                      </c:pt>
                      <c:pt idx="53">
                        <c:v>377895.69074115017</c:v>
                      </c:pt>
                      <c:pt idx="54">
                        <c:v>383369.51671880484</c:v>
                      </c:pt>
                      <c:pt idx="55">
                        <c:v>389049.81017769384</c:v>
                      </c:pt>
                      <c:pt idx="56">
                        <c:v>395931.15498147684</c:v>
                      </c:pt>
                      <c:pt idx="57">
                        <c:v>400397.69292799069</c:v>
                      </c:pt>
                      <c:pt idx="58">
                        <c:v>404697.59184527537</c:v>
                      </c:pt>
                      <c:pt idx="59">
                        <c:v>409089.38845798641</c:v>
                      </c:pt>
                      <c:pt idx="60">
                        <c:v>413464.08309307916</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1656046.9024620031</c:v>
                      </c:pt>
                      <c:pt idx="23">
                        <c:v>1647045.1860532654</c:v>
                      </c:pt>
                      <c:pt idx="24">
                        <c:v>1647784.0190100395</c:v>
                      </c:pt>
                      <c:pt idx="25">
                        <c:v>1632656.0990208655</c:v>
                      </c:pt>
                      <c:pt idx="26">
                        <c:v>1607948.7164639288</c:v>
                      </c:pt>
                      <c:pt idx="27">
                        <c:v>1574056.8450456362</c:v>
                      </c:pt>
                      <c:pt idx="28">
                        <c:v>1549447.5878836233</c:v>
                      </c:pt>
                      <c:pt idx="29">
                        <c:v>1527015.9199472498</c:v>
                      </c:pt>
                      <c:pt idx="30">
                        <c:v>1360561.8976403926</c:v>
                      </c:pt>
                      <c:pt idx="31">
                        <c:v>1381804.6743820277</c:v>
                      </c:pt>
                      <c:pt idx="32">
                        <c:v>1390826.6767399318</c:v>
                      </c:pt>
                      <c:pt idx="33">
                        <c:v>1396768.3413783726</c:v>
                      </c:pt>
                      <c:pt idx="34">
                        <c:v>1407770.3834708387</c:v>
                      </c:pt>
                      <c:pt idx="35">
                        <c:v>1415964.7783945638</c:v>
                      </c:pt>
                      <c:pt idx="36">
                        <c:v>1420263.0425168015</c:v>
                      </c:pt>
                      <c:pt idx="37">
                        <c:v>1422896.5648369009</c:v>
                      </c:pt>
                      <c:pt idx="38">
                        <c:v>1423253.805520334</c:v>
                      </c:pt>
                      <c:pt idx="39">
                        <c:v>1431518.6125847399</c:v>
                      </c:pt>
                      <c:pt idx="40">
                        <c:v>1438737.8705454522</c:v>
                      </c:pt>
                      <c:pt idx="41">
                        <c:v>1449125.0678670886</c:v>
                      </c:pt>
                      <c:pt idx="42">
                        <c:v>1466671.0072109431</c:v>
                      </c:pt>
                      <c:pt idx="43">
                        <c:v>1487218.2782866484</c:v>
                      </c:pt>
                      <c:pt idx="44">
                        <c:v>1515037.6195571562</c:v>
                      </c:pt>
                      <c:pt idx="45">
                        <c:v>1530055.7085372049</c:v>
                      </c:pt>
                      <c:pt idx="46">
                        <c:v>1543172.4885533513</c:v>
                      </c:pt>
                      <c:pt idx="47">
                        <c:v>1559656.5223196864</c:v>
                      </c:pt>
                      <c:pt idx="48">
                        <c:v>1573968.2125684638</c:v>
                      </c:pt>
                      <c:pt idx="49">
                        <c:v>1589803.9497701789</c:v>
                      </c:pt>
                      <c:pt idx="50">
                        <c:v>1605250.4683514764</c:v>
                      </c:pt>
                      <c:pt idx="51">
                        <c:v>1626046.6656004584</c:v>
                      </c:pt>
                      <c:pt idx="52">
                        <c:v>1644105.3882065681</c:v>
                      </c:pt>
                      <c:pt idx="53">
                        <c:v>1662148.0618729165</c:v>
                      </c:pt>
                      <c:pt idx="54">
                        <c:v>1680831.5353934944</c:v>
                      </c:pt>
                      <c:pt idx="55">
                        <c:v>1700365.829233668</c:v>
                      </c:pt>
                      <c:pt idx="56">
                        <c:v>1725822.8657784231</c:v>
                      </c:pt>
                      <c:pt idx="57">
                        <c:v>1733706.6944804727</c:v>
                      </c:pt>
                      <c:pt idx="58">
                        <c:v>1740003.6246735614</c:v>
                      </c:pt>
                      <c:pt idx="59">
                        <c:v>1746497.5840806407</c:v>
                      </c:pt>
                      <c:pt idx="60">
                        <c:v>1752440.9351581417</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225824.57760845494</c:v>
                      </c:pt>
                      <c:pt idx="23">
                        <c:v>224597.07082544526</c:v>
                      </c:pt>
                      <c:pt idx="24">
                        <c:v>224697.8207740963</c:v>
                      </c:pt>
                      <c:pt idx="25">
                        <c:v>222634.9225937544</c:v>
                      </c:pt>
                      <c:pt idx="26">
                        <c:v>219265.73406326302</c:v>
                      </c:pt>
                      <c:pt idx="27">
                        <c:v>214644.11523349583</c:v>
                      </c:pt>
                      <c:pt idx="28">
                        <c:v>211288.3074386759</c:v>
                      </c:pt>
                      <c:pt idx="29">
                        <c:v>208229.44362917042</c:v>
                      </c:pt>
                      <c:pt idx="30">
                        <c:v>185531.16786005354</c:v>
                      </c:pt>
                      <c:pt idx="31">
                        <c:v>188427.91014300377</c:v>
                      </c:pt>
                      <c:pt idx="32">
                        <c:v>189658.18319180887</c:v>
                      </c:pt>
                      <c:pt idx="33">
                        <c:v>190468.4101879599</c:v>
                      </c:pt>
                      <c:pt idx="34">
                        <c:v>191968.68865511435</c:v>
                      </c:pt>
                      <c:pt idx="35">
                        <c:v>193086.10614471324</c:v>
                      </c:pt>
                      <c:pt idx="36">
                        <c:v>193672.23307047292</c:v>
                      </c:pt>
                      <c:pt idx="37">
                        <c:v>194031.34975048646</c:v>
                      </c:pt>
                      <c:pt idx="38">
                        <c:v>194080.06438913645</c:v>
                      </c:pt>
                      <c:pt idx="39">
                        <c:v>195207.08353428269</c:v>
                      </c:pt>
                      <c:pt idx="40">
                        <c:v>196191.52780165258</c:v>
                      </c:pt>
                      <c:pt idx="41">
                        <c:v>197607.96380005754</c:v>
                      </c:pt>
                      <c:pt idx="42">
                        <c:v>200000.59189240134</c:v>
                      </c:pt>
                      <c:pt idx="43">
                        <c:v>202802.49249363388</c:v>
                      </c:pt>
                      <c:pt idx="44">
                        <c:v>206596.03903052129</c:v>
                      </c:pt>
                      <c:pt idx="45">
                        <c:v>208643.96025507338</c:v>
                      </c:pt>
                      <c:pt idx="46">
                        <c:v>210432.61207545697</c:v>
                      </c:pt>
                      <c:pt idx="47">
                        <c:v>212680.4348617754</c:v>
                      </c:pt>
                      <c:pt idx="48">
                        <c:v>214632.02898660867</c:v>
                      </c:pt>
                      <c:pt idx="49">
                        <c:v>216791.44769593349</c:v>
                      </c:pt>
                      <c:pt idx="50">
                        <c:v>218897.79113883767</c:v>
                      </c:pt>
                      <c:pt idx="51">
                        <c:v>221733.6362182443</c:v>
                      </c:pt>
                      <c:pt idx="52">
                        <c:v>224196.18930089564</c:v>
                      </c:pt>
                      <c:pt idx="53">
                        <c:v>226656.55389176132</c:v>
                      </c:pt>
                      <c:pt idx="54">
                        <c:v>229204.30028093106</c:v>
                      </c:pt>
                      <c:pt idx="55">
                        <c:v>231868.06762277291</c:v>
                      </c:pt>
                      <c:pt idx="56">
                        <c:v>235339.48169705769</c:v>
                      </c:pt>
                      <c:pt idx="57">
                        <c:v>236414.54924733719</c:v>
                      </c:pt>
                      <c:pt idx="58">
                        <c:v>237273.22154639472</c:v>
                      </c:pt>
                      <c:pt idx="59">
                        <c:v>238158.7614655419</c:v>
                      </c:pt>
                      <c:pt idx="60">
                        <c:v>238969.21843065569</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24134771.290486101</c:v>
                      </c:pt>
                      <c:pt idx="24">
                        <c:v>24696932.291742448</c:v>
                      </c:pt>
                      <c:pt idx="25">
                        <c:v>25128517.122223884</c:v>
                      </c:pt>
                      <c:pt idx="26">
                        <c:v>25474971.393442631</c:v>
                      </c:pt>
                      <c:pt idx="27">
                        <c:v>25734234.718944557</c:v>
                      </c:pt>
                      <c:pt idx="28">
                        <c:v>26066681.867313132</c:v>
                      </c:pt>
                      <c:pt idx="29">
                        <c:v>26412334.873995647</c:v>
                      </c:pt>
                      <c:pt idx="30">
                        <c:v>25355832.065900605</c:v>
                      </c:pt>
                      <c:pt idx="31">
                        <c:v>26028344.352485999</c:v>
                      </c:pt>
                      <c:pt idx="32">
                        <c:v>26589488.960053034</c:v>
                      </c:pt>
                      <c:pt idx="33">
                        <c:v>27126092.090025831</c:v>
                      </c:pt>
                      <c:pt idx="34">
                        <c:v>27722677.544957481</c:v>
                      </c:pt>
                      <c:pt idx="35">
                        <c:v>28297785.426376317</c:v>
                      </c:pt>
                      <c:pt idx="36">
                        <c:v>28814162.004052896</c:v>
                      </c:pt>
                      <c:pt idx="37">
                        <c:v>29317635.381325193</c:v>
                      </c:pt>
                      <c:pt idx="38">
                        <c:v>29800229.683156215</c:v>
                      </c:pt>
                      <c:pt idx="39">
                        <c:v>30380510.602899391</c:v>
                      </c:pt>
                      <c:pt idx="40">
                        <c:v>30956813.105027635</c:v>
                      </c:pt>
                      <c:pt idx="41">
                        <c:v>31560856.737746526</c:v>
                      </c:pt>
                      <c:pt idx="42">
                        <c:v>32264278.577724364</c:v>
                      </c:pt>
                      <c:pt idx="43">
                        <c:v>33019682.608176969</c:v>
                      </c:pt>
                      <c:pt idx="44">
                        <c:v>33885248.740652651</c:v>
                      </c:pt>
                      <c:pt idx="45">
                        <c:v>34600729.311977826</c:v>
                      </c:pt>
                      <c:pt idx="46">
                        <c:v>35285301.182877466</c:v>
                      </c:pt>
                      <c:pt idx="47">
                        <c:v>36028935.162048012</c:v>
                      </c:pt>
                      <c:pt idx="48">
                        <c:v>36756871.757598549</c:v>
                      </c:pt>
                      <c:pt idx="49">
                        <c:v>37520678.916710757</c:v>
                      </c:pt>
                      <c:pt idx="50">
                        <c:v>38294101.07818374</c:v>
                      </c:pt>
                      <c:pt idx="51">
                        <c:v>39144686.374357127</c:v>
                      </c:pt>
                      <c:pt idx="52">
                        <c:v>39972536.505911946</c:v>
                      </c:pt>
                      <c:pt idx="53">
                        <c:v>40817812.155378096</c:v>
                      </c:pt>
                      <c:pt idx="54">
                        <c:v>41691325.507981867</c:v>
                      </c:pt>
                      <c:pt idx="55">
                        <c:v>42597526.257199205</c:v>
                      </c:pt>
                      <c:pt idx="56">
                        <c:v>43602062.498085409</c:v>
                      </c:pt>
                      <c:pt idx="57">
                        <c:v>44339009.799270891</c:v>
                      </c:pt>
                      <c:pt idx="58">
                        <c:v>45063142.624176532</c:v>
                      </c:pt>
                      <c:pt idx="59">
                        <c:v>45804144.391420536</c:v>
                      </c:pt>
                      <c:pt idx="60">
                        <c:v>46549539.221671827</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95281774.784899965</c:v>
                      </c:pt>
                      <c:pt idx="24">
                        <c:v>97270973.713722661</c:v>
                      </c:pt>
                      <c:pt idx="25">
                        <c:v>97842130.842887625</c:v>
                      </c:pt>
                      <c:pt idx="26">
                        <c:v>97491901.623900309</c:v>
                      </c:pt>
                      <c:pt idx="27">
                        <c:v>96224012.280420944</c:v>
                      </c:pt>
                      <c:pt idx="28">
                        <c:v>95690259.829558313</c:v>
                      </c:pt>
                      <c:pt idx="29">
                        <c:v>95277598.733681589</c:v>
                      </c:pt>
                      <c:pt idx="30">
                        <c:v>81452097.439482555</c:v>
                      </c:pt>
                      <c:pt idx="31">
                        <c:v>85042126.487729847</c:v>
                      </c:pt>
                      <c:pt idx="32">
                        <c:v>87516090.742548883</c:v>
                      </c:pt>
                      <c:pt idx="33">
                        <c:v>89711681.838842064</c:v>
                      </c:pt>
                      <c:pt idx="34">
                        <c:v>92414964.991402462</c:v>
                      </c:pt>
                      <c:pt idx="35">
                        <c:v>94868672.633047745</c:v>
                      </c:pt>
                      <c:pt idx="36">
                        <c:v>97034415.210543662</c:v>
                      </c:pt>
                      <c:pt idx="37">
                        <c:v>99046636.40739049</c:v>
                      </c:pt>
                      <c:pt idx="38">
                        <c:v>100837729.43397622</c:v>
                      </c:pt>
                      <c:pt idx="39">
                        <c:v>103461990.00342186</c:v>
                      </c:pt>
                      <c:pt idx="40">
                        <c:v>106007524.56278527</c:v>
                      </c:pt>
                      <c:pt idx="41">
                        <c:v>108985749.33098063</c:v>
                      </c:pt>
                      <c:pt idx="42">
                        <c:v>112780710.05819987</c:v>
                      </c:pt>
                      <c:pt idx="43">
                        <c:v>116968051.63431387</c:v>
                      </c:pt>
                      <c:pt idx="44">
                        <c:v>122037050.50027233</c:v>
                      </c:pt>
                      <c:pt idx="45">
                        <c:v>125762928.88931111</c:v>
                      </c:pt>
                      <c:pt idx="46">
                        <c:v>129394333.99705009</c:v>
                      </c:pt>
                      <c:pt idx="47">
                        <c:v>133474382.12248956</c:v>
                      </c:pt>
                      <c:pt idx="48">
                        <c:v>137372895.51815009</c:v>
                      </c:pt>
                      <c:pt idx="49">
                        <c:v>141520058.3987388</c:v>
                      </c:pt>
                      <c:pt idx="50">
                        <c:v>145695897.92715052</c:v>
                      </c:pt>
                      <c:pt idx="51">
                        <c:v>150651953.63436225</c:v>
                      </c:pt>
                      <c:pt idx="52">
                        <c:v>155367528.35269105</c:v>
                      </c:pt>
                      <c:pt idx="53">
                        <c:v>160171566.53623164</c:v>
                      </c:pt>
                      <c:pt idx="54">
                        <c:v>165149793.6018627</c:v>
                      </c:pt>
                      <c:pt idx="55">
                        <c:v>170335227.8365221</c:v>
                      </c:pt>
                      <c:pt idx="56">
                        <c:v>176445655.37145886</c:v>
                      </c:pt>
                      <c:pt idx="57">
                        <c:v>180380889.0567705</c:v>
                      </c:pt>
                      <c:pt idx="58">
                        <c:v>184177355.81758082</c:v>
                      </c:pt>
                      <c:pt idx="59">
                        <c:v>188069376.29859361</c:v>
                      </c:pt>
                      <c:pt idx="60">
                        <c:v>191958709.2247166</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1005615.4704369218</c:v>
                      </c:pt>
                      <c:pt idx="24">
                        <c:v>1029038.8454892697</c:v>
                      </c:pt>
                      <c:pt idx="25">
                        <c:v>1047021.5467593295</c:v>
                      </c:pt>
                      <c:pt idx="26">
                        <c:v>1061457.141393444</c:v>
                      </c:pt>
                      <c:pt idx="27">
                        <c:v>1072259.7799560241</c:v>
                      </c:pt>
                      <c:pt idx="28">
                        <c:v>1086111.7444713814</c:v>
                      </c:pt>
                      <c:pt idx="29">
                        <c:v>1100513.9530831531</c:v>
                      </c:pt>
                      <c:pt idx="30">
                        <c:v>1056493.0027458596</c:v>
                      </c:pt>
                      <c:pt idx="31">
                        <c:v>1084514.3480202509</c:v>
                      </c:pt>
                      <c:pt idx="32">
                        <c:v>1107895.373335544</c:v>
                      </c:pt>
                      <c:pt idx="33">
                        <c:v>1130253.8370844107</c:v>
                      </c:pt>
                      <c:pt idx="34">
                        <c:v>1155111.5643732294</c:v>
                      </c:pt>
                      <c:pt idx="35">
                        <c:v>1179074.392765681</c:v>
                      </c:pt>
                      <c:pt idx="36">
                        <c:v>1200590.0835022051</c:v>
                      </c:pt>
                      <c:pt idx="37">
                        <c:v>1221568.1408885508</c:v>
                      </c:pt>
                      <c:pt idx="38">
                        <c:v>1241676.2367981768</c:v>
                      </c:pt>
                      <c:pt idx="39">
                        <c:v>1265854.6084541425</c:v>
                      </c:pt>
                      <c:pt idx="40">
                        <c:v>1289867.212709486</c:v>
                      </c:pt>
                      <c:pt idx="41">
                        <c:v>1315035.6974061064</c:v>
                      </c:pt>
                      <c:pt idx="42">
                        <c:v>1344344.9407385164</c:v>
                      </c:pt>
                      <c:pt idx="43">
                        <c:v>1375820.1086740417</c:v>
                      </c:pt>
                      <c:pt idx="44">
                        <c:v>1411885.3641938618</c:v>
                      </c:pt>
                      <c:pt idx="45">
                        <c:v>1441697.0546657441</c:v>
                      </c:pt>
                      <c:pt idx="46">
                        <c:v>1470220.8826198957</c:v>
                      </c:pt>
                      <c:pt idx="47">
                        <c:v>1501205.6317520018</c:v>
                      </c:pt>
                      <c:pt idx="48">
                        <c:v>1531536.3232332743</c:v>
                      </c:pt>
                      <c:pt idx="49">
                        <c:v>1563361.6215296164</c:v>
                      </c:pt>
                      <c:pt idx="50">
                        <c:v>1595587.5449243241</c:v>
                      </c:pt>
                      <c:pt idx="51">
                        <c:v>1631028.5989315487</c:v>
                      </c:pt>
                      <c:pt idx="52">
                        <c:v>1665522.3544129995</c:v>
                      </c:pt>
                      <c:pt idx="53">
                        <c:v>1700742.1731407556</c:v>
                      </c:pt>
                      <c:pt idx="54">
                        <c:v>1737138.5628325795</c:v>
                      </c:pt>
                      <c:pt idx="55">
                        <c:v>1774896.927383302</c:v>
                      </c:pt>
                      <c:pt idx="56">
                        <c:v>1816752.6040868936</c:v>
                      </c:pt>
                      <c:pt idx="57">
                        <c:v>1847458.7416362888</c:v>
                      </c:pt>
                      <c:pt idx="58">
                        <c:v>1877630.942674024</c:v>
                      </c:pt>
                      <c:pt idx="59">
                        <c:v>1908506.016309191</c:v>
                      </c:pt>
                      <c:pt idx="60">
                        <c:v>1939564.1342363278</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3970073.9493708354</c:v>
                      </c:pt>
                      <c:pt idx="24">
                        <c:v>4052957.2380717816</c:v>
                      </c:pt>
                      <c:pt idx="25">
                        <c:v>4076755.4517869884</c:v>
                      </c:pt>
                      <c:pt idx="26">
                        <c:v>4062162.5676625171</c:v>
                      </c:pt>
                      <c:pt idx="27">
                        <c:v>4009333.8450175426</c:v>
                      </c:pt>
                      <c:pt idx="28">
                        <c:v>3987094.1595649333</c:v>
                      </c:pt>
                      <c:pt idx="29">
                        <c:v>3969899.9472367363</c:v>
                      </c:pt>
                      <c:pt idx="30">
                        <c:v>3393837.3933117758</c:v>
                      </c:pt>
                      <c:pt idx="31">
                        <c:v>3543421.9369887467</c:v>
                      </c:pt>
                      <c:pt idx="32">
                        <c:v>3646503.7809395399</c:v>
                      </c:pt>
                      <c:pt idx="33">
                        <c:v>3737986.7432850893</c:v>
                      </c:pt>
                      <c:pt idx="34">
                        <c:v>3850623.5413084393</c:v>
                      </c:pt>
                      <c:pt idx="35">
                        <c:v>3952861.359710326</c:v>
                      </c:pt>
                      <c:pt idx="36">
                        <c:v>4043100.6337726563</c:v>
                      </c:pt>
                      <c:pt idx="37">
                        <c:v>4126943.183641274</c:v>
                      </c:pt>
                      <c:pt idx="38">
                        <c:v>4201572.0597490128</c:v>
                      </c:pt>
                      <c:pt idx="39">
                        <c:v>4310916.2501425808</c:v>
                      </c:pt>
                      <c:pt idx="40">
                        <c:v>4416980.1901160572</c:v>
                      </c:pt>
                      <c:pt idx="41">
                        <c:v>4541072.8887908636</c:v>
                      </c:pt>
                      <c:pt idx="42">
                        <c:v>4699196.2524249991</c:v>
                      </c:pt>
                      <c:pt idx="43">
                        <c:v>4873668.8180964151</c:v>
                      </c:pt>
                      <c:pt idx="44">
                        <c:v>5084877.1041780189</c:v>
                      </c:pt>
                      <c:pt idx="45">
                        <c:v>5240122.0370546337</c:v>
                      </c:pt>
                      <c:pt idx="46">
                        <c:v>5391430.5832104255</c:v>
                      </c:pt>
                      <c:pt idx="47">
                        <c:v>5561432.5884370701</c:v>
                      </c:pt>
                      <c:pt idx="48">
                        <c:v>5723870.646589593</c:v>
                      </c:pt>
                      <c:pt idx="49">
                        <c:v>5896669.0999474553</c:v>
                      </c:pt>
                      <c:pt idx="50">
                        <c:v>6070662.4136312781</c:v>
                      </c:pt>
                      <c:pt idx="51">
                        <c:v>6277164.7347651003</c:v>
                      </c:pt>
                      <c:pt idx="52">
                        <c:v>6473647.0146954665</c:v>
                      </c:pt>
                      <c:pt idx="53">
                        <c:v>6673815.2723429902</c:v>
                      </c:pt>
                      <c:pt idx="54">
                        <c:v>6881241.4000776187</c:v>
                      </c:pt>
                      <c:pt idx="55">
                        <c:v>7097301.1598550947</c:v>
                      </c:pt>
                      <c:pt idx="56">
                        <c:v>7351902.3071441259</c:v>
                      </c:pt>
                      <c:pt idx="57">
                        <c:v>7515870.3773654448</c:v>
                      </c:pt>
                      <c:pt idx="58">
                        <c:v>7674056.4923992082</c:v>
                      </c:pt>
                      <c:pt idx="59">
                        <c:v>7836224.012441407</c:v>
                      </c:pt>
                      <c:pt idx="60">
                        <c:v>7998279.5510298656</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24497.747310072355</c:v>
                </c:pt>
                <c:pt idx="14">
                  <c:v>24503.520525013522</c:v>
                </c:pt>
                <c:pt idx="15">
                  <c:v>24330.600675717971</c:v>
                </c:pt>
                <c:pt idx="16">
                  <c:v>24050.505209418399</c:v>
                </c:pt>
                <c:pt idx="17">
                  <c:v>23669.383405227258</c:v>
                </c:pt>
                <c:pt idx="18">
                  <c:v>23387.298701141393</c:v>
                </c:pt>
                <c:pt idx="19">
                  <c:v>23126.61405950896</c:v>
                </c:pt>
                <c:pt idx="20">
                  <c:v>21313.144688128854</c:v>
                </c:pt>
                <c:pt idx="21">
                  <c:v>21476.43848253235</c:v>
                </c:pt>
                <c:pt idx="22">
                  <c:v>21448.080260439456</c:v>
                </c:pt>
                <c:pt idx="23">
                  <c:v>21326.978028834899</c:v>
                </c:pt>
                <c:pt idx="24">
                  <c:v>21199.425310322698</c:v>
                </c:pt>
                <c:pt idx="25">
                  <c:v>20982.178150304731</c:v>
                </c:pt>
                <c:pt idx="26">
                  <c:v>20654.212977005071</c:v>
                </c:pt>
                <c:pt idx="27">
                  <c:v>20251.950327874663</c:v>
                </c:pt>
                <c:pt idx="28">
                  <c:v>19771.050805301311</c:v>
                </c:pt>
                <c:pt idx="29">
                  <c:v>19310.006649210372</c:v>
                </c:pt>
                <c:pt idx="30">
                  <c:v>18780.725559616032</c:v>
                </c:pt>
                <c:pt idx="31">
                  <c:v>18678.230814519393</c:v>
                </c:pt>
                <c:pt idx="32">
                  <c:v>18633.179386507334</c:v>
                </c:pt>
                <c:pt idx="33">
                  <c:v>18606.357876329104</c:v>
                </c:pt>
                <c:pt idx="34">
                  <c:v>18633.590369141479</c:v>
                </c:pt>
                <c:pt idx="35">
                  <c:v>18540.491265559616</c:v>
                </c:pt>
                <c:pt idx="36">
                  <c:v>18416.815936755418</c:v>
                </c:pt>
                <c:pt idx="37">
                  <c:v>18313.821173545581</c:v>
                </c:pt>
                <c:pt idx="38">
                  <c:v>18184.939775956242</c:v>
                </c:pt>
                <c:pt idx="39">
                  <c:v>18060.598761443245</c:v>
                </c:pt>
                <c:pt idx="40">
                  <c:v>17925.02084662738</c:v>
                </c:pt>
                <c:pt idx="41">
                  <c:v>17937.638187955763</c:v>
                </c:pt>
                <c:pt idx="42">
                  <c:v>17922.365708277495</c:v>
                </c:pt>
                <c:pt idx="43">
                  <c:v>17900.545667522056</c:v>
                </c:pt>
                <c:pt idx="44">
                  <c:v>17877.040682352697</c:v>
                </c:pt>
                <c:pt idx="45">
                  <c:v>17853.149360272939</c:v>
                </c:pt>
                <c:pt idx="46">
                  <c:v>17860.491287535166</c:v>
                </c:pt>
                <c:pt idx="47">
                  <c:v>17731.628038275532</c:v>
                </c:pt>
                <c:pt idx="48">
                  <c:v>17586.346546915564</c:v>
                </c:pt>
                <c:pt idx="49">
                  <c:v>17437.718316603845</c:v>
                </c:pt>
                <c:pt idx="50">
                  <c:v>17280.40046791275</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773.63480085759136</c:v>
                </c:pt>
                <c:pt idx="13">
                  <c:v>773.31898688850049</c:v>
                </c:pt>
                <c:pt idx="14">
                  <c:v>776.88427336337372</c:v>
                </c:pt>
                <c:pt idx="15">
                  <c:v>774.23176934583194</c:v>
                </c:pt>
                <c:pt idx="16">
                  <c:v>767.78252613822394</c:v>
                </c:pt>
                <c:pt idx="17">
                  <c:v>757.64554116954969</c:v>
                </c:pt>
                <c:pt idx="18">
                  <c:v>751.16163519220845</c:v>
                </c:pt>
                <c:pt idx="19">
                  <c:v>745.51728762401785</c:v>
                </c:pt>
                <c:pt idx="20">
                  <c:v>681.46558648486609</c:v>
                </c:pt>
                <c:pt idx="21">
                  <c:v>643.13663390564193</c:v>
                </c:pt>
                <c:pt idx="22">
                  <c:v>599.3960805553329</c:v>
                </c:pt>
                <c:pt idx="23">
                  <c:v>554.18313746356432</c:v>
                </c:pt>
                <c:pt idx="24">
                  <c:v>510.18420024275844</c:v>
                </c:pt>
                <c:pt idx="25">
                  <c:v>464.83456920457371</c:v>
                </c:pt>
                <c:pt idx="26">
                  <c:v>418.01195440347163</c:v>
                </c:pt>
                <c:pt idx="27">
                  <c:v>370.60942921614577</c:v>
                </c:pt>
                <c:pt idx="28">
                  <c:v>322.6370176406287</c:v>
                </c:pt>
                <c:pt idx="29">
                  <c:v>275.99136244360608</c:v>
                </c:pt>
                <c:pt idx="30">
                  <c:v>228.76683176612659</c:v>
                </c:pt>
                <c:pt idx="31">
                  <c:v>219.37354548978729</c:v>
                </c:pt>
                <c:pt idx="32">
                  <c:v>210.76068254388309</c:v>
                </c:pt>
                <c:pt idx="33">
                  <c:v>202.28369688087039</c:v>
                </c:pt>
                <c:pt idx="34">
                  <c:v>194.39395281732632</c:v>
                </c:pt>
                <c:pt idx="35">
                  <c:v>184.70041772967997</c:v>
                </c:pt>
                <c:pt idx="36">
                  <c:v>174.58819538090538</c:v>
                </c:pt>
                <c:pt idx="37">
                  <c:v>164.62754032317886</c:v>
                </c:pt>
                <c:pt idx="38">
                  <c:v>154.23190442171767</c:v>
                </c:pt>
                <c:pt idx="39">
                  <c:v>143.76674813295227</c:v>
                </c:pt>
                <c:pt idx="40">
                  <c:v>133.04478157059518</c:v>
                </c:pt>
                <c:pt idx="41">
                  <c:v>136.57506946457949</c:v>
                </c:pt>
                <c:pt idx="42">
                  <c:v>139.94452261565735</c:v>
                </c:pt>
                <c:pt idx="43">
                  <c:v>143.3802230147646</c:v>
                </c:pt>
                <c:pt idx="44">
                  <c:v>146.94147305442607</c:v>
                </c:pt>
                <c:pt idx="45">
                  <c:v>150.65121966652958</c:v>
                </c:pt>
                <c:pt idx="46">
                  <c:v>154.97376197713066</c:v>
                </c:pt>
                <c:pt idx="47">
                  <c:v>157.79515111862597</c:v>
                </c:pt>
                <c:pt idx="48">
                  <c:v>160.52443752563059</c:v>
                </c:pt>
                <c:pt idx="49">
                  <c:v>163.32389105755715</c:v>
                </c:pt>
                <c:pt idx="50">
                  <c:v>166.12540648763053</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1628.349845404995</c:v>
                </c:pt>
                <c:pt idx="14">
                  <c:v>1654.3267410473245</c:v>
                </c:pt>
                <c:pt idx="15">
                  <c:v>1663.6384309182044</c:v>
                </c:pt>
                <c:pt idx="16">
                  <c:v>1662.3021398559861</c:v>
                </c:pt>
                <c:pt idx="17">
                  <c:v>1650.3976769413116</c:v>
                </c:pt>
                <c:pt idx="18">
                  <c:v>1647.5009704288248</c:v>
                </c:pt>
                <c:pt idx="19">
                  <c:v>1646.2684747308624</c:v>
                </c:pt>
                <c:pt idx="20">
                  <c:v>1485.0672239967832</c:v>
                </c:pt>
                <c:pt idx="21">
                  <c:v>1531.7678337568175</c:v>
                </c:pt>
                <c:pt idx="22">
                  <c:v>1565.2797135794174</c:v>
                </c:pt>
                <c:pt idx="23">
                  <c:v>1595.5977309339771</c:v>
                </c:pt>
                <c:pt idx="24">
                  <c:v>1632.1146503587709</c:v>
                </c:pt>
                <c:pt idx="25">
                  <c:v>1665.7737581151644</c:v>
                </c:pt>
                <c:pt idx="26">
                  <c:v>1695.0546053993332</c:v>
                </c:pt>
                <c:pt idx="27">
                  <c:v>1722.606278767714</c:v>
                </c:pt>
                <c:pt idx="28">
                  <c:v>1747.6145266122355</c:v>
                </c:pt>
                <c:pt idx="29">
                  <c:v>1782.7040059062331</c:v>
                </c:pt>
                <c:pt idx="30">
                  <c:v>1816.9551645589017</c:v>
                </c:pt>
                <c:pt idx="31">
                  <c:v>1853.8651522635487</c:v>
                </c:pt>
                <c:pt idx="32">
                  <c:v>1900.6148321123671</c:v>
                </c:pt>
                <c:pt idx="33">
                  <c:v>1952.1111580596387</c:v>
                </c:pt>
                <c:pt idx="34">
                  <c:v>2014.1969847431008</c:v>
                </c:pt>
                <c:pt idx="35">
                  <c:v>2060.2706197803477</c:v>
                </c:pt>
                <c:pt idx="36">
                  <c:v>2104.4830447343411</c:v>
                </c:pt>
                <c:pt idx="37">
                  <c:v>2154.1067837727705</c:v>
                </c:pt>
                <c:pt idx="38">
                  <c:v>2201.6153246846625</c:v>
                </c:pt>
                <c:pt idx="39">
                  <c:v>2252.1439705293146</c:v>
                </c:pt>
                <c:pt idx="40">
                  <c:v>2303.0675778776113</c:v>
                </c:pt>
                <c:pt idx="41">
                  <c:v>2363.6430162981173</c:v>
                </c:pt>
                <c:pt idx="42">
                  <c:v>2421.4281026600174</c:v>
                </c:pt>
                <c:pt idx="43">
                  <c:v>2480.3458467715691</c:v>
                </c:pt>
                <c:pt idx="44">
                  <c:v>2541.419721005976</c:v>
                </c:pt>
                <c:pt idx="45">
                  <c:v>2605.045094325405</c:v>
                </c:pt>
                <c:pt idx="46">
                  <c:v>2679.0543822771356</c:v>
                </c:pt>
                <c:pt idx="47">
                  <c:v>2727.2018300434552</c:v>
                </c:pt>
                <c:pt idx="48">
                  <c:v>2773.7739329888864</c:v>
                </c:pt>
                <c:pt idx="49">
                  <c:v>2821.5666216112859</c:v>
                </c:pt>
                <c:pt idx="50">
                  <c:v>2869.4090203291116</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892.99961042800624</c:v>
                </c:pt>
                <c:pt idx="22">
                  <c:v>897.66502434733229</c:v>
                </c:pt>
                <c:pt idx="23">
                  <c:v>901.31677957229135</c:v>
                </c:pt>
                <c:pt idx="24">
                  <c:v>904.69718143729835</c:v>
                </c:pt>
                <c:pt idx="25">
                  <c:v>908.47574920758507</c:v>
                </c:pt>
                <c:pt idx="26">
                  <c:v>912.00886230682897</c:v>
                </c:pt>
                <c:pt idx="27">
                  <c:v>915.15522281701794</c:v>
                </c:pt>
                <c:pt idx="28">
                  <c:v>918.14911339193043</c:v>
                </c:pt>
                <c:pt idx="29">
                  <c:v>920.93862378014114</c:v>
                </c:pt>
                <c:pt idx="30">
                  <c:v>924.38117404713842</c:v>
                </c:pt>
                <c:pt idx="31">
                  <c:v>927.72886456057699</c:v>
                </c:pt>
                <c:pt idx="32">
                  <c:v>931.30044289181558</c:v>
                </c:pt>
                <c:pt idx="33">
                  <c:v>935.47463981104102</c:v>
                </c:pt>
                <c:pt idx="34">
                  <c:v>939.89945345474598</c:v>
                </c:pt>
                <c:pt idx="35">
                  <c:v>944.93069992096457</c:v>
                </c:pt>
                <c:pt idx="36">
                  <c:v>948.88651159106837</c:v>
                </c:pt>
                <c:pt idx="37">
                  <c:v>952.65045566979234</c:v>
                </c:pt>
                <c:pt idx="38">
                  <c:v>956.69732285696261</c:v>
                </c:pt>
                <c:pt idx="39">
                  <c:v>960.56505395961551</c:v>
                </c:pt>
                <c:pt idx="40">
                  <c:v>964.56260681029062</c:v>
                </c:pt>
                <c:pt idx="41">
                  <c:v>968.53102991020114</c:v>
                </c:pt>
                <c:pt idx="42">
                  <c:v>972.91815093223238</c:v>
                </c:pt>
                <c:pt idx="43">
                  <c:v>977.08221160435949</c:v>
                </c:pt>
                <c:pt idx="44">
                  <c:v>981.24968371542741</c:v>
                </c:pt>
                <c:pt idx="45">
                  <c:v>985.47496417545995</c:v>
                </c:pt>
                <c:pt idx="46">
                  <c:v>989.77519860882489</c:v>
                </c:pt>
                <c:pt idx="47">
                  <c:v>994.53641231240658</c:v>
                </c:pt>
                <c:pt idx="48">
                  <c:v>997.87560728554854</c:v>
                </c:pt>
                <c:pt idx="49">
                  <c:v>1001.0952288876074</c:v>
                </c:pt>
                <c:pt idx="50">
                  <c:v>1004.3409499737036</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469.9309125855201</c:v>
                </c:pt>
                <c:pt idx="22">
                  <c:v>469.81336359291407</c:v>
                </c:pt>
                <c:pt idx="23">
                  <c:v>469.7213545760593</c:v>
                </c:pt>
                <c:pt idx="24">
                  <c:v>469.63618253329815</c:v>
                </c:pt>
                <c:pt idx="25">
                  <c:v>469.54097836865776</c:v>
                </c:pt>
                <c:pt idx="26">
                  <c:v>469.45195863905593</c:v>
                </c:pt>
                <c:pt idx="27">
                  <c:v>469.37268346331723</c:v>
                </c:pt>
                <c:pt idx="28">
                  <c:v>469.29724989469105</c:v>
                </c:pt>
                <c:pt idx="29">
                  <c:v>469.22696585523204</c:v>
                </c:pt>
                <c:pt idx="30">
                  <c:v>469.14022793167828</c:v>
                </c:pt>
                <c:pt idx="31">
                  <c:v>469.05588007868687</c:v>
                </c:pt>
                <c:pt idx="32">
                  <c:v>468.96589118550173</c:v>
                </c:pt>
                <c:pt idx="33">
                  <c:v>468.86071881467279</c:v>
                </c:pt>
                <c:pt idx="34">
                  <c:v>468.74923194656606</c:v>
                </c:pt>
                <c:pt idx="35">
                  <c:v>468.62246549799733</c:v>
                </c:pt>
                <c:pt idx="36">
                  <c:v>468.5227955255574</c:v>
                </c:pt>
                <c:pt idx="37">
                  <c:v>468.42795981701568</c:v>
                </c:pt>
                <c:pt idx="38">
                  <c:v>468.325995624923</c:v>
                </c:pt>
                <c:pt idx="39">
                  <c:v>468.22854491580057</c:v>
                </c:pt>
                <c:pt idx="40">
                  <c:v>468.12782323952234</c:v>
                </c:pt>
                <c:pt idx="41">
                  <c:v>468.02783551159615</c:v>
                </c:pt>
                <c:pt idx="42">
                  <c:v>467.91729834051165</c:v>
                </c:pt>
                <c:pt idx="43">
                  <c:v>467.81238136087751</c:v>
                </c:pt>
                <c:pt idx="44">
                  <c:v>467.70737842719552</c:v>
                </c:pt>
                <c:pt idx="45">
                  <c:v>467.60091896397466</c:v>
                </c:pt>
                <c:pt idx="46">
                  <c:v>467.49257097291689</c:v>
                </c:pt>
                <c:pt idx="47">
                  <c:v>467.37260822489156</c:v>
                </c:pt>
                <c:pt idx="48">
                  <c:v>467.28847442411939</c:v>
                </c:pt>
                <c:pt idx="49">
                  <c:v>467.20735337410349</c:v>
                </c:pt>
                <c:pt idx="50">
                  <c:v>467.12557472583177</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17093.826915551952</c:v>
                </c:pt>
                <c:pt idx="14">
                  <c:v>17091.396392844264</c:v>
                </c:pt>
                <c:pt idx="15">
                  <c:v>16996.523789335217</c:v>
                </c:pt>
                <c:pt idx="16">
                  <c:v>16845.135916251194</c:v>
                </c:pt>
                <c:pt idx="17">
                  <c:v>16640.888084222788</c:v>
                </c:pt>
                <c:pt idx="18">
                  <c:v>16487.529960272332</c:v>
                </c:pt>
                <c:pt idx="19">
                  <c:v>16345.805129696333</c:v>
                </c:pt>
                <c:pt idx="20">
                  <c:v>15401.51338572641</c:v>
                </c:pt>
                <c:pt idx="21">
                  <c:v>15451.429277188088</c:v>
                </c:pt>
                <c:pt idx="22">
                  <c:v>15444.013044931879</c:v>
                </c:pt>
                <c:pt idx="23">
                  <c:v>15418.042965982191</c:v>
                </c:pt>
                <c:pt idx="24">
                  <c:v>15418.823391866934</c:v>
                </c:pt>
                <c:pt idx="25">
                  <c:v>15403.798613889499</c:v>
                </c:pt>
                <c:pt idx="26">
                  <c:v>15360.595108607627</c:v>
                </c:pt>
                <c:pt idx="27">
                  <c:v>15307.758701507968</c:v>
                </c:pt>
                <c:pt idx="28">
                  <c:v>15242.39035156084</c:v>
                </c:pt>
                <c:pt idx="29">
                  <c:v>15218.753439989052</c:v>
                </c:pt>
                <c:pt idx="30">
                  <c:v>15189.597564412634</c:v>
                </c:pt>
                <c:pt idx="31">
                  <c:v>15151.347113172771</c:v>
                </c:pt>
                <c:pt idx="32">
                  <c:v>15148.119745802336</c:v>
                </c:pt>
                <c:pt idx="33">
                  <c:v>15157.815595384967</c:v>
                </c:pt>
                <c:pt idx="34">
                  <c:v>15201.428120761328</c:v>
                </c:pt>
                <c:pt idx="35">
                  <c:v>15176.81623197453</c:v>
                </c:pt>
                <c:pt idx="36">
                  <c:v>15134.53602695573</c:v>
                </c:pt>
                <c:pt idx="37">
                  <c:v>15106.004118059518</c:v>
                </c:pt>
                <c:pt idx="38">
                  <c:v>15063.925188250392</c:v>
                </c:pt>
                <c:pt idx="39">
                  <c:v>15026.096665453306</c:v>
                </c:pt>
                <c:pt idx="40">
                  <c:v>14983.310316850302</c:v>
                </c:pt>
                <c:pt idx="41">
                  <c:v>15053.060389975262</c:v>
                </c:pt>
                <c:pt idx="42">
                  <c:v>15108.752090405907</c:v>
                </c:pt>
                <c:pt idx="43">
                  <c:v>15162.862299383341</c:v>
                </c:pt>
                <c:pt idx="44">
                  <c:v>15218.64875797377</c:v>
                </c:pt>
                <c:pt idx="45">
                  <c:v>15277.073600226046</c:v>
                </c:pt>
                <c:pt idx="46">
                  <c:v>15357.900355093701</c:v>
                </c:pt>
                <c:pt idx="47">
                  <c:v>15356.027441479322</c:v>
                </c:pt>
                <c:pt idx="48">
                  <c:v>15344.750077794395</c:v>
                </c:pt>
                <c:pt idx="49">
                  <c:v>15333.436490679413</c:v>
                </c:pt>
                <c:pt idx="50">
                  <c:v>15318.775897395566</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2037.2818538590109</c:v>
                </c:pt>
                <c:pt idx="16">
                  <c:v>2020.7416492119837</c:v>
                </c:pt>
                <c:pt idx="17">
                  <c:v>1997.8167979558436</c:v>
                </c:pt>
                <c:pt idx="18">
                  <c:v>1981.3182233351415</c:v>
                </c:pt>
                <c:pt idx="19">
                  <c:v>1966.2827775921453</c:v>
                </c:pt>
                <c:pt idx="20">
                  <c:v>1851.1201579223073</c:v>
                </c:pt>
                <c:pt idx="21">
                  <c:v>1863.1453758784701</c:v>
                </c:pt>
                <c:pt idx="22">
                  <c:v>1866.9167993726135</c:v>
                </c:pt>
                <c:pt idx="23">
                  <c:v>1868.4848427256377</c:v>
                </c:pt>
                <c:pt idx="24">
                  <c:v>1873.5112777038596</c:v>
                </c:pt>
                <c:pt idx="25">
                  <c:v>1876.5478194193372</c:v>
                </c:pt>
                <c:pt idx="26">
                  <c:v>1875.8026553533111</c:v>
                </c:pt>
                <c:pt idx="27">
                  <c:v>1873.8528855065576</c:v>
                </c:pt>
                <c:pt idx="28">
                  <c:v>1870.2840795813302</c:v>
                </c:pt>
                <c:pt idx="29">
                  <c:v>1872.1240631897333</c:v>
                </c:pt>
                <c:pt idx="30">
                  <c:v>1873.2016638935022</c:v>
                </c:pt>
                <c:pt idx="31">
                  <c:v>1870.2080863465742</c:v>
                </c:pt>
                <c:pt idx="32">
                  <c:v>1871.7813206568092</c:v>
                </c:pt>
                <c:pt idx="33">
                  <c:v>1875.010514365197</c:v>
                </c:pt>
                <c:pt idx="34">
                  <c:v>1882.6817932821086</c:v>
                </c:pt>
                <c:pt idx="35">
                  <c:v>1881.3706974609693</c:v>
                </c:pt>
                <c:pt idx="36">
                  <c:v>1877.6688413587203</c:v>
                </c:pt>
                <c:pt idx="37">
                  <c:v>1875.7854640816845</c:v>
                </c:pt>
                <c:pt idx="38">
                  <c:v>1872.0878217201243</c:v>
                </c:pt>
                <c:pt idx="39">
                  <c:v>1868.9546526486934</c:v>
                </c:pt>
                <c:pt idx="40">
                  <c:v>1865.1429104689585</c:v>
                </c:pt>
                <c:pt idx="41">
                  <c:v>1876.9266426047004</c:v>
                </c:pt>
                <c:pt idx="42">
                  <c:v>1886.8973470501098</c:v>
                </c:pt>
                <c:pt idx="43">
                  <c:v>1896.7575898080834</c:v>
                </c:pt>
                <c:pt idx="44">
                  <c:v>1906.9215998548536</c:v>
                </c:pt>
                <c:pt idx="45">
                  <c:v>1917.5162350341961</c:v>
                </c:pt>
                <c:pt idx="46">
                  <c:v>1931.0529665360659</c:v>
                </c:pt>
                <c:pt idx="47">
                  <c:v>1933.5222340561663</c:v>
                </c:pt>
                <c:pt idx="48">
                  <c:v>1934.8928861947084</c:v>
                </c:pt>
                <c:pt idx="49">
                  <c:v>1936.3072823817645</c:v>
                </c:pt>
                <c:pt idx="50">
                  <c:v>1937.3036048431147</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468.55349021707195</c:v>
                </c:pt>
                <c:pt idx="14">
                  <c:v>475.46673921112142</c:v>
                </c:pt>
                <c:pt idx="15">
                  <c:v>478.52713833996251</c:v>
                </c:pt>
                <c:pt idx="16">
                  <c:v>479.1307500856546</c:v>
                </c:pt>
                <c:pt idx="17">
                  <c:v>477.27784879908722</c:v>
                </c:pt>
                <c:pt idx="18">
                  <c:v>477.58815133846173</c:v>
                </c:pt>
                <c:pt idx="19">
                  <c:v>478.3250991764117</c:v>
                </c:pt>
                <c:pt idx="20">
                  <c:v>440.89838112666757</c:v>
                </c:pt>
                <c:pt idx="21">
                  <c:v>452.25433731138094</c:v>
                </c:pt>
                <c:pt idx="22">
                  <c:v>460.49341351373761</c:v>
                </c:pt>
                <c:pt idx="23">
                  <c:v>467.99934922430617</c:v>
                </c:pt>
                <c:pt idx="24">
                  <c:v>477.01646993918706</c:v>
                </c:pt>
                <c:pt idx="25">
                  <c:v>485.37826184506105</c:v>
                </c:pt>
                <c:pt idx="26">
                  <c:v>492.63954484385323</c:v>
                </c:pt>
                <c:pt idx="27">
                  <c:v>499.51011298443024</c:v>
                </c:pt>
                <c:pt idx="28">
                  <c:v>505.79332035607274</c:v>
                </c:pt>
                <c:pt idx="29">
                  <c:v>514.51442938232935</c:v>
                </c:pt>
                <c:pt idx="30">
                  <c:v>523.05672724452518</c:v>
                </c:pt>
                <c:pt idx="31">
                  <c:v>532.66962727255941</c:v>
                </c:pt>
                <c:pt idx="32">
                  <c:v>544.68591241773242</c:v>
                </c:pt>
                <c:pt idx="33">
                  <c:v>557.88816688628663</c:v>
                </c:pt>
                <c:pt idx="34">
                  <c:v>573.69060835942162</c:v>
                </c:pt>
                <c:pt idx="35">
                  <c:v>585.67510379685325</c:v>
                </c:pt>
                <c:pt idx="36">
                  <c:v>597.18617841501373</c:v>
                </c:pt>
                <c:pt idx="37">
                  <c:v>610.04536443031634</c:v>
                </c:pt>
                <c:pt idx="38">
                  <c:v>622.43091355398064</c:v>
                </c:pt>
                <c:pt idx="39">
                  <c:v>635.58813706631486</c:v>
                </c:pt>
                <c:pt idx="40">
                  <c:v>648.88057799649482</c:v>
                </c:pt>
                <c:pt idx="41">
                  <c:v>664.2098385764009</c:v>
                </c:pt>
                <c:pt idx="42">
                  <c:v>678.88956765377372</c:v>
                </c:pt>
                <c:pt idx="43">
                  <c:v>693.87483089121622</c:v>
                </c:pt>
                <c:pt idx="44">
                  <c:v>709.41585759768498</c:v>
                </c:pt>
                <c:pt idx="45">
                  <c:v>725.61019878500633</c:v>
                </c:pt>
                <c:pt idx="46">
                  <c:v>744.31485234577633</c:v>
                </c:pt>
                <c:pt idx="47">
                  <c:v>756.71904868172453</c:v>
                </c:pt>
                <c:pt idx="48">
                  <c:v>768.75904591505696</c:v>
                </c:pt>
                <c:pt idx="49">
                  <c:v>781.11936277152188</c:v>
                </c:pt>
                <c:pt idx="50">
                  <c:v>793.51285839706986</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22916.931601602213</c:v>
                </c:pt>
                <c:pt idx="4">
                  <c:v>22902.965793483334</c:v>
                </c:pt>
                <c:pt idx="5">
                  <c:v>22783.717172728906</c:v>
                </c:pt>
                <c:pt idx="6">
                  <c:v>22638.455195046372</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26982.022461642671</c:v>
                      </c:pt>
                      <c:pt idx="3">
                        <c:v>26899.416142365852</c:v>
                      </c:pt>
                      <c:pt idx="4">
                        <c:v>26934.731539424221</c:v>
                      </c:pt>
                      <c:pt idx="5">
                        <c:v>26768.470875982006</c:v>
                      </c:pt>
                      <c:pt idx="6">
                        <c:v>26480.58987541261</c:v>
                      </c:pt>
                      <c:pt idx="7">
                        <c:v>26077.42662333812</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49879.47752199055</c:v>
                      </c:pt>
                      <c:pt idx="3">
                        <c:v>49816.347743968065</c:v>
                      </c:pt>
                      <c:pt idx="4">
                        <c:v>49837.697332907555</c:v>
                      </c:pt>
                      <c:pt idx="5">
                        <c:v>49552.188048710916</c:v>
                      </c:pt>
                      <c:pt idx="6">
                        <c:v>49119.045070458982</c:v>
                      </c:pt>
                      <c:pt idx="7">
                        <c:v>48506.144006549825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49879.47357031166</c:v>
                </c:pt>
                <c:pt idx="1">
                  <c:v>49816.343766362697</c:v>
                </c:pt>
                <c:pt idx="2">
                  <c:v>49837.693321354207</c:v>
                </c:pt>
                <c:pt idx="3">
                  <c:v>49552.184012065802</c:v>
                </c:pt>
                <c:pt idx="4">
                  <c:v>49119.041014062779</c:v>
                </c:pt>
                <c:pt idx="5">
                  <c:v>48506.139935969455</c:v>
                </c:pt>
                <c:pt idx="6">
                  <c:v>48052.087616742072</c:v>
                </c:pt>
                <c:pt idx="7">
                  <c:v>47638.317777423887</c:v>
                </c:pt>
                <c:pt idx="8">
                  <c:v>44512.602851293035</c:v>
                </c:pt>
                <c:pt idx="9">
                  <c:v>45090.691836681362</c:v>
                </c:pt>
                <c:pt idx="10">
                  <c:v>45466.186337572122</c:v>
                </c:pt>
                <c:pt idx="11">
                  <c:v>45782.369234292666</c:v>
                </c:pt>
                <c:pt idx="12">
                  <c:v>46195.796389102165</c:v>
                </c:pt>
                <c:pt idx="13">
                  <c:v>46557.680557078638</c:v>
                </c:pt>
                <c:pt idx="14">
                  <c:v>46825.109074294232</c:v>
                </c:pt>
                <c:pt idx="15">
                  <c:v>47060.345313480255</c:v>
                </c:pt>
                <c:pt idx="16">
                  <c:v>47251.562980523551</c:v>
                </c:pt>
                <c:pt idx="17">
                  <c:v>47597.516173282886</c:v>
                </c:pt>
                <c:pt idx="18">
                  <c:v>47925.810783218549</c:v>
                </c:pt>
                <c:pt idx="19">
                  <c:v>48111.445257916232</c:v>
                </c:pt>
                <c:pt idx="20">
                  <c:v>48433.306663496289</c:v>
                </c:pt>
                <c:pt idx="21">
                  <c:v>48809.839410212458</c:v>
                </c:pt>
                <c:pt idx="22">
                  <c:v>49322.962353914379</c:v>
                </c:pt>
                <c:pt idx="23">
                  <c:v>49582.432140478704</c:v>
                </c:pt>
                <c:pt idx="24">
                  <c:v>49783.844998873734</c:v>
                </c:pt>
                <c:pt idx="25">
                  <c:v>50045.091943923006</c:v>
                </c:pt>
                <c:pt idx="26">
                  <c:v>50259.78753025092</c:v>
                </c:pt>
                <c:pt idx="27">
                  <c:v>50497.740486010385</c:v>
                </c:pt>
                <c:pt idx="28">
                  <c:v>50723.075800585633</c:v>
                </c:pt>
                <c:pt idx="29">
                  <c:v>51149.254791762738</c:v>
                </c:pt>
                <c:pt idx="30">
                  <c:v>51522.858330715608</c:v>
                </c:pt>
                <c:pt idx="31">
                  <c:v>51894.705673539167</c:v>
                </c:pt>
                <c:pt idx="32">
                  <c:v>52277.733449845786</c:v>
                </c:pt>
                <c:pt idx="33">
                  <c:v>52676.031694604171</c:v>
                </c:pt>
                <c:pt idx="34">
                  <c:v>53173.889805030063</c:v>
                </c:pt>
                <c:pt idx="35">
                  <c:v>53335.926284604386</c:v>
                </c:pt>
                <c:pt idx="36">
                  <c:v>53464.160474886499</c:v>
                </c:pt>
                <c:pt idx="37">
                  <c:v>53595.002303518384</c:v>
                </c:pt>
                <c:pt idx="38">
                  <c:v>53714.453207546954</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49879.47752199055</c:v>
                </c:pt>
                <c:pt idx="1">
                  <c:v>49816.347743968065</c:v>
                </c:pt>
                <c:pt idx="2">
                  <c:v>49837.697332907555</c:v>
                </c:pt>
                <c:pt idx="3">
                  <c:v>49552.188048710916</c:v>
                </c:pt>
                <c:pt idx="4">
                  <c:v>49119.045070458982</c:v>
                </c:pt>
                <c:pt idx="5">
                  <c:v>48506.144006549825</c:v>
                </c:pt>
                <c:pt idx="6">
                  <c:v>48052.091708103741</c:v>
                </c:pt>
                <c:pt idx="7">
                  <c:v>47638.321891407337</c:v>
                </c:pt>
                <c:pt idx="8">
                  <c:v>44512.606878832135</c:v>
                </c:pt>
                <c:pt idx="9">
                  <c:v>44756.278828915616</c:v>
                </c:pt>
                <c:pt idx="10">
                  <c:v>44735.193537523126</c:v>
                </c:pt>
                <c:pt idx="11">
                  <c:v>44594.219498364466</c:v>
                </c:pt>
                <c:pt idx="12">
                  <c:v>44485.663445317448</c:v>
                </c:pt>
                <c:pt idx="13">
                  <c:v>44265.142153128356</c:v>
                </c:pt>
                <c:pt idx="14">
                  <c:v>43894.7513911934</c:v>
                </c:pt>
                <c:pt idx="15">
                  <c:v>43436.148838633759</c:v>
                </c:pt>
                <c:pt idx="16">
                  <c:v>42880.909132696092</c:v>
                </c:pt>
                <c:pt idx="17">
                  <c:v>42406.311679974853</c:v>
                </c:pt>
                <c:pt idx="18">
                  <c:v>41856.236525549786</c:v>
                </c:pt>
                <c:pt idx="19">
                  <c:v>41760.904898308479</c:v>
                </c:pt>
                <c:pt idx="20">
                  <c:v>41775.848231247692</c:v>
                </c:pt>
                <c:pt idx="21">
                  <c:v>41830.256586187024</c:v>
                </c:pt>
                <c:pt idx="22">
                  <c:v>41991.098936686649</c:v>
                </c:pt>
                <c:pt idx="23">
                  <c:v>41933.360126426865</c:v>
                </c:pt>
                <c:pt idx="24">
                  <c:v>41821.18435794799</c:v>
                </c:pt>
                <c:pt idx="25">
                  <c:v>41751.97988945643</c:v>
                </c:pt>
                <c:pt idx="26">
                  <c:v>41638.779479350909</c:v>
                </c:pt>
                <c:pt idx="27">
                  <c:v>41537.963271629487</c:v>
                </c:pt>
                <c:pt idx="28">
                  <c:v>41420.673684119749</c:v>
                </c:pt>
                <c:pt idx="29">
                  <c:v>41605.623758173555</c:v>
                </c:pt>
                <c:pt idx="30">
                  <c:v>41743.620041010989</c:v>
                </c:pt>
                <c:pt idx="31">
                  <c:v>41874.663808629892</c:v>
                </c:pt>
                <c:pt idx="32">
                  <c:v>42008.843417454002</c:v>
                </c:pt>
                <c:pt idx="33">
                  <c:v>42149.115360119875</c:v>
                </c:pt>
                <c:pt idx="34">
                  <c:v>42359.544649215379</c:v>
                </c:pt>
                <c:pt idx="35">
                  <c:v>42306.787543259125</c:v>
                </c:pt>
                <c:pt idx="36">
                  <c:v>42223.691293309261</c:v>
                </c:pt>
                <c:pt idx="37">
                  <c:v>42138.750336830795</c:v>
                </c:pt>
                <c:pt idx="38">
                  <c:v>42041.465074726817</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baseColWidth="10" defaultColWidth="8.83203125" defaultRowHeight="15" x14ac:dyDescent="0.2"/>
  <cols>
    <col min="1" max="1" width="27" customWidth="1"/>
    <col min="2" max="2" width="18" customWidth="1"/>
    <col min="3" max="3" width="20.5" customWidth="1"/>
    <col min="4" max="4" width="37.33203125" customWidth="1"/>
  </cols>
  <sheetData>
    <row r="1" spans="1:4" ht="19" x14ac:dyDescent="0.25">
      <c r="A1" s="1" t="s">
        <v>800</v>
      </c>
    </row>
    <row r="3" spans="1:4" ht="16" x14ac:dyDescent="0.2">
      <c r="A3" s="20" t="s">
        <v>693</v>
      </c>
      <c r="B3" s="20"/>
      <c r="C3" s="20"/>
      <c r="D3" s="20"/>
    </row>
    <row r="4" spans="1:4" x14ac:dyDescent="0.2">
      <c r="A4" s="36" t="s">
        <v>691</v>
      </c>
      <c r="B4" s="36" t="s">
        <v>694</v>
      </c>
      <c r="C4" s="36" t="s">
        <v>695</v>
      </c>
      <c r="D4" s="36" t="s">
        <v>283</v>
      </c>
    </row>
    <row r="5" spans="1:4" x14ac:dyDescent="0.2">
      <c r="A5" t="s">
        <v>692</v>
      </c>
      <c r="B5" t="s">
        <v>696</v>
      </c>
      <c r="C5" t="s">
        <v>698</v>
      </c>
      <c r="D5" s="14"/>
    </row>
    <row r="6" spans="1:4" ht="32" x14ac:dyDescent="0.2">
      <c r="A6" t="s">
        <v>709</v>
      </c>
      <c r="B6" t="s">
        <v>696</v>
      </c>
      <c r="C6" t="s">
        <v>735</v>
      </c>
      <c r="D6" s="14" t="s">
        <v>710</v>
      </c>
    </row>
    <row r="7" spans="1:4" ht="80" x14ac:dyDescent="0.2">
      <c r="A7" t="s">
        <v>797</v>
      </c>
      <c r="B7" t="s">
        <v>696</v>
      </c>
      <c r="C7" t="s">
        <v>798</v>
      </c>
      <c r="D7" s="14" t="s">
        <v>799</v>
      </c>
    </row>
    <row r="8" spans="1:4" ht="16" x14ac:dyDescent="0.2">
      <c r="A8" t="s">
        <v>802</v>
      </c>
      <c r="B8" t="s">
        <v>696</v>
      </c>
      <c r="C8" t="s">
        <v>803</v>
      </c>
      <c r="D8" s="14" t="s">
        <v>804</v>
      </c>
    </row>
    <row r="9" spans="1:4" ht="32" x14ac:dyDescent="0.2">
      <c r="A9" t="s">
        <v>819</v>
      </c>
      <c r="B9" t="s">
        <v>696</v>
      </c>
      <c r="C9" t="s">
        <v>820</v>
      </c>
      <c r="D9" s="14" t="s">
        <v>821</v>
      </c>
    </row>
    <row r="10" spans="1:4" ht="48" x14ac:dyDescent="0.2">
      <c r="A10" t="s">
        <v>822</v>
      </c>
      <c r="B10" t="s">
        <v>696</v>
      </c>
      <c r="C10" t="s">
        <v>823</v>
      </c>
      <c r="D10" s="14" t="s">
        <v>825</v>
      </c>
    </row>
    <row r="11" spans="1:4" ht="16" x14ac:dyDescent="0.2">
      <c r="A11" t="s">
        <v>824</v>
      </c>
      <c r="B11" t="s">
        <v>696</v>
      </c>
      <c r="C11" t="s">
        <v>823</v>
      </c>
      <c r="D11" s="14" t="s">
        <v>832</v>
      </c>
    </row>
    <row r="12" spans="1:4" ht="32" x14ac:dyDescent="0.2">
      <c r="A12" t="s">
        <v>879</v>
      </c>
      <c r="B12" t="s">
        <v>696</v>
      </c>
      <c r="C12" t="s">
        <v>880</v>
      </c>
      <c r="D12" s="14" t="s">
        <v>881</v>
      </c>
    </row>
    <row r="13" spans="1:4" ht="32" x14ac:dyDescent="0.2">
      <c r="A13" s="14" t="s">
        <v>1389</v>
      </c>
      <c r="B13" t="s">
        <v>696</v>
      </c>
      <c r="C13" t="s">
        <v>1390</v>
      </c>
      <c r="D13" s="14" t="s">
        <v>1391</v>
      </c>
    </row>
    <row r="17" spans="1:6" ht="16" x14ac:dyDescent="0.2">
      <c r="A17" s="20" t="s">
        <v>697</v>
      </c>
      <c r="B17" s="20"/>
      <c r="C17" s="20"/>
      <c r="D17" s="20"/>
    </row>
    <row r="18" spans="1:6" x14ac:dyDescent="0.2">
      <c r="A18" s="36" t="s">
        <v>691</v>
      </c>
      <c r="B18" s="128" t="s">
        <v>700</v>
      </c>
      <c r="C18" s="128"/>
      <c r="D18" s="36" t="s">
        <v>283</v>
      </c>
    </row>
    <row r="19" spans="1:6" ht="51" customHeight="1" x14ac:dyDescent="0.2">
      <c r="A19" s="50" t="s">
        <v>7</v>
      </c>
      <c r="B19" s="118" t="s">
        <v>701</v>
      </c>
      <c r="C19" s="118"/>
      <c r="D19" s="4"/>
    </row>
    <row r="20" spans="1:6" ht="80" x14ac:dyDescent="0.2">
      <c r="A20" s="51" t="s">
        <v>316</v>
      </c>
      <c r="B20" s="118" t="s">
        <v>827</v>
      </c>
      <c r="C20" s="118"/>
      <c r="D20" s="52" t="s">
        <v>828</v>
      </c>
    </row>
    <row r="21" spans="1:6" ht="45" customHeight="1" x14ac:dyDescent="0.2">
      <c r="A21" s="55" t="s">
        <v>826</v>
      </c>
      <c r="B21" s="118" t="s">
        <v>781</v>
      </c>
      <c r="C21" s="118"/>
      <c r="D21" s="52"/>
    </row>
    <row r="22" spans="1:6" ht="99" customHeight="1" x14ac:dyDescent="0.2">
      <c r="A22" s="82" t="s">
        <v>829</v>
      </c>
      <c r="B22" s="129" t="s">
        <v>830</v>
      </c>
      <c r="C22" s="130"/>
      <c r="D22" s="52"/>
    </row>
    <row r="23" spans="1:6" x14ac:dyDescent="0.2">
      <c r="A23" s="53" t="s">
        <v>8</v>
      </c>
      <c r="B23" s="118" t="s">
        <v>728</v>
      </c>
      <c r="C23" s="118"/>
      <c r="D23" s="4"/>
    </row>
    <row r="24" spans="1:6" ht="60" customHeight="1" x14ac:dyDescent="0.2">
      <c r="A24" s="83" t="s">
        <v>876</v>
      </c>
      <c r="B24" s="129" t="s">
        <v>878</v>
      </c>
      <c r="C24" s="130"/>
      <c r="D24" s="4"/>
    </row>
    <row r="25" spans="1:6" ht="80" hidden="1" x14ac:dyDescent="0.2">
      <c r="A25" s="54" t="s">
        <v>783</v>
      </c>
      <c r="B25" s="118" t="s">
        <v>782</v>
      </c>
      <c r="C25" s="118"/>
      <c r="D25" s="76" t="s">
        <v>729</v>
      </c>
    </row>
    <row r="26" spans="1:6" ht="80" x14ac:dyDescent="0.2">
      <c r="A26" s="56" t="s">
        <v>142</v>
      </c>
      <c r="B26" s="118" t="s">
        <v>831</v>
      </c>
      <c r="C26" s="118"/>
      <c r="D26" s="52" t="s">
        <v>801</v>
      </c>
    </row>
    <row r="27" spans="1:6" ht="63" customHeight="1" x14ac:dyDescent="0.2">
      <c r="A27" s="56" t="s">
        <v>279</v>
      </c>
      <c r="B27" s="118" t="s">
        <v>730</v>
      </c>
      <c r="C27" s="118"/>
      <c r="D27" s="52" t="s">
        <v>731</v>
      </c>
    </row>
    <row r="28" spans="1:6" ht="46.5" customHeight="1" x14ac:dyDescent="0.2">
      <c r="A28" s="56" t="s">
        <v>699</v>
      </c>
      <c r="B28" s="118" t="s">
        <v>732</v>
      </c>
      <c r="C28" s="118"/>
      <c r="D28" s="4"/>
    </row>
    <row r="29" spans="1:6" x14ac:dyDescent="0.2">
      <c r="A29" s="56" t="s">
        <v>784</v>
      </c>
      <c r="B29" s="118" t="s">
        <v>733</v>
      </c>
      <c r="C29" s="118"/>
      <c r="D29" s="4"/>
    </row>
    <row r="30" spans="1:6" x14ac:dyDescent="0.2">
      <c r="A30" s="57" t="s">
        <v>785</v>
      </c>
      <c r="B30" s="118" t="s">
        <v>734</v>
      </c>
      <c r="C30" s="118"/>
      <c r="D30" s="4"/>
    </row>
    <row r="31" spans="1:6" ht="63.75" customHeight="1" x14ac:dyDescent="0.2">
      <c r="A31" s="112" t="s">
        <v>1392</v>
      </c>
      <c r="B31" s="118" t="s">
        <v>1398</v>
      </c>
      <c r="C31" s="118"/>
      <c r="D31" s="4"/>
      <c r="F31" t="s">
        <v>1403</v>
      </c>
    </row>
    <row r="32" spans="1:6" x14ac:dyDescent="0.2">
      <c r="A32" s="113" t="s">
        <v>1393</v>
      </c>
      <c r="B32" s="122" t="s">
        <v>1399</v>
      </c>
      <c r="C32" s="123"/>
      <c r="D32" s="4"/>
    </row>
    <row r="33" spans="1:4" x14ac:dyDescent="0.2">
      <c r="A33" s="113" t="s">
        <v>1400</v>
      </c>
      <c r="B33" s="124"/>
      <c r="C33" s="125"/>
      <c r="D33" s="4"/>
    </row>
    <row r="34" spans="1:4" x14ac:dyDescent="0.2">
      <c r="A34" s="113" t="s">
        <v>1394</v>
      </c>
      <c r="B34" s="124"/>
      <c r="C34" s="125"/>
      <c r="D34" s="4"/>
    </row>
    <row r="35" spans="1:4" x14ac:dyDescent="0.2">
      <c r="A35" s="113" t="s">
        <v>1395</v>
      </c>
      <c r="B35" s="126"/>
      <c r="C35" s="127"/>
      <c r="D35" s="4"/>
    </row>
    <row r="36" spans="1:4" ht="31.5" customHeight="1" x14ac:dyDescent="0.2">
      <c r="A36" s="113" t="s">
        <v>1396</v>
      </c>
      <c r="B36" s="118" t="s">
        <v>1401</v>
      </c>
      <c r="C36" s="118"/>
      <c r="D36" s="4"/>
    </row>
    <row r="37" spans="1:4" ht="47.25" customHeight="1" x14ac:dyDescent="0.2">
      <c r="A37" s="112" t="s">
        <v>1397</v>
      </c>
      <c r="B37" s="118" t="s">
        <v>1402</v>
      </c>
      <c r="C37" s="118"/>
      <c r="D37" s="4"/>
    </row>
    <row r="40" spans="1:4" ht="16" x14ac:dyDescent="0.2">
      <c r="A40" s="20" t="s">
        <v>702</v>
      </c>
      <c r="B40" s="120" t="s">
        <v>283</v>
      </c>
      <c r="C40" s="120"/>
    </row>
    <row r="41" spans="1:4" ht="50.25" customHeight="1" x14ac:dyDescent="0.2">
      <c r="A41" s="58" t="s">
        <v>324</v>
      </c>
      <c r="B41" s="121" t="s">
        <v>707</v>
      </c>
      <c r="C41" s="121"/>
    </row>
    <row r="42" spans="1:4" x14ac:dyDescent="0.2">
      <c r="A42" s="59" t="s">
        <v>703</v>
      </c>
      <c r="B42" s="119"/>
      <c r="C42" s="119"/>
    </row>
    <row r="43" spans="1:4" x14ac:dyDescent="0.2">
      <c r="A43" s="60" t="s">
        <v>704</v>
      </c>
      <c r="B43" s="119" t="s">
        <v>706</v>
      </c>
      <c r="C43" s="119"/>
    </row>
    <row r="44" spans="1:4" x14ac:dyDescent="0.2">
      <c r="A44" s="61" t="s">
        <v>708</v>
      </c>
      <c r="B44" s="116"/>
      <c r="C44" s="117"/>
    </row>
    <row r="45" spans="1:4" x14ac:dyDescent="0.2">
      <c r="A45" s="62" t="s">
        <v>714</v>
      </c>
      <c r="B45" s="116"/>
      <c r="C45" s="117"/>
    </row>
    <row r="46" spans="1:4" x14ac:dyDescent="0.2">
      <c r="A46" s="63" t="s">
        <v>715</v>
      </c>
      <c r="B46" s="116"/>
      <c r="C46" s="117"/>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baseColWidth="10" defaultColWidth="8.83203125" defaultRowHeight="15" x14ac:dyDescent="0.2"/>
  <cols>
    <col min="3" max="3" width="14.6640625" customWidth="1"/>
  </cols>
  <sheetData>
    <row r="6" spans="1:6" x14ac:dyDescent="0.2">
      <c r="D6" t="s">
        <v>886</v>
      </c>
      <c r="E6" t="s">
        <v>887</v>
      </c>
      <c r="F6" t="s">
        <v>888</v>
      </c>
    </row>
    <row r="7" spans="1:6" x14ac:dyDescent="0.2">
      <c r="A7" t="s">
        <v>889</v>
      </c>
      <c r="B7" t="s">
        <v>1443</v>
      </c>
      <c r="C7" t="str">
        <f>"DriversCGE!"&amp;ADDRESS(ROW(DriversCGE!A7),COLUMN(DriversCGE!A7),4)</f>
        <v>DriversCGE!A7</v>
      </c>
      <c r="D7">
        <v>1</v>
      </c>
      <c r="E7">
        <v>1</v>
      </c>
    </row>
    <row r="8" spans="1:6" x14ac:dyDescent="0.2">
      <c r="A8" t="s">
        <v>889</v>
      </c>
      <c r="B8" t="s">
        <v>906</v>
      </c>
      <c r="C8" t="str">
        <f>"DriversCGE!"&amp;ADDRESS(ROW(DriversCGE!A34),COLUMN(DriversCGE!A34),4)</f>
        <v>DriversCGE!A34</v>
      </c>
      <c r="E8">
        <v>1</v>
      </c>
    </row>
    <row r="9" spans="1:6" x14ac:dyDescent="0.2">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baseColWidth="10" defaultColWidth="8.83203125" defaultRowHeight="15" x14ac:dyDescent="0.2"/>
  <cols>
    <col min="2" max="2" width="14" bestFit="1" customWidth="1"/>
    <col min="3" max="3" width="19.33203125" customWidth="1"/>
  </cols>
  <sheetData>
    <row r="6" spans="1:6" x14ac:dyDescent="0.2">
      <c r="D6" t="s">
        <v>886</v>
      </c>
      <c r="E6" t="s">
        <v>887</v>
      </c>
      <c r="F6" t="s">
        <v>888</v>
      </c>
    </row>
    <row r="7" spans="1:6" x14ac:dyDescent="0.2">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opLeftCell="A31" workbookViewId="0">
      <selection activeCell="W49" sqref="W49"/>
    </sheetView>
  </sheetViews>
  <sheetFormatPr baseColWidth="10" defaultColWidth="8.83203125" defaultRowHeight="15" x14ac:dyDescent="0.2"/>
  <sheetData>
    <row r="7" spans="1:40" x14ac:dyDescent="0.2">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2">
      <c r="A8" s="115" t="s">
        <v>891</v>
      </c>
      <c r="B8">
        <v>2742.6992888923387</v>
      </c>
      <c r="C8">
        <v>2569.6986886174436</v>
      </c>
      <c r="D8">
        <v>2660.9112459922962</v>
      </c>
      <c r="E8">
        <v>2735.843063724184</v>
      </c>
      <c r="F8">
        <v>2810.026085105188</v>
      </c>
      <c r="G8">
        <v>2891.9603030580697</v>
      </c>
      <c r="H8">
        <v>2969.7287128091557</v>
      </c>
      <c r="I8">
        <v>3041.1571646777611</v>
      </c>
      <c r="J8">
        <v>3111.6296651980197</v>
      </c>
      <c r="K8">
        <v>3179.7170215530832</v>
      </c>
      <c r="L8">
        <v>3259.2020853142144</v>
      </c>
      <c r="M8">
        <v>3339.3542358991067</v>
      </c>
      <c r="N8">
        <v>3427.8734000576328</v>
      </c>
      <c r="O8">
        <v>3530.3643133071068</v>
      </c>
      <c r="P8">
        <v>3640.1345316798956</v>
      </c>
      <c r="Q8">
        <v>3766.5146572833155</v>
      </c>
      <c r="R8">
        <v>3884.9392486960883</v>
      </c>
      <c r="S8">
        <v>3994.7026928473319</v>
      </c>
      <c r="T8">
        <v>4101.5166224907134</v>
      </c>
      <c r="U8">
        <v>4208.7223752458594</v>
      </c>
      <c r="V8">
        <v>4324.2930496764566</v>
      </c>
      <c r="W8">
        <v>4439.9268906542056</v>
      </c>
      <c r="X8">
        <v>4566.7671107023652</v>
      </c>
      <c r="Y8">
        <v>4688.1705486075307</v>
      </c>
      <c r="Z8">
        <v>4809.5492909095356</v>
      </c>
      <c r="AA8">
        <v>4935.7960220307968</v>
      </c>
      <c r="AB8">
        <v>5067.8814366853412</v>
      </c>
      <c r="AC8">
        <v>5210.1157903736648</v>
      </c>
      <c r="AD8">
        <v>5315.1136283862124</v>
      </c>
      <c r="AE8">
        <v>5415.5121947704574</v>
      </c>
      <c r="AF8">
        <v>5517.0796924652823</v>
      </c>
      <c r="AG8">
        <v>5618.8694119199445</v>
      </c>
    </row>
    <row r="9" spans="1:40" x14ac:dyDescent="0.2">
      <c r="A9" s="115" t="s">
        <v>1442</v>
      </c>
      <c r="B9">
        <v>102.77045496481578</v>
      </c>
      <c r="C9">
        <v>101.83165257846504</v>
      </c>
      <c r="D9">
        <v>104.51423139105725</v>
      </c>
      <c r="E9">
        <v>107.00830379566887</v>
      </c>
      <c r="F9">
        <v>109.2603771175758</v>
      </c>
      <c r="G9">
        <v>111.70923074581049</v>
      </c>
      <c r="H9">
        <v>113.97580353878901</v>
      </c>
      <c r="I9">
        <v>115.91627232660032</v>
      </c>
      <c r="J9">
        <v>117.71642207097028</v>
      </c>
      <c r="K9">
        <v>121.04815586811695</v>
      </c>
      <c r="L9">
        <v>124.20674681821845</v>
      </c>
      <c r="M9">
        <v>126.65937137852903</v>
      </c>
      <c r="N9">
        <v>129.14102849368297</v>
      </c>
      <c r="O9">
        <v>131.81370873021638</v>
      </c>
      <c r="P9">
        <v>134.44230995651182</v>
      </c>
      <c r="Q9">
        <v>137.44428126217562</v>
      </c>
      <c r="R9">
        <v>142.28492612809586</v>
      </c>
      <c r="S9">
        <v>147.36656234804383</v>
      </c>
      <c r="T9">
        <v>150.78480202358651</v>
      </c>
      <c r="U9">
        <v>153.69008217062802</v>
      </c>
      <c r="V9">
        <v>156.24922255594333</v>
      </c>
      <c r="W9">
        <v>159.09794222915022</v>
      </c>
      <c r="X9">
        <v>162.33891260768246</v>
      </c>
      <c r="Y9">
        <v>164.95630259369452</v>
      </c>
      <c r="Z9">
        <v>167.1836190043766</v>
      </c>
      <c r="AA9">
        <v>169.31862496924398</v>
      </c>
      <c r="AB9">
        <v>171.55644373238869</v>
      </c>
      <c r="AC9">
        <v>173.75373666160431</v>
      </c>
      <c r="AD9">
        <v>174.53888645472324</v>
      </c>
      <c r="AE9">
        <v>175.10821880036553</v>
      </c>
      <c r="AF9">
        <v>175.91631287106867</v>
      </c>
      <c r="AG9">
        <v>176.81375111929242</v>
      </c>
    </row>
    <row r="10" spans="1:40" x14ac:dyDescent="0.2">
      <c r="A10" s="115" t="s">
        <v>897</v>
      </c>
      <c r="B10">
        <v>197.3239654285747</v>
      </c>
      <c r="C10">
        <v>188.80955669640738</v>
      </c>
      <c r="D10">
        <v>193.02922251562291</v>
      </c>
      <c r="E10">
        <v>196.08497959616818</v>
      </c>
      <c r="F10">
        <v>199.21545127068612</v>
      </c>
      <c r="G10">
        <v>202.61001136358894</v>
      </c>
      <c r="H10">
        <v>206.04244487639062</v>
      </c>
      <c r="I10">
        <v>208.98858311151542</v>
      </c>
      <c r="J10">
        <v>211.81878441008803</v>
      </c>
      <c r="K10">
        <v>218.16624808456245</v>
      </c>
      <c r="L10">
        <v>223.1703150165992</v>
      </c>
      <c r="M10">
        <v>226.57360197245521</v>
      </c>
      <c r="N10">
        <v>229.15784920764611</v>
      </c>
      <c r="O10">
        <v>231.98071984985233</v>
      </c>
      <c r="P10">
        <v>234.52815769251976</v>
      </c>
      <c r="Q10">
        <v>237.62510779709882</v>
      </c>
      <c r="R10">
        <v>245.07341068991616</v>
      </c>
      <c r="S10">
        <v>252.78402740140226</v>
      </c>
      <c r="T10">
        <v>256.70458672348104</v>
      </c>
      <c r="U10">
        <v>259.87606604229126</v>
      </c>
      <c r="V10">
        <v>261.91226126629795</v>
      </c>
      <c r="W10">
        <v>264.8673143207676</v>
      </c>
      <c r="X10">
        <v>267.365773605752</v>
      </c>
      <c r="Y10">
        <v>268.62098889043978</v>
      </c>
      <c r="Z10">
        <v>269.17001568200681</v>
      </c>
      <c r="AA10">
        <v>269.58749270865604</v>
      </c>
      <c r="AB10">
        <v>270.19335667194173</v>
      </c>
      <c r="AC10">
        <v>270.97461441469272</v>
      </c>
      <c r="AD10">
        <v>270.40488833539422</v>
      </c>
      <c r="AE10">
        <v>269.24321283582435</v>
      </c>
      <c r="AF10">
        <v>268.55677525564033</v>
      </c>
      <c r="AG10">
        <v>267.71352563428894</v>
      </c>
    </row>
    <row r="11" spans="1:40" x14ac:dyDescent="0.2">
      <c r="A11" s="115" t="s">
        <v>894</v>
      </c>
      <c r="B11">
        <v>155.19916098390843</v>
      </c>
      <c r="C11">
        <v>154.49538777340459</v>
      </c>
      <c r="D11">
        <v>161.03466268795813</v>
      </c>
      <c r="E11">
        <v>167.09670304978238</v>
      </c>
      <c r="F11">
        <v>172.68879810024021</v>
      </c>
      <c r="G11">
        <v>178.58619607593346</v>
      </c>
      <c r="H11">
        <v>184.00969741187632</v>
      </c>
      <c r="I11">
        <v>188.54323040982706</v>
      </c>
      <c r="J11">
        <v>192.95721624224518</v>
      </c>
      <c r="K11">
        <v>200.21757290315423</v>
      </c>
      <c r="L11">
        <v>206.23415354700091</v>
      </c>
      <c r="M11">
        <v>211.01092446858473</v>
      </c>
      <c r="N11">
        <v>216.0381115297001</v>
      </c>
      <c r="O11">
        <v>221.51978553368855</v>
      </c>
      <c r="P11">
        <v>226.86731106506994</v>
      </c>
      <c r="Q11">
        <v>233.07398042649888</v>
      </c>
      <c r="R11">
        <v>244.20725846593427</v>
      </c>
      <c r="S11">
        <v>255.30686063190763</v>
      </c>
      <c r="T11">
        <v>261.79603297749492</v>
      </c>
      <c r="U11">
        <v>266.90633283675021</v>
      </c>
      <c r="V11">
        <v>271.15517313938227</v>
      </c>
      <c r="W11">
        <v>276.50334257740309</v>
      </c>
      <c r="X11">
        <v>283.21996509967909</v>
      </c>
      <c r="Y11">
        <v>288.0742503717675</v>
      </c>
      <c r="Z11">
        <v>291.5969223670939</v>
      </c>
      <c r="AA11">
        <v>294.77361026469094</v>
      </c>
      <c r="AB11">
        <v>298.26863141454049</v>
      </c>
      <c r="AC11">
        <v>301.74942853348671</v>
      </c>
      <c r="AD11">
        <v>303.36685890587859</v>
      </c>
      <c r="AE11">
        <v>304.14233934802519</v>
      </c>
      <c r="AF11">
        <v>305.29028516763242</v>
      </c>
      <c r="AG11">
        <v>306.64829282933886</v>
      </c>
    </row>
    <row r="12" spans="1:40" x14ac:dyDescent="0.2">
      <c r="A12" s="115" t="s">
        <v>900</v>
      </c>
      <c r="B12">
        <v>366.70830116969785</v>
      </c>
      <c r="C12">
        <v>338.89488180420722</v>
      </c>
      <c r="D12">
        <v>348.90864892226239</v>
      </c>
      <c r="E12">
        <v>356.1806933297687</v>
      </c>
      <c r="F12">
        <v>364.30295167048638</v>
      </c>
      <c r="G12">
        <v>374.07164760872138</v>
      </c>
      <c r="H12">
        <v>383.76750154952231</v>
      </c>
      <c r="I12">
        <v>393.68415196704609</v>
      </c>
      <c r="J12">
        <v>402.90817537081693</v>
      </c>
      <c r="K12">
        <v>416.60458476560029</v>
      </c>
      <c r="L12">
        <v>428.672718343523</v>
      </c>
      <c r="M12">
        <v>438.78379906860374</v>
      </c>
      <c r="N12">
        <v>449.03168067463957</v>
      </c>
      <c r="O12">
        <v>461.50335552766194</v>
      </c>
      <c r="P12">
        <v>474.8681782825015</v>
      </c>
      <c r="Q12">
        <v>490.44827299070482</v>
      </c>
      <c r="R12">
        <v>511.51585091469826</v>
      </c>
      <c r="S12">
        <v>529.70331500582358</v>
      </c>
      <c r="T12">
        <v>541.68676096349066</v>
      </c>
      <c r="U12">
        <v>552.93687424173538</v>
      </c>
      <c r="V12">
        <v>564.91096132342204</v>
      </c>
      <c r="W12">
        <v>577.78593222611221</v>
      </c>
      <c r="X12">
        <v>585.74292763222866</v>
      </c>
      <c r="Y12">
        <v>595.15304947697041</v>
      </c>
      <c r="Z12">
        <v>608.00223155105061</v>
      </c>
      <c r="AA12">
        <v>622.42833108021455</v>
      </c>
      <c r="AB12">
        <v>637.79992671590821</v>
      </c>
      <c r="AC12">
        <v>654.9867238302952</v>
      </c>
      <c r="AD12">
        <v>663.3095458445548</v>
      </c>
      <c r="AE12">
        <v>672.85581165271742</v>
      </c>
      <c r="AF12">
        <v>683.17532895024897</v>
      </c>
      <c r="AG12">
        <v>693.77464531961368</v>
      </c>
    </row>
    <row r="13" spans="1:40" x14ac:dyDescent="0.2">
      <c r="A13" s="115" t="s">
        <v>902</v>
      </c>
      <c r="B13">
        <v>24.019985549557163</v>
      </c>
      <c r="C13">
        <v>22.843010536792381</v>
      </c>
      <c r="D13">
        <v>23.640038998608571</v>
      </c>
      <c r="E13">
        <v>24.072345348592396</v>
      </c>
      <c r="F13">
        <v>24.63154493194239</v>
      </c>
      <c r="G13">
        <v>25.435985915657849</v>
      </c>
      <c r="H13">
        <v>25.896944308236872</v>
      </c>
      <c r="I13">
        <v>26.440956886675139</v>
      </c>
      <c r="J13">
        <v>26.96198072866861</v>
      </c>
      <c r="K13">
        <v>27.496152849706398</v>
      </c>
      <c r="L13">
        <v>27.977046745081751</v>
      </c>
      <c r="M13">
        <v>28.45664744230081</v>
      </c>
      <c r="N13">
        <v>29.354513265506696</v>
      </c>
      <c r="O13">
        <v>30.066504984060064</v>
      </c>
      <c r="P13">
        <v>30.82884615947275</v>
      </c>
      <c r="Q13">
        <v>31.735907858034334</v>
      </c>
      <c r="R13">
        <v>32.628280923946498</v>
      </c>
      <c r="S13">
        <v>33.317421329637753</v>
      </c>
      <c r="T13">
        <v>33.97592006595189</v>
      </c>
      <c r="U13">
        <v>34.655938520059692</v>
      </c>
      <c r="V13">
        <v>35.302611358077698</v>
      </c>
      <c r="W13">
        <v>36.06274843462878</v>
      </c>
      <c r="X13">
        <v>36.839755680897326</v>
      </c>
      <c r="Y13">
        <v>37.502529197293697</v>
      </c>
      <c r="Z13">
        <v>38.134638581179317</v>
      </c>
      <c r="AA13">
        <v>38.799384087320369</v>
      </c>
      <c r="AB13">
        <v>39.526156134344745</v>
      </c>
      <c r="AC13">
        <v>40.282102013332199</v>
      </c>
      <c r="AD13">
        <v>40.714964916152176</v>
      </c>
      <c r="AE13">
        <v>41.119885422481623</v>
      </c>
      <c r="AF13">
        <v>41.546995211849655</v>
      </c>
      <c r="AG13">
        <v>41.999758185019921</v>
      </c>
    </row>
    <row r="14" spans="1:40" x14ac:dyDescent="0.2">
      <c r="A14" s="115" t="s">
        <v>892</v>
      </c>
      <c r="B14">
        <v>78.804647701523436</v>
      </c>
      <c r="C14">
        <v>77.649437574813717</v>
      </c>
      <c r="D14">
        <v>76.653515933082787</v>
      </c>
      <c r="E14">
        <v>77.162210109769049</v>
      </c>
      <c r="F14">
        <v>77.983703445602089</v>
      </c>
      <c r="G14">
        <v>78.811573194060074</v>
      </c>
      <c r="H14">
        <v>79.647877100652622</v>
      </c>
      <c r="I14">
        <v>80.404434260890667</v>
      </c>
      <c r="J14">
        <v>81.196339299324919</v>
      </c>
      <c r="K14">
        <v>82.284181018938682</v>
      </c>
      <c r="L14">
        <v>82.786280936978528</v>
      </c>
      <c r="M14">
        <v>83.478777869157739</v>
      </c>
      <c r="N14">
        <v>84.39889684065659</v>
      </c>
      <c r="O14">
        <v>84.865493612506711</v>
      </c>
      <c r="P14">
        <v>85.855055250143465</v>
      </c>
      <c r="Q14">
        <v>87.068481381552914</v>
      </c>
      <c r="R14">
        <v>68.449211059650054</v>
      </c>
      <c r="S14">
        <v>52.746192303683941</v>
      </c>
      <c r="T14">
        <v>50.588102159348892</v>
      </c>
      <c r="U14">
        <v>51.806563751126426</v>
      </c>
      <c r="V14">
        <v>53.404435033340192</v>
      </c>
      <c r="W14">
        <v>52.452239899647111</v>
      </c>
      <c r="X14">
        <v>53.328719612995926</v>
      </c>
      <c r="Y14">
        <v>54.043016789952233</v>
      </c>
      <c r="Z14">
        <v>54.920815935451088</v>
      </c>
      <c r="AA14">
        <v>56.021623819794456</v>
      </c>
      <c r="AB14">
        <v>57.260909168867116</v>
      </c>
      <c r="AC14">
        <v>58.561733981283112</v>
      </c>
      <c r="AD14">
        <v>59.538952779232545</v>
      </c>
      <c r="AE14">
        <v>60.323053724244573</v>
      </c>
      <c r="AF14">
        <v>61.15874193661783</v>
      </c>
      <c r="AG14">
        <v>61.956857871207298</v>
      </c>
    </row>
    <row r="15" spans="1:40" x14ac:dyDescent="0.2">
      <c r="A15" s="115" t="s">
        <v>899</v>
      </c>
      <c r="B15">
        <v>17.626887984269338</v>
      </c>
      <c r="C15">
        <v>16.373800552232492</v>
      </c>
      <c r="D15">
        <v>16.874112682727166</v>
      </c>
      <c r="E15">
        <v>17.2633857927155</v>
      </c>
      <c r="F15">
        <v>17.68254033944179</v>
      </c>
      <c r="G15">
        <v>18.168352262693539</v>
      </c>
      <c r="H15">
        <v>18.638139834908955</v>
      </c>
      <c r="I15">
        <v>19.08317594095049</v>
      </c>
      <c r="J15">
        <v>19.514236030174779</v>
      </c>
      <c r="K15">
        <v>20.086161249951306</v>
      </c>
      <c r="L15">
        <v>20.613175044977627</v>
      </c>
      <c r="M15">
        <v>21.08522516424847</v>
      </c>
      <c r="N15">
        <v>21.605674752801363</v>
      </c>
      <c r="O15">
        <v>22.204725910091458</v>
      </c>
      <c r="P15">
        <v>22.842441792193231</v>
      </c>
      <c r="Q15">
        <v>23.588659985523705</v>
      </c>
      <c r="R15">
        <v>24.403416121707295</v>
      </c>
      <c r="S15">
        <v>25.071787759889098</v>
      </c>
      <c r="T15">
        <v>25.627398549410668</v>
      </c>
      <c r="U15">
        <v>26.151490140146272</v>
      </c>
      <c r="V15">
        <v>26.718415119313928</v>
      </c>
      <c r="W15">
        <v>27.300624506309234</v>
      </c>
      <c r="X15">
        <v>27.873514680801421</v>
      </c>
      <c r="Y15">
        <v>28.411020197872492</v>
      </c>
      <c r="Z15">
        <v>28.987152458996228</v>
      </c>
      <c r="AA15">
        <v>29.604096508104416</v>
      </c>
      <c r="AB15">
        <v>30.259491622433099</v>
      </c>
      <c r="AC15">
        <v>30.96626384655724</v>
      </c>
      <c r="AD15">
        <v>31.352033740545586</v>
      </c>
      <c r="AE15">
        <v>31.715203278608406</v>
      </c>
      <c r="AF15">
        <v>32.107847947757641</v>
      </c>
      <c r="AG15">
        <v>32.491059267575629</v>
      </c>
    </row>
    <row r="16" spans="1:40" x14ac:dyDescent="0.2">
      <c r="A16" s="115" t="s">
        <v>896</v>
      </c>
      <c r="B16">
        <v>20.838620435938786</v>
      </c>
      <c r="C16">
        <v>19.719535357453537</v>
      </c>
      <c r="D16">
        <v>19.908946445489914</v>
      </c>
      <c r="E16">
        <v>20.003952110540506</v>
      </c>
      <c r="F16">
        <v>20.213902736170631</v>
      </c>
      <c r="G16">
        <v>20.513798391299318</v>
      </c>
      <c r="H16">
        <v>20.853879828920636</v>
      </c>
      <c r="I16">
        <v>21.273229695287711</v>
      </c>
      <c r="J16">
        <v>21.631130429434187</v>
      </c>
      <c r="K16">
        <v>22.346487563234575</v>
      </c>
      <c r="L16">
        <v>22.853991437707862</v>
      </c>
      <c r="M16">
        <v>23.181265370333378</v>
      </c>
      <c r="N16">
        <v>23.516547827725685</v>
      </c>
      <c r="O16">
        <v>23.902224476241042</v>
      </c>
      <c r="P16">
        <v>24.322849971252008</v>
      </c>
      <c r="Q16">
        <v>24.875789208789417</v>
      </c>
      <c r="R16">
        <v>26.047499181012174</v>
      </c>
      <c r="S16">
        <v>27.070266466347768</v>
      </c>
      <c r="T16">
        <v>27.529678152430396</v>
      </c>
      <c r="U16">
        <v>28.070986413588038</v>
      </c>
      <c r="V16">
        <v>28.580063671573395</v>
      </c>
      <c r="W16">
        <v>29.253227608162028</v>
      </c>
      <c r="X16">
        <v>28.963715966584196</v>
      </c>
      <c r="Y16">
        <v>29.097262478454542</v>
      </c>
      <c r="Z16">
        <v>29.619714535511363</v>
      </c>
      <c r="AA16">
        <v>30.268061188433222</v>
      </c>
      <c r="AB16">
        <v>30.965365126056575</v>
      </c>
      <c r="AC16">
        <v>31.621841227390025</v>
      </c>
      <c r="AD16">
        <v>31.793395499450316</v>
      </c>
      <c r="AE16">
        <v>32.365246142918508</v>
      </c>
      <c r="AF16">
        <v>32.753368287373775</v>
      </c>
      <c r="AG16">
        <v>33.167208054560234</v>
      </c>
    </row>
    <row r="17" spans="1:33" x14ac:dyDescent="0.2">
      <c r="A17" s="115" t="s">
        <v>898</v>
      </c>
      <c r="B17">
        <v>13.073651251033123</v>
      </c>
      <c r="C17">
        <v>12.01975032890927</v>
      </c>
      <c r="D17">
        <v>11.333581875403762</v>
      </c>
      <c r="E17">
        <v>10.652986694492805</v>
      </c>
      <c r="F17">
        <v>10.45163327072324</v>
      </c>
      <c r="G17">
        <v>10.49532073782348</v>
      </c>
      <c r="H17">
        <v>10.751366764920251</v>
      </c>
      <c r="I17">
        <v>11.481129528584258</v>
      </c>
      <c r="J17">
        <v>11.991927145980171</v>
      </c>
      <c r="K17">
        <v>13.728614733756528</v>
      </c>
      <c r="L17">
        <v>14.666035615364244</v>
      </c>
      <c r="M17">
        <v>14.898725996596049</v>
      </c>
      <c r="N17">
        <v>14.962860885843002</v>
      </c>
      <c r="O17">
        <v>15.014387593067726</v>
      </c>
      <c r="P17">
        <v>15.115849807045548</v>
      </c>
      <c r="Q17">
        <v>15.507901530559622</v>
      </c>
      <c r="R17">
        <v>18.678855088006117</v>
      </c>
      <c r="S17">
        <v>21.756349747311365</v>
      </c>
      <c r="T17">
        <v>22.158554003068293</v>
      </c>
      <c r="U17">
        <v>22.76756919469619</v>
      </c>
      <c r="V17">
        <v>22.956193250830964</v>
      </c>
      <c r="W17">
        <v>23.961815477988441</v>
      </c>
      <c r="X17">
        <v>20.067940045965724</v>
      </c>
      <c r="Y17">
        <v>18.50926153201257</v>
      </c>
      <c r="Z17">
        <v>18.585725950172321</v>
      </c>
      <c r="AA17">
        <v>19.083556251740987</v>
      </c>
      <c r="AB17">
        <v>19.697033237315662</v>
      </c>
      <c r="AC17">
        <v>20.030995798170888</v>
      </c>
      <c r="AD17">
        <v>19.044218903968218</v>
      </c>
      <c r="AE17">
        <v>19.029260041104301</v>
      </c>
      <c r="AF17">
        <v>18.959491535657385</v>
      </c>
      <c r="AG17">
        <v>18.996845984946532</v>
      </c>
    </row>
    <row r="18" spans="1:33" x14ac:dyDescent="0.2">
      <c r="A18" s="115" t="s">
        <v>895</v>
      </c>
      <c r="B18">
        <v>0.12086732559633409</v>
      </c>
      <c r="C18">
        <v>0.12717564137702059</v>
      </c>
      <c r="D18">
        <v>0.16941047809938742</v>
      </c>
      <c r="E18">
        <v>0.22867111052486136</v>
      </c>
      <c r="F18">
        <v>0.3014265427908876</v>
      </c>
      <c r="G18">
        <v>0.40708511753631943</v>
      </c>
      <c r="H18">
        <v>0.54543459181328979</v>
      </c>
      <c r="I18">
        <v>0.72819035799849441</v>
      </c>
      <c r="J18">
        <v>0.9742915917997711</v>
      </c>
      <c r="K18">
        <v>1.3269822905087589</v>
      </c>
      <c r="L18">
        <v>1.8266701607006504</v>
      </c>
      <c r="M18">
        <v>2.4264226558258253</v>
      </c>
      <c r="N18">
        <v>0.35922284114809139</v>
      </c>
      <c r="O18">
        <v>0.91413735225415815</v>
      </c>
      <c r="P18">
        <v>1.4587668592424319</v>
      </c>
      <c r="Q18">
        <v>2.063670219207038</v>
      </c>
      <c r="R18">
        <v>2.7718657941259877</v>
      </c>
      <c r="S18">
        <v>3.4004443068992414</v>
      </c>
      <c r="T18">
        <v>6.1328787296576346</v>
      </c>
      <c r="U18">
        <v>7.7146988298203931</v>
      </c>
      <c r="V18">
        <v>9.2965189299831472</v>
      </c>
      <c r="W18">
        <v>10.878339030145908</v>
      </c>
      <c r="X18">
        <v>11.761774485479432</v>
      </c>
      <c r="Y18">
        <v>12.645209940812951</v>
      </c>
      <c r="Z18">
        <v>13.528645396146469</v>
      </c>
      <c r="AA18">
        <v>14.412080851479983</v>
      </c>
      <c r="AB18">
        <v>15.295516306813498</v>
      </c>
      <c r="AC18">
        <v>19.029517802980806</v>
      </c>
      <c r="AD18">
        <v>22.763519299148118</v>
      </c>
      <c r="AE18">
        <v>26.497520795315435</v>
      </c>
      <c r="AF18">
        <v>30.231522291482754</v>
      </c>
      <c r="AG18">
        <v>33.965523787650064</v>
      </c>
    </row>
    <row r="19" spans="1:33" x14ac:dyDescent="0.2">
      <c r="A19" s="115" t="s">
        <v>893</v>
      </c>
      <c r="B19">
        <v>142.20363281735945</v>
      </c>
      <c r="C19">
        <v>137.65348529727655</v>
      </c>
      <c r="D19">
        <v>143.59718276105335</v>
      </c>
      <c r="E19">
        <v>144.27550883256484</v>
      </c>
      <c r="F19">
        <v>144.62679480772653</v>
      </c>
      <c r="G19">
        <v>146.08220303965138</v>
      </c>
      <c r="H19">
        <v>147.97568627094847</v>
      </c>
      <c r="I19">
        <v>149.73762523813767</v>
      </c>
      <c r="J19">
        <v>150.86209502003908</v>
      </c>
      <c r="K19">
        <v>153.30944016690904</v>
      </c>
      <c r="L19">
        <v>156.80158558608906</v>
      </c>
      <c r="M19">
        <v>159.58256427141126</v>
      </c>
      <c r="N19">
        <v>164.526524291665</v>
      </c>
      <c r="O19">
        <v>170.86586225406597</v>
      </c>
      <c r="P19">
        <v>177.15847157994395</v>
      </c>
      <c r="Q19">
        <v>184.74647277974984</v>
      </c>
      <c r="R19">
        <v>182.78696897590629</v>
      </c>
      <c r="S19">
        <v>184.73270565227728</v>
      </c>
      <c r="T19">
        <v>197.73173235070846</v>
      </c>
      <c r="U19">
        <v>205.43788959830047</v>
      </c>
      <c r="V19">
        <v>214.13684651096216</v>
      </c>
      <c r="W19">
        <v>222.34446161349391</v>
      </c>
      <c r="X19">
        <v>227.10589497026351</v>
      </c>
      <c r="Y19">
        <v>232.39455749815562</v>
      </c>
      <c r="Z19">
        <v>238.80929432431361</v>
      </c>
      <c r="AA19">
        <v>245.38376608127029</v>
      </c>
      <c r="AB19">
        <v>252.00236629888133</v>
      </c>
      <c r="AC19">
        <v>269.2967900182112</v>
      </c>
      <c r="AD19">
        <v>284.94512995917319</v>
      </c>
      <c r="AE19">
        <v>300.58886177104108</v>
      </c>
      <c r="AF19">
        <v>316.65642913742181</v>
      </c>
      <c r="AG19">
        <v>332.79650542885389</v>
      </c>
    </row>
    <row r="20" spans="1:33" x14ac:dyDescent="0.2">
      <c r="A20" s="115" t="s">
        <v>904</v>
      </c>
      <c r="B20">
        <v>60.675714154100788</v>
      </c>
      <c r="C20">
        <v>58.565615426701655</v>
      </c>
      <c r="D20">
        <v>59.977076584594805</v>
      </c>
      <c r="E20">
        <v>61.352467221210944</v>
      </c>
      <c r="F20">
        <v>62.581764004693355</v>
      </c>
      <c r="G20">
        <v>64.083738243449304</v>
      </c>
      <c r="H20">
        <v>65.438205429579625</v>
      </c>
      <c r="I20">
        <v>66.584475201802633</v>
      </c>
      <c r="J20">
        <v>67.899835775560305</v>
      </c>
      <c r="K20">
        <v>70.120476332547582</v>
      </c>
      <c r="L20">
        <v>72.64805103304495</v>
      </c>
      <c r="M20">
        <v>75.010296448528408</v>
      </c>
      <c r="N20">
        <v>77.495412049280816</v>
      </c>
      <c r="O20">
        <v>80.262355597404024</v>
      </c>
      <c r="P20">
        <v>83.053154053126889</v>
      </c>
      <c r="Q20">
        <v>86.246853375350724</v>
      </c>
      <c r="R20">
        <v>90.2587834012824</v>
      </c>
      <c r="S20">
        <v>94.773704062638487</v>
      </c>
      <c r="T20">
        <v>98.504498245738162</v>
      </c>
      <c r="U20">
        <v>101.80116344338047</v>
      </c>
      <c r="V20">
        <v>104.89279852306031</v>
      </c>
      <c r="W20">
        <v>107.91569717043357</v>
      </c>
      <c r="X20">
        <v>110.97824640179678</v>
      </c>
      <c r="Y20">
        <v>113.51717026314154</v>
      </c>
      <c r="Z20">
        <v>115.69555272558542</v>
      </c>
      <c r="AA20">
        <v>117.64629603530254</v>
      </c>
      <c r="AB20">
        <v>119.55343275942332</v>
      </c>
      <c r="AC20">
        <v>121.35871963015036</v>
      </c>
      <c r="AD20">
        <v>121.73061876897536</v>
      </c>
      <c r="AE20">
        <v>121.88321664264393</v>
      </c>
      <c r="AF20">
        <v>122.05309995464199</v>
      </c>
      <c r="AG20">
        <v>122.18468466064816</v>
      </c>
    </row>
    <row r="21" spans="1:33" x14ac:dyDescent="0.2">
      <c r="A21" s="115" t="s">
        <v>903</v>
      </c>
      <c r="B21">
        <v>247.42936538345938</v>
      </c>
      <c r="C21">
        <v>235.91652985904443</v>
      </c>
      <c r="D21">
        <v>242.23554104735297</v>
      </c>
      <c r="E21">
        <v>248.22256421577674</v>
      </c>
      <c r="F21">
        <v>253.05882276826685</v>
      </c>
      <c r="G21">
        <v>258.49050832979674</v>
      </c>
      <c r="H21">
        <v>263.82591872196809</v>
      </c>
      <c r="I21">
        <v>270.11160483676525</v>
      </c>
      <c r="J21">
        <v>276.62636524314343</v>
      </c>
      <c r="K21">
        <v>284.21681094582885</v>
      </c>
      <c r="L21">
        <v>293.51313814856098</v>
      </c>
      <c r="M21">
        <v>302.13149654307819</v>
      </c>
      <c r="N21">
        <v>310.38263754328398</v>
      </c>
      <c r="O21">
        <v>320.48188279931054</v>
      </c>
      <c r="P21">
        <v>332.6461877980509</v>
      </c>
      <c r="Q21">
        <v>346.93615437451376</v>
      </c>
      <c r="R21">
        <v>358.29723184183422</v>
      </c>
      <c r="S21">
        <v>368.89242782899674</v>
      </c>
      <c r="T21">
        <v>380.19787462943816</v>
      </c>
      <c r="U21">
        <v>391.20635037612618</v>
      </c>
      <c r="V21">
        <v>403.09114535489772</v>
      </c>
      <c r="W21">
        <v>415.79144017246352</v>
      </c>
      <c r="X21">
        <v>428.29031012205525</v>
      </c>
      <c r="Y21">
        <v>440.25107966570653</v>
      </c>
      <c r="Z21">
        <v>451.99464476826472</v>
      </c>
      <c r="AA21">
        <v>463.57259476914612</v>
      </c>
      <c r="AB21">
        <v>474.94053886968925</v>
      </c>
      <c r="AC21">
        <v>485.78700990064516</v>
      </c>
      <c r="AD21">
        <v>490.43089739006155</v>
      </c>
      <c r="AE21">
        <v>495.91832683317381</v>
      </c>
      <c r="AF21">
        <v>501.98376704587395</v>
      </c>
      <c r="AG21">
        <v>508.21597816394956</v>
      </c>
    </row>
    <row r="22" spans="1:33" x14ac:dyDescent="0.2">
      <c r="A22" s="115" t="s">
        <v>905</v>
      </c>
      <c r="B22">
        <v>7.294267473610172</v>
      </c>
      <c r="C22">
        <v>6.9167745621517991</v>
      </c>
      <c r="D22">
        <v>7.1644569231361803</v>
      </c>
      <c r="E22">
        <v>7.3645787112526495</v>
      </c>
      <c r="F22">
        <v>7.5152332356925671</v>
      </c>
      <c r="G22">
        <v>7.6805889880291947</v>
      </c>
      <c r="H22">
        <v>7.8402154426957775</v>
      </c>
      <c r="I22">
        <v>8.0280065198846291</v>
      </c>
      <c r="J22">
        <v>8.2147055537423483</v>
      </c>
      <c r="K22">
        <v>8.3332131155453482</v>
      </c>
      <c r="L22">
        <v>8.5249504875333848</v>
      </c>
      <c r="M22">
        <v>8.7213126839906998</v>
      </c>
      <c r="N22">
        <v>8.8996729940255026</v>
      </c>
      <c r="O22">
        <v>9.1075805920575821</v>
      </c>
      <c r="P22">
        <v>9.3699640277575345</v>
      </c>
      <c r="Q22">
        <v>9.6791744652260867</v>
      </c>
      <c r="R22">
        <v>9.8312819247246992</v>
      </c>
      <c r="S22">
        <v>9.9490322904079438</v>
      </c>
      <c r="T22">
        <v>10.159129626238208</v>
      </c>
      <c r="U22">
        <v>10.399978165809667</v>
      </c>
      <c r="V22">
        <v>10.668500756888802</v>
      </c>
      <c r="W22">
        <v>10.936242438322246</v>
      </c>
      <c r="X22">
        <v>11.184337787842669</v>
      </c>
      <c r="Y22">
        <v>11.442639817746512</v>
      </c>
      <c r="Z22">
        <v>11.710288024965795</v>
      </c>
      <c r="AA22">
        <v>11.976727626790016</v>
      </c>
      <c r="AB22">
        <v>12.244310310898403</v>
      </c>
      <c r="AC22">
        <v>12.498110519609051</v>
      </c>
      <c r="AD22">
        <v>12.618404368782027</v>
      </c>
      <c r="AE22">
        <v>12.776808450811187</v>
      </c>
      <c r="AF22">
        <v>12.939358263152593</v>
      </c>
      <c r="AG22">
        <v>13.099299913833571</v>
      </c>
    </row>
    <row r="23" spans="1:33" x14ac:dyDescent="0.2">
      <c r="A23" s="115" t="s">
        <v>901</v>
      </c>
      <c r="B23">
        <v>46.31802521352639</v>
      </c>
      <c r="C23">
        <v>29.134911993949448</v>
      </c>
      <c r="D23">
        <v>34.420625296353698</v>
      </c>
      <c r="E23">
        <v>39.356504991977538</v>
      </c>
      <c r="F23">
        <v>39.319886669392375</v>
      </c>
      <c r="G23">
        <v>39.283268346807205</v>
      </c>
      <c r="H23">
        <v>38.23845251297012</v>
      </c>
      <c r="I23">
        <v>38.201834190384965</v>
      </c>
      <c r="J23">
        <v>38.165215867799823</v>
      </c>
      <c r="K23">
        <v>16.832141109029308</v>
      </c>
      <c r="L23">
        <v>10.871881766213134</v>
      </c>
      <c r="M23">
        <v>10.835263443627985</v>
      </c>
      <c r="N23">
        <v>10.835263443627987</v>
      </c>
      <c r="O23">
        <v>10.835263443627994</v>
      </c>
      <c r="P23">
        <v>10.835263443627987</v>
      </c>
      <c r="Q23">
        <v>10.835263443627994</v>
      </c>
      <c r="R23">
        <v>6.0896260755572635</v>
      </c>
      <c r="S23">
        <v>1.4024150922694401</v>
      </c>
      <c r="T23">
        <v>1.4024150922694392</v>
      </c>
      <c r="U23">
        <v>1.2940294784366513</v>
      </c>
      <c r="V23">
        <v>1.1856438646038627</v>
      </c>
      <c r="W23">
        <v>1.0772582507710744</v>
      </c>
      <c r="X23">
        <v>0.99578768311630428</v>
      </c>
      <c r="Y23">
        <v>0.91431711546153394</v>
      </c>
      <c r="Z23">
        <v>0.83284654780676348</v>
      </c>
      <c r="AA23">
        <v>0.75137598015199281</v>
      </c>
      <c r="AB23">
        <v>0.66990541249722191</v>
      </c>
      <c r="AC23">
        <v>0.67695704841825277</v>
      </c>
      <c r="AD23">
        <v>0.68400868433928386</v>
      </c>
      <c r="AE23">
        <v>0.69106032026031505</v>
      </c>
      <c r="AF23">
        <v>0.69811195618134636</v>
      </c>
      <c r="AG23">
        <v>0.70516359210237722</v>
      </c>
    </row>
    <row r="24" spans="1:33" x14ac:dyDescent="0.2">
      <c r="A24" s="115" t="s">
        <v>890</v>
      </c>
      <c r="B24">
        <v>112.98526133447901</v>
      </c>
      <c r="C24">
        <v>109.15814280481163</v>
      </c>
      <c r="D24">
        <v>107.95767487539844</v>
      </c>
      <c r="E24">
        <v>106.13821596228068</v>
      </c>
      <c r="F24">
        <v>104.30372298504992</v>
      </c>
      <c r="G24">
        <v>103.48031594272997</v>
      </c>
      <c r="H24">
        <v>103.03944265853495</v>
      </c>
      <c r="I24">
        <v>101.00459688465425</v>
      </c>
      <c r="J24">
        <v>98.24958663768102</v>
      </c>
      <c r="K24">
        <v>96.165099442096476</v>
      </c>
      <c r="L24">
        <v>93.057469957423933</v>
      </c>
      <c r="M24">
        <v>90.009186884511934</v>
      </c>
      <c r="N24">
        <v>86.839014148379476</v>
      </c>
      <c r="O24">
        <v>84.213186208796699</v>
      </c>
      <c r="P24">
        <v>83.159742294908398</v>
      </c>
      <c r="Q24">
        <v>82.442498020161565</v>
      </c>
      <c r="R24">
        <v>70.407532351328086</v>
      </c>
      <c r="S24">
        <v>58.753465575437779</v>
      </c>
      <c r="T24">
        <v>52.206449269265946</v>
      </c>
      <c r="U24">
        <v>48.316822172984352</v>
      </c>
      <c r="V24">
        <v>44.427195076702752</v>
      </c>
      <c r="W24">
        <v>40.537567980421152</v>
      </c>
      <c r="X24">
        <v>37.491144651683214</v>
      </c>
      <c r="Y24">
        <v>34.444721322945256</v>
      </c>
      <c r="Z24">
        <v>31.398297994207301</v>
      </c>
      <c r="AA24">
        <v>28.351874665469339</v>
      </c>
      <c r="AB24">
        <v>25.305451336731373</v>
      </c>
      <c r="AC24">
        <v>23.1214136994111</v>
      </c>
      <c r="AD24">
        <v>20.937376062090841</v>
      </c>
      <c r="AE24">
        <v>18.753338424770575</v>
      </c>
      <c r="AF24">
        <v>16.56930078745032</v>
      </c>
      <c r="AG24">
        <v>14.385263150130049</v>
      </c>
    </row>
    <row r="25" spans="1:33" x14ac:dyDescent="0.2">
      <c r="A25" s="115" t="s">
        <v>1444</v>
      </c>
      <c r="B25">
        <v>97.820469381023727</v>
      </c>
      <c r="C25">
        <v>74.109064014884055</v>
      </c>
      <c r="D25">
        <v>78.093964329363956</v>
      </c>
      <c r="E25">
        <v>82.04328352873415</v>
      </c>
      <c r="F25">
        <v>86.069289593933604</v>
      </c>
      <c r="G25">
        <v>90.141580305060074</v>
      </c>
      <c r="H25">
        <v>94.243181616416649</v>
      </c>
      <c r="I25">
        <v>94.787191497085843</v>
      </c>
      <c r="J25">
        <v>95.293864246317398</v>
      </c>
      <c r="K25">
        <v>96.010113036154678</v>
      </c>
      <c r="L25">
        <v>96.594645650059434</v>
      </c>
      <c r="M25">
        <v>97.068606199959731</v>
      </c>
      <c r="N25">
        <v>99.029297542506555</v>
      </c>
      <c r="O25">
        <v>101.02200256932331</v>
      </c>
      <c r="P25">
        <v>103.03538970286962</v>
      </c>
      <c r="Q25">
        <v>105.10095801513398</v>
      </c>
      <c r="R25">
        <v>107.58731882032724</v>
      </c>
      <c r="S25">
        <v>110.02353189537317</v>
      </c>
      <c r="T25">
        <v>112.02287734938052</v>
      </c>
      <c r="U25">
        <v>114.02857236353513</v>
      </c>
      <c r="V25">
        <v>115.99701261045588</v>
      </c>
      <c r="W25">
        <v>118.07933121232703</v>
      </c>
      <c r="X25">
        <v>140.70185276495542</v>
      </c>
      <c r="Y25">
        <v>163.63945088549966</v>
      </c>
      <c r="Z25">
        <v>186.83552211829263</v>
      </c>
      <c r="AA25">
        <v>210.10739722112586</v>
      </c>
      <c r="AB25">
        <v>233.40436655720913</v>
      </c>
      <c r="AC25">
        <v>256.69881390983437</v>
      </c>
      <c r="AD25">
        <v>279.73247622513503</v>
      </c>
      <c r="AE25">
        <v>302.90560265428735</v>
      </c>
      <c r="AF25">
        <v>326.08326492643829</v>
      </c>
      <c r="AG25">
        <v>349.27763868241965</v>
      </c>
    </row>
    <row r="26" spans="1:33" x14ac:dyDescent="0.2">
      <c r="A26" s="115" t="s">
        <v>1445</v>
      </c>
      <c r="B26">
        <v>2.4857265311424261</v>
      </c>
      <c r="C26">
        <v>2.3554003278357509</v>
      </c>
      <c r="D26">
        <v>2.3561184672509672</v>
      </c>
      <c r="E26">
        <v>2.3912463422887731</v>
      </c>
      <c r="F26">
        <v>2.4183580799946593</v>
      </c>
      <c r="G26">
        <v>2.4499157421924362</v>
      </c>
      <c r="H26">
        <v>2.4782201937658774</v>
      </c>
      <c r="I26">
        <v>2.5134655396713925</v>
      </c>
      <c r="J26">
        <v>2.5469591859437251</v>
      </c>
      <c r="K26">
        <v>2.5117305453863876</v>
      </c>
      <c r="L26">
        <v>2.5184357386511005</v>
      </c>
      <c r="M26">
        <v>2.5470467357028763</v>
      </c>
      <c r="N26">
        <v>2.5825943027160592</v>
      </c>
      <c r="O26">
        <v>2.6059280881540223</v>
      </c>
      <c r="P26">
        <v>2.6434686174287529</v>
      </c>
      <c r="Q26">
        <v>2.6923235079074774</v>
      </c>
      <c r="R26">
        <v>2.2454639222206705</v>
      </c>
      <c r="S26">
        <v>1.8707780729564971</v>
      </c>
      <c r="T26">
        <v>1.8345365875816835</v>
      </c>
      <c r="U26">
        <v>1.8870805972287139</v>
      </c>
      <c r="V26">
        <v>1.9444558169370194</v>
      </c>
      <c r="W26">
        <v>1.9463437363663916</v>
      </c>
      <c r="X26">
        <v>1.9429883922673368</v>
      </c>
      <c r="Y26">
        <v>1.9583827426164104</v>
      </c>
      <c r="Z26">
        <v>1.9951875408243887</v>
      </c>
      <c r="AA26">
        <v>2.0423095596704139</v>
      </c>
      <c r="AB26">
        <v>2.0947454881385732</v>
      </c>
      <c r="AC26">
        <v>2.1447130180752385</v>
      </c>
      <c r="AD26">
        <v>2.1668069830275734</v>
      </c>
      <c r="AE26">
        <v>2.2009650749593415</v>
      </c>
      <c r="AF26">
        <v>2.2297140746494222</v>
      </c>
      <c r="AG26">
        <v>2.2589652701505787</v>
      </c>
    </row>
    <row r="27" spans="1:33" x14ac:dyDescent="0.2">
      <c r="A27" s="115" t="s">
        <v>1446</v>
      </c>
      <c r="B27">
        <v>0.28999999999999998</v>
      </c>
      <c r="C27">
        <v>0.28999182464117712</v>
      </c>
      <c r="D27">
        <v>0.28960818216819728</v>
      </c>
      <c r="E27">
        <v>0.28934926709157455</v>
      </c>
      <c r="F27">
        <v>0.28934926709157449</v>
      </c>
      <c r="G27">
        <v>0.28934926709157444</v>
      </c>
      <c r="H27">
        <v>0.28934926709157444</v>
      </c>
      <c r="I27">
        <v>0.28934926709157444</v>
      </c>
      <c r="J27">
        <v>0.28934926709157466</v>
      </c>
      <c r="K27">
        <v>0.28934926709157466</v>
      </c>
      <c r="L27">
        <v>0.28934926709157477</v>
      </c>
      <c r="M27">
        <v>0.28934926709157499</v>
      </c>
      <c r="N27">
        <v>1.6587236842100257</v>
      </c>
      <c r="O27">
        <v>1.7776077541024407</v>
      </c>
      <c r="P27">
        <v>1.5074002384003515</v>
      </c>
      <c r="Q27">
        <v>2.019625374934559</v>
      </c>
      <c r="R27">
        <v>2.1197958829708274</v>
      </c>
      <c r="S27">
        <v>2.2264386146438326</v>
      </c>
      <c r="T27">
        <v>5.5642445173254949</v>
      </c>
      <c r="U27">
        <v>11.526207584766448</v>
      </c>
      <c r="V27">
        <v>17.488170652207405</v>
      </c>
      <c r="W27">
        <v>23.45013371964836</v>
      </c>
      <c r="X27">
        <v>25.939432738794274</v>
      </c>
      <c r="Y27">
        <v>28.428731757940181</v>
      </c>
      <c r="Z27">
        <v>30.918030777086095</v>
      </c>
      <c r="AA27">
        <v>33.407329796231998</v>
      </c>
      <c r="AB27">
        <v>35.896628815377909</v>
      </c>
      <c r="AC27">
        <v>35.191090939617879</v>
      </c>
      <c r="AD27">
        <v>34.485553063857857</v>
      </c>
      <c r="AE27">
        <v>33.780015188097835</v>
      </c>
      <c r="AF27">
        <v>33.07447731233782</v>
      </c>
      <c r="AG27">
        <v>32.368939436577797</v>
      </c>
    </row>
    <row r="28" spans="1:33" x14ac:dyDescent="0.2">
      <c r="A28" s="115" t="s">
        <v>1447</v>
      </c>
      <c r="B28">
        <v>7.8476290328821835E-2</v>
      </c>
      <c r="C28">
        <v>7.8474078012157958E-2</v>
      </c>
      <c r="D28">
        <v>7.8370261329081981E-2</v>
      </c>
      <c r="E28">
        <v>7.8300196864518001E-2</v>
      </c>
      <c r="F28">
        <v>7.8300196864517974E-2</v>
      </c>
      <c r="G28">
        <v>7.830019686451796E-2</v>
      </c>
      <c r="H28">
        <v>7.830019686451796E-2</v>
      </c>
      <c r="I28">
        <v>7.830019686451796E-2</v>
      </c>
      <c r="J28">
        <v>7.8300196864518015E-2</v>
      </c>
      <c r="K28">
        <v>7.8300196864518015E-2</v>
      </c>
      <c r="L28">
        <v>7.8300196864518057E-2</v>
      </c>
      <c r="M28">
        <v>7.8300196864518126E-2</v>
      </c>
      <c r="N28">
        <v>7.8300196864518154E-2</v>
      </c>
      <c r="O28">
        <v>7.8300196864518209E-2</v>
      </c>
      <c r="P28">
        <v>7.8300196864518196E-2</v>
      </c>
      <c r="Q28">
        <v>7.8300196864518209E-2</v>
      </c>
      <c r="R28">
        <v>7.8300196864518237E-2</v>
      </c>
      <c r="S28">
        <v>7.8300196864518265E-2</v>
      </c>
      <c r="T28">
        <v>7.8300196864518265E-2</v>
      </c>
      <c r="U28">
        <v>7.8300196864518293E-2</v>
      </c>
      <c r="V28">
        <v>7.8300196864518293E-2</v>
      </c>
      <c r="W28">
        <v>7.8300196864518307E-2</v>
      </c>
      <c r="X28">
        <v>7.8300196864518348E-2</v>
      </c>
      <c r="Y28">
        <v>7.8300196864518348E-2</v>
      </c>
      <c r="Z28">
        <v>7.8300196864518362E-2</v>
      </c>
      <c r="AA28">
        <v>7.8300196864518348E-2</v>
      </c>
      <c r="AB28">
        <v>7.8300196864518348E-2</v>
      </c>
      <c r="AC28">
        <v>7.8300196864518321E-2</v>
      </c>
      <c r="AD28">
        <v>7.8300196864518321E-2</v>
      </c>
      <c r="AE28">
        <v>8.900900588200864</v>
      </c>
      <c r="AF28">
        <v>8.900900588200864</v>
      </c>
      <c r="AG28">
        <v>8.9009005882008623</v>
      </c>
    </row>
    <row r="29" spans="1:33" x14ac:dyDescent="0.2">
      <c r="A29" s="115"/>
    </row>
    <row r="30" spans="1:33" x14ac:dyDescent="0.2">
      <c r="A30" s="115"/>
    </row>
    <row r="34" spans="1:39" x14ac:dyDescent="0.2">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2">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2">
      <c r="A86" s="115" t="s">
        <v>1406</v>
      </c>
      <c r="B86" s="115" t="s">
        <v>891</v>
      </c>
      <c r="C86" s="115" t="s">
        <v>1407</v>
      </c>
      <c r="D86" s="115" t="s">
        <v>1408</v>
      </c>
      <c r="E86" s="115" t="s">
        <v>1409</v>
      </c>
    </row>
    <row r="87" spans="1:5" x14ac:dyDescent="0.2">
      <c r="A87">
        <v>-1</v>
      </c>
      <c r="B87">
        <v>-1</v>
      </c>
      <c r="C87">
        <v>-1</v>
      </c>
      <c r="D87">
        <v>1</v>
      </c>
      <c r="E87">
        <v>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baseColWidth="10" defaultColWidth="8.83203125" defaultRowHeight="15" x14ac:dyDescent="0.2"/>
  <cols>
    <col min="1" max="1" width="46.5" customWidth="1"/>
  </cols>
  <sheetData>
    <row r="6" spans="1:42" x14ac:dyDescent="0.2">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2">
      <c r="A7" t="str">
        <f>'Emissions summary'!C5</f>
        <v>3A1a Cattle</v>
      </c>
      <c r="B7" t="str">
        <f>"A"&amp;LEFT(A7,4)</f>
        <v>A3A1a</v>
      </c>
      <c r="C7" t="str">
        <f>'Emissions summary'!D5</f>
        <v>CH4</v>
      </c>
      <c r="D7" s="85">
        <f>'Net zero emission summary'!AE5</f>
        <v>977.48324710494353</v>
      </c>
      <c r="E7" s="85">
        <f>'Net zero emission summary'!AF5</f>
        <v>972.58505850583788</v>
      </c>
      <c r="F7" s="85">
        <f>'Net zero emission summary'!AG5</f>
        <v>972.49373775284266</v>
      </c>
      <c r="G7" s="85">
        <f>'Net zero emission summary'!AH5</f>
        <v>963.82588908536786</v>
      </c>
      <c r="H7" s="85">
        <f>'Net zero emission summary'!AI5</f>
        <v>949.97028936128663</v>
      </c>
      <c r="I7" s="85">
        <f>'Net zero emission summary'!AJ5</f>
        <v>931.223870238676</v>
      </c>
      <c r="J7" s="85">
        <f>'Net zero emission summary'!AK5</f>
        <v>917.09432606703422</v>
      </c>
      <c r="K7" s="85">
        <f>'Net zero emission summary'!AL5</f>
        <v>903.9107469187411</v>
      </c>
      <c r="L7" s="85">
        <f>'Net zero emission summary'!AM5</f>
        <v>817.30546488371999</v>
      </c>
      <c r="M7" s="85">
        <f>'Net zero emission summary'!AN5</f>
        <v>824.77025650912321</v>
      </c>
      <c r="N7" s="85">
        <f>'Net zero emission summary'!AO5</f>
        <v>823.36820287000239</v>
      </c>
      <c r="O7" s="85">
        <f>'Net zero emission summary'!AP5</f>
        <v>817.771295834802</v>
      </c>
      <c r="P7" s="85">
        <f>'Net zero emission summary'!AQ5</f>
        <v>812.05380660008655</v>
      </c>
      <c r="Q7" s="85">
        <f>'Net zero emission summary'!AR5</f>
        <v>802.28308123428519</v>
      </c>
      <c r="R7" s="85">
        <f>'Net zero emission summary'!AS5</f>
        <v>787.68429429078117</v>
      </c>
      <c r="S7" s="85">
        <f>'Net zero emission summary'!AT5</f>
        <v>769.75739904468674</v>
      </c>
      <c r="T7" s="85">
        <f>'Net zero emission summary'!AU5</f>
        <v>748.29678695569226</v>
      </c>
      <c r="U7" s="85">
        <f>'Net zero emission summary'!AV5</f>
        <v>727.94714276015293</v>
      </c>
      <c r="V7" s="85">
        <f>'Net zero emission summary'!AW5</f>
        <v>704.55024553335568</v>
      </c>
      <c r="W7" s="85">
        <f>'Net zero emission summary'!AX5</f>
        <v>699.48295486642451</v>
      </c>
      <c r="X7" s="85">
        <f>'Net zero emission summary'!AY5</f>
        <v>697.09507431044165</v>
      </c>
      <c r="Y7" s="85">
        <f>'Net zero emission summary'!AZ5</f>
        <v>695.53807174872838</v>
      </c>
      <c r="Z7" s="85">
        <f>'Net zero emission summary'!BA5</f>
        <v>696.49931181496038</v>
      </c>
      <c r="AA7" s="85">
        <f>'Net zero emission summary'!BB5</f>
        <v>691.76567431873468</v>
      </c>
      <c r="AB7" s="85">
        <f>'Net zero emission summary'!BC5</f>
        <v>685.72398520134459</v>
      </c>
      <c r="AC7" s="85">
        <f>'Net zero emission summary'!BD5</f>
        <v>680.63201081261923</v>
      </c>
      <c r="AD7" s="85">
        <f>'Net zero emission summary'!BE5</f>
        <v>674.29833615805137</v>
      </c>
      <c r="AE7" s="85">
        <f>'Net zero emission summary'!BF5</f>
        <v>668.15545352290121</v>
      </c>
      <c r="AF7" s="85">
        <f>'Net zero emission summary'!BG5</f>
        <v>661.46153827176283</v>
      </c>
      <c r="AG7" s="85">
        <f>'Net zero emission summary'!BH5</f>
        <v>661.76736652191505</v>
      </c>
      <c r="AH7" s="85">
        <f>'Net zero emission summary'!BI5</f>
        <v>660.74103780254302</v>
      </c>
      <c r="AI7" s="85">
        <f>'Net zero emission summary'!BJ5</f>
        <v>659.38642346360143</v>
      </c>
      <c r="AJ7" s="85">
        <f>'Net zero emission summary'!BK5</f>
        <v>657.93226228161734</v>
      </c>
      <c r="AK7" s="85">
        <f>'Net zero emission summary'!BL5</f>
        <v>656.43963718494524</v>
      </c>
      <c r="AL7" s="85">
        <f>'Net zero emission summary'!BM5</f>
        <v>656.53735234138844</v>
      </c>
      <c r="AM7" s="85">
        <f>'Net zero emission summary'!BN5</f>
        <v>650.22265946508833</v>
      </c>
      <c r="AN7" s="85">
        <f>'Net zero emission summary'!BO5</f>
        <v>643.12087300205371</v>
      </c>
      <c r="AO7" s="85">
        <f>'Net zero emission summary'!BP5</f>
        <v>635.8457705167616</v>
      </c>
      <c r="AP7" s="85">
        <f>'Net zero emission summary'!BQ5</f>
        <v>628.14708919688064</v>
      </c>
    </row>
    <row r="8" spans="1:42" x14ac:dyDescent="0.2">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149.92172952968824</v>
      </c>
      <c r="M8" s="85">
        <f>'Net zero emission summary'!AN6</f>
        <v>150.01936006779908</v>
      </c>
      <c r="N8" s="85">
        <f>'Net zero emission summary'!AO6</f>
        <v>149.8882941508237</v>
      </c>
      <c r="O8" s="85">
        <f>'Net zero emission summary'!AP6</f>
        <v>149.53608113482264</v>
      </c>
      <c r="P8" s="85">
        <f>'Net zero emission summary'!AQ6</f>
        <v>148.96981415280899</v>
      </c>
      <c r="Q8" s="85">
        <f>'Net zero emission summary'!AR6</f>
        <v>148.18616608182776</v>
      </c>
      <c r="R8" s="85">
        <f>'Net zero emission summary'!AS6</f>
        <v>147.02396393665484</v>
      </c>
      <c r="S8" s="85">
        <f>'Net zero emission summary'!AT6</f>
        <v>145.64992376680848</v>
      </c>
      <c r="T8" s="85">
        <f>'Net zero emission summary'!AU6</f>
        <v>144.06574513120697</v>
      </c>
      <c r="U8" s="85">
        <f>'Net zero emission summary'!AV6</f>
        <v>142.28021101501224</v>
      </c>
      <c r="V8" s="85">
        <f>'Net zero emission summary'!AW6</f>
        <v>140.28925860678791</v>
      </c>
      <c r="W8" s="85">
        <f>'Net zero emission summary'!AX6</f>
        <v>140.48022100801902</v>
      </c>
      <c r="X8" s="85">
        <f>'Net zero emission summary'!AY6</f>
        <v>140.69457715686042</v>
      </c>
      <c r="Y8" s="85">
        <f>'Net zero emission summary'!AZ6</f>
        <v>140.92890267500434</v>
      </c>
      <c r="Z8" s="85">
        <f>'Net zero emission summary'!BA6</f>
        <v>141.185631084774</v>
      </c>
      <c r="AA8" s="85">
        <f>'Net zero emission summary'!BB6</f>
        <v>141.44995796221841</v>
      </c>
      <c r="AB8" s="85">
        <f>'Net zero emission summary'!BC6</f>
        <v>141.61195734001387</v>
      </c>
      <c r="AC8" s="85">
        <f>'Net zero emission summary'!BD6</f>
        <v>141.79091790722148</v>
      </c>
      <c r="AD8" s="85">
        <f>'Net zero emission summary'!BE6</f>
        <v>141.98227780823839</v>
      </c>
      <c r="AE8" s="85">
        <f>'Net zero emission summary'!BF6</f>
        <v>142.18831368831513</v>
      </c>
      <c r="AF8" s="85">
        <f>'Net zero emission summary'!BG6</f>
        <v>142.40716370421481</v>
      </c>
      <c r="AG8" s="85">
        <f>'Net zero emission summary'!BH6</f>
        <v>142.53407886407678</v>
      </c>
      <c r="AH8" s="85">
        <f>'Net zero emission summary'!BI6</f>
        <v>142.67059252792055</v>
      </c>
      <c r="AI8" s="85">
        <f>'Net zero emission summary'!BJ6</f>
        <v>142.81844935287208</v>
      </c>
      <c r="AJ8" s="85">
        <f>'Net zero emission summary'!BK6</f>
        <v>142.977853453183</v>
      </c>
      <c r="AK8" s="85">
        <f>'Net zero emission summary'!BL6</f>
        <v>143.14869339703279</v>
      </c>
      <c r="AL8" s="85">
        <f>'Net zero emission summary'!BM6</f>
        <v>143.22508450357995</v>
      </c>
      <c r="AM8" s="85">
        <f>'Net zero emission summary'!BN6</f>
        <v>143.29618639167501</v>
      </c>
      <c r="AN8" s="85">
        <f>'Net zero emission summary'!BO6</f>
        <v>143.37501006116807</v>
      </c>
      <c r="AO8" s="85">
        <f>'Net zero emission summary'!BP6</f>
        <v>143.46281897885251</v>
      </c>
      <c r="AP8" s="85">
        <f>'Net zero emission summary'!BQ6</f>
        <v>143.55870921348588</v>
      </c>
    </row>
    <row r="9" spans="1:42" x14ac:dyDescent="0.2">
      <c r="A9" t="str">
        <f>'Emissions summary'!C7</f>
        <v>3A1d Goats</v>
      </c>
      <c r="B9" t="str">
        <f t="shared" si="1"/>
        <v>A3A1d</v>
      </c>
      <c r="C9" t="str">
        <f>'Emissions summary'!D7</f>
        <v>CH4</v>
      </c>
      <c r="D9" s="85">
        <f>'Net zero emission summary'!AE7</f>
        <v>37.504515885641091</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39.038623867058433</v>
      </c>
      <c r="M9" s="85">
        <f>'Net zero emission summary'!AN7</f>
        <v>39.152062367619124</v>
      </c>
      <c r="N9" s="85">
        <f>'Net zero emission summary'!AO7</f>
        <v>39.273989634047268</v>
      </c>
      <c r="O9" s="85">
        <f>'Net zero emission summary'!AP7</f>
        <v>39.405896728784569</v>
      </c>
      <c r="P9" s="85">
        <f>'Net zero emission summary'!AQ7</f>
        <v>39.549231955561474</v>
      </c>
      <c r="Q9" s="85">
        <f>'Net zero emission summary'!AR7</f>
        <v>39.70144489325466</v>
      </c>
      <c r="R9" s="85">
        <f>'Net zero emission summary'!AS7</f>
        <v>39.796602003796117</v>
      </c>
      <c r="S9" s="85">
        <f>'Net zero emission summary'!AT7</f>
        <v>39.899536798867977</v>
      </c>
      <c r="T9" s="85">
        <f>'Net zero emission summary'!AU7</f>
        <v>40.009643874129289</v>
      </c>
      <c r="U9" s="85">
        <f>'Net zero emission summary'!AV7</f>
        <v>40.129334051374656</v>
      </c>
      <c r="V9" s="85">
        <f>'Net zero emission summary'!AW7</f>
        <v>40.25585014538251</v>
      </c>
      <c r="W9" s="85">
        <f>'Net zero emission summary'!AX7</f>
        <v>40.179307255737669</v>
      </c>
      <c r="X9" s="85">
        <f>'Net zero emission summary'!AY7</f>
        <v>40.110388634962426</v>
      </c>
      <c r="Y9" s="85">
        <f>'Net zero emission summary'!AZ7</f>
        <v>40.047611560215323</v>
      </c>
      <c r="Z9" s="85">
        <f>'Net zero emission summary'!BA7</f>
        <v>39.991927089688119</v>
      </c>
      <c r="AA9" s="85">
        <f>'Net zero emission summary'!BB7</f>
        <v>39.937217857972982</v>
      </c>
      <c r="AB9" s="85">
        <f>'Net zero emission summary'!BC7</f>
        <v>39.838892058340228</v>
      </c>
      <c r="AC9" s="85">
        <f>'Net zero emission summary'!BD7</f>
        <v>39.745900750144813</v>
      </c>
      <c r="AD9" s="85">
        <f>'Net zero emission summary'!BE7</f>
        <v>39.656360234033265</v>
      </c>
      <c r="AE9" s="85">
        <f>'Net zero emission summary'!BF7</f>
        <v>39.571153701111861</v>
      </c>
      <c r="AF9" s="85">
        <f>'Net zero emission summary'!BG7</f>
        <v>39.48949886106179</v>
      </c>
      <c r="AG9" s="85">
        <f>'Net zero emission summary'!BH7</f>
        <v>39.532071473835543</v>
      </c>
      <c r="AH9" s="85">
        <f>'Net zero emission summary'!BI7</f>
        <v>39.577722280817333</v>
      </c>
      <c r="AI9" s="85">
        <f>'Net zero emission summary'!BJ7</f>
        <v>39.627155519214085</v>
      </c>
      <c r="AJ9" s="85">
        <f>'Net zero emission summary'!BK7</f>
        <v>39.680462237396497</v>
      </c>
      <c r="AK9" s="85">
        <f>'Net zero emission summary'!BL7</f>
        <v>39.737607242386197</v>
      </c>
      <c r="AL9" s="85">
        <f>'Net zero emission summary'!BM7</f>
        <v>39.757046625196097</v>
      </c>
      <c r="AM9" s="85">
        <f>'Net zero emission summary'!BN7</f>
        <v>39.773920885082603</v>
      </c>
      <c r="AN9" s="85">
        <f>'Net zero emission summary'!BO7</f>
        <v>39.793352987902523</v>
      </c>
      <c r="AO9" s="85">
        <f>'Net zero emission summary'!BP7</f>
        <v>39.81584392283149</v>
      </c>
      <c r="AP9" s="85">
        <f>'Net zero emission summary'!BQ7</f>
        <v>39.841045434947354</v>
      </c>
    </row>
    <row r="10" spans="1:42" x14ac:dyDescent="0.2">
      <c r="A10" t="str">
        <f>'Emissions summary'!C8</f>
        <v>3A1f Horses</v>
      </c>
      <c r="B10" t="str">
        <f t="shared" si="1"/>
        <v>A3A1f</v>
      </c>
      <c r="C10" t="str">
        <f>'Emissions summary'!D8</f>
        <v>CH4</v>
      </c>
      <c r="D10" s="85">
        <f>'Net zero emission summary'!AE8</f>
        <v>5.5526214800767892</v>
      </c>
      <c r="E10" s="85">
        <f>'Net zero emission summary'!AF8</f>
        <v>5.579523571019652</v>
      </c>
      <c r="F10" s="85">
        <f>'Net zero emission summary'!AG8</f>
        <v>5.6203482259438022</v>
      </c>
      <c r="G10" s="85">
        <f>'Net zero emission summary'!AH8</f>
        <v>5.629075655008374</v>
      </c>
      <c r="H10" s="85">
        <f>'Net zero emission summary'!AI8</f>
        <v>5.6165815405282284</v>
      </c>
      <c r="I10" s="85">
        <f>'Net zero emission summary'!AJ8</f>
        <v>5.5833231296706103</v>
      </c>
      <c r="J10" s="85">
        <f>'Net zero emission summary'!AK8</f>
        <v>5.5648827699457346</v>
      </c>
      <c r="K10" s="85">
        <f>'Net zero emission summary'!AL8</f>
        <v>5.5483103177944013</v>
      </c>
      <c r="L10" s="85">
        <f>'Net zero emission summary'!AM8</f>
        <v>5.2545848231765602</v>
      </c>
      <c r="M10" s="85">
        <f>'Net zero emission summary'!AN8</f>
        <v>5.3277448648735932</v>
      </c>
      <c r="N10" s="85">
        <f>'Net zero emission summary'!AO8</f>
        <v>5.3771318788227438</v>
      </c>
      <c r="O10" s="85">
        <f>'Net zero emission summary'!AP8</f>
        <v>5.4200550937003218</v>
      </c>
      <c r="P10" s="85">
        <f>'Net zero emission summary'!AQ8</f>
        <v>5.4726184084270573</v>
      </c>
      <c r="Q10" s="85">
        <f>'Net zero emission summary'!AR8</f>
        <v>5.5193093093258572</v>
      </c>
      <c r="R10" s="85">
        <f>'Net zero emission summary'!AS8</f>
        <v>5.5623143429133499</v>
      </c>
      <c r="S10" s="85">
        <f>'Net zero emission summary'!AT8</f>
        <v>5.6016190467987945</v>
      </c>
      <c r="T10" s="85">
        <f>'Net zero emission summary'!AU8</f>
        <v>5.6358734850599594</v>
      </c>
      <c r="U10" s="85">
        <f>'Net zero emission summary'!AV8</f>
        <v>5.6864221774832213</v>
      </c>
      <c r="V10" s="85">
        <f>'Net zero emission summary'!AW8</f>
        <v>5.734761216152096</v>
      </c>
      <c r="W10" s="85">
        <f>'Net zero emission summary'!AX8</f>
        <v>5.7937893665421401</v>
      </c>
      <c r="X10" s="85">
        <f>'Net zero emission summary'!AY8</f>
        <v>5.868728906856421</v>
      </c>
      <c r="Y10" s="85">
        <f>'Net zero emission summary'!AZ8</f>
        <v>5.95097387412393</v>
      </c>
      <c r="Z10" s="85">
        <f>'Net zero emission summary'!BA8</f>
        <v>6.0502809540907023</v>
      </c>
      <c r="AA10" s="85">
        <f>'Net zero emission summary'!BB8</f>
        <v>6.1220107529838179</v>
      </c>
      <c r="AB10" s="85">
        <f>'Net zero emission summary'!BC8</f>
        <v>6.1941308642978408</v>
      </c>
      <c r="AC10" s="85">
        <f>'Net zero emission summary'!BD8</f>
        <v>6.2747694866131836</v>
      </c>
      <c r="AD10" s="85">
        <f>'Net zero emission summary'!BE8</f>
        <v>6.3513096084096698</v>
      </c>
      <c r="AE10" s="85">
        <f>'Net zero emission summary'!BF8</f>
        <v>6.4323283925814563</v>
      </c>
      <c r="AF10" s="85">
        <f>'Net zero emission summary'!BG8</f>
        <v>6.5134158744418782</v>
      </c>
      <c r="AG10" s="85">
        <f>'Net zero emission summary'!BH8</f>
        <v>6.6126163316975539</v>
      </c>
      <c r="AH10" s="85">
        <f>'Net zero emission summary'!BI8</f>
        <v>6.7066735285892829</v>
      </c>
      <c r="AI10" s="85">
        <f>'Net zero emission summary'!BJ8</f>
        <v>6.8021224333407027</v>
      </c>
      <c r="AJ10" s="85">
        <f>'Net zero emission summary'!BK8</f>
        <v>6.9006513009384864</v>
      </c>
      <c r="AK10" s="85">
        <f>'Net zero emission summary'!BL8</f>
        <v>7.0028965831984893</v>
      </c>
      <c r="AL10" s="85">
        <f>'Net zero emission summary'!BM8</f>
        <v>7.1267607896665828</v>
      </c>
      <c r="AM10" s="85">
        <f>'Net zero emission summary'!BN8</f>
        <v>7.2071584727038323</v>
      </c>
      <c r="AN10" s="85">
        <f>'Net zero emission summary'!BO8</f>
        <v>7.2845566532149562</v>
      </c>
      <c r="AO10" s="85">
        <f>'Net zero emission summary'!BP8</f>
        <v>7.3636089922437549</v>
      </c>
      <c r="AP10" s="85">
        <f>'Net zero emission summary'!BQ8</f>
        <v>7.4423534956754249</v>
      </c>
    </row>
    <row r="11" spans="1:42" x14ac:dyDescent="0.2">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2">
      <c r="A12" t="str">
        <f>'Emissions summary'!C10</f>
        <v>3A1h Swine</v>
      </c>
      <c r="B12" t="str">
        <f t="shared" si="1"/>
        <v>A3A1h</v>
      </c>
      <c r="C12" t="str">
        <f>'Emissions summary'!D10</f>
        <v>CH4</v>
      </c>
      <c r="D12" s="85">
        <f>'Net zero emission summary'!AE10</f>
        <v>2.0950671945504564</v>
      </c>
      <c r="E12" s="85">
        <f>'Net zero emission summary'!AF10</f>
        <v>2.0836791108466945</v>
      </c>
      <c r="F12" s="85">
        <f>'Net zero emission summary'!AG10</f>
        <v>2.0846138094278093</v>
      </c>
      <c r="G12" s="85">
        <f>'Net zero emission summary'!AH10</f>
        <v>2.0654754572205234</v>
      </c>
      <c r="H12" s="85">
        <f>'Net zero emission summary'!AI10</f>
        <v>2.0342181138558573</v>
      </c>
      <c r="I12" s="85">
        <f>'Net zero emission summary'!AJ10</f>
        <v>1.9913414611083868</v>
      </c>
      <c r="J12" s="85">
        <f>'Net zero emission summary'!AK10</f>
        <v>1.9602082563146466</v>
      </c>
      <c r="K12" s="85">
        <f>'Net zero emission summary'!AL10</f>
        <v>1.9318299226197024</v>
      </c>
      <c r="L12" s="85">
        <f>'Net zero emission summary'!AM10</f>
        <v>1.7212487120165396</v>
      </c>
      <c r="M12" s="85">
        <f>'Net zero emission summary'!AN10</f>
        <v>1.7481229778398051</v>
      </c>
      <c r="N12" s="85">
        <f>'Net zero emission summary'!AO10</f>
        <v>1.7595367253255199</v>
      </c>
      <c r="O12" s="85">
        <f>'Net zero emission summary'!AP10</f>
        <v>1.7670535333618813</v>
      </c>
      <c r="P12" s="85">
        <f>'Net zero emission summary'!AQ10</f>
        <v>1.7809722318158447</v>
      </c>
      <c r="Q12" s="85">
        <f>'Net zero emission summary'!AR10</f>
        <v>1.7913389720080244</v>
      </c>
      <c r="R12" s="85">
        <f>'Net zero emission summary'!AS10</f>
        <v>1.7967767118103366</v>
      </c>
      <c r="S12" s="85">
        <f>'Net zero emission summary'!AT10</f>
        <v>1.8001083844886612</v>
      </c>
      <c r="T12" s="85">
        <f>'Net zero emission summary'!AU10</f>
        <v>1.8005603301644186</v>
      </c>
      <c r="U12" s="85">
        <f>'Net zero emission summary'!AV10</f>
        <v>1.81101614885179</v>
      </c>
      <c r="V12" s="85">
        <f>'Net zero emission summary'!AW10</f>
        <v>1.8201492419423297</v>
      </c>
      <c r="W12" s="85">
        <f>'Net zero emission summary'!AX10</f>
        <v>1.8332900994382921</v>
      </c>
      <c r="X12" s="85">
        <f>'Net zero emission summary'!AY10</f>
        <v>1.8554874912284833</v>
      </c>
      <c r="Y12" s="85">
        <f>'Net zero emission summary'!AZ10</f>
        <v>1.8814818718853641</v>
      </c>
      <c r="Z12" s="85">
        <f>'Net zero emission summary'!BA10</f>
        <v>1.916676158462149</v>
      </c>
      <c r="AA12" s="85">
        <f>'Net zero emission summary'!BB10</f>
        <v>1.9356755633100207</v>
      </c>
      <c r="AB12" s="85">
        <f>'Net zero emission summary'!BC10</f>
        <v>1.9522696195949658</v>
      </c>
      <c r="AC12" s="85">
        <f>'Net zero emission summary'!BD10</f>
        <v>1.9731235931909841</v>
      </c>
      <c r="AD12" s="85">
        <f>'Net zero emission summary'!BE10</f>
        <v>1.9912293320406536</v>
      </c>
      <c r="AE12" s="85">
        <f>'Net zero emission summary'!BF10</f>
        <v>2.0112631447687308</v>
      </c>
      <c r="AF12" s="85">
        <f>'Net zero emission summary'!BG10</f>
        <v>2.0308045564893642</v>
      </c>
      <c r="AG12" s="85">
        <f>'Net zero emission summary'!BH10</f>
        <v>2.0571138539875027</v>
      </c>
      <c r="AH12" s="85">
        <f>'Net zero emission summary'!BI10</f>
        <v>2.0799599685820227</v>
      </c>
      <c r="AI12" s="85">
        <f>'Net zero emission summary'!BJ10</f>
        <v>2.1027857796409659</v>
      </c>
      <c r="AJ12" s="85">
        <f>'Net zero emission summary'!BK10</f>
        <v>2.1264222674693127</v>
      </c>
      <c r="AK12" s="85">
        <f>'Net zero emission summary'!BL10</f>
        <v>2.1511351292441896</v>
      </c>
      <c r="AL12" s="85">
        <f>'Net zero emission summary'!BM10</f>
        <v>2.1833408608911005</v>
      </c>
      <c r="AM12" s="85">
        <f>'Net zero emission summary'!BN10</f>
        <v>2.1933147033327387</v>
      </c>
      <c r="AN12" s="85">
        <f>'Net zero emission summary'!BO10</f>
        <v>2.2012809583067385</v>
      </c>
      <c r="AO12" s="85">
        <f>'Net zero emission summary'!BP10</f>
        <v>2.2094964752080335</v>
      </c>
      <c r="AP12" s="85">
        <f>'Net zero emission summary'!BQ10</f>
        <v>2.2170154167607499</v>
      </c>
    </row>
    <row r="13" spans="1:42" x14ac:dyDescent="0.2">
      <c r="A13" t="str">
        <f>'Emissions summary'!C12</f>
        <v>3A2a Cattle</v>
      </c>
      <c r="B13" t="str">
        <f t="shared" si="1"/>
        <v>A3A2a</v>
      </c>
      <c r="C13" t="str">
        <f>'Emissions summary'!D12</f>
        <v>CH4</v>
      </c>
      <c r="D13" s="85">
        <f>'Net zero emission summary'!AE12</f>
        <v>10.51419956344132</v>
      </c>
      <c r="E13" s="85">
        <f>'Net zero emission summary'!AF12</f>
        <v>10.583882276215787</v>
      </c>
      <c r="F13" s="85">
        <f>'Net zero emission summary'!AG12</f>
        <v>10.68054780913128</v>
      </c>
      <c r="G13" s="85">
        <f>'Net zero emission summary'!AH12</f>
        <v>10.742788658894197</v>
      </c>
      <c r="H13" s="85">
        <f>'Net zero emission summary'!AI12</f>
        <v>10.783939139829936</v>
      </c>
      <c r="I13" s="85">
        <f>'Net zero emission summary'!AJ12</f>
        <v>10.803580145428246</v>
      </c>
      <c r="J13" s="85">
        <f>'Net zero emission summary'!AK12</f>
        <v>10.846446910087721</v>
      </c>
      <c r="K13" s="85">
        <f>'Net zero emission summary'!AL12</f>
        <v>10.895258592784375</v>
      </c>
      <c r="L13" s="85">
        <f>'Net zero emission summary'!AM12</f>
        <v>10.556966962384482</v>
      </c>
      <c r="M13" s="85">
        <f>'Net zero emission summary'!AN12</f>
        <v>9.9056223456884407</v>
      </c>
      <c r="N13" s="85">
        <f>'Net zero emission summary'!AO12</f>
        <v>9.2203741450641648</v>
      </c>
      <c r="O13" s="85">
        <f>'Net zero emission summary'!AP12</f>
        <v>8.5267859410758842</v>
      </c>
      <c r="P13" s="85">
        <f>'Net zero emission summary'!AQ12</f>
        <v>7.8430988467798857</v>
      </c>
      <c r="Q13" s="85">
        <f>'Net zero emission summary'!AR12</f>
        <v>7.1513390053302208</v>
      </c>
      <c r="R13" s="85">
        <f>'Net zero emission summary'!AS12</f>
        <v>6.4459222615017921</v>
      </c>
      <c r="S13" s="85">
        <f>'Net zero emission summary'!AT12</f>
        <v>5.7379325649379371</v>
      </c>
      <c r="T13" s="85">
        <f>'Net zero emission summary'!AU12</f>
        <v>5.0271172798480048</v>
      </c>
      <c r="U13" s="85">
        <f>'Net zero emission summary'!AV12</f>
        <v>4.3277118959785028</v>
      </c>
      <c r="V13" s="85">
        <f>'Net zero emission summary'!AW12</f>
        <v>3.6254349014810185</v>
      </c>
      <c r="W13" s="85">
        <f>'Net zero emission summary'!AX12</f>
        <v>3.4812119499073777</v>
      </c>
      <c r="X13" s="85">
        <f>'Net zero emission summary'!AY12</f>
        <v>3.3423366465015278</v>
      </c>
      <c r="Y13" s="85">
        <f>'Net zero emission summary'!AZ12</f>
        <v>3.2037054853486393</v>
      </c>
      <c r="Z13" s="85">
        <f>'Net zero emission summary'!BA12</f>
        <v>3.069140847603419</v>
      </c>
      <c r="AA13" s="85">
        <f>'Net zero emission summary'!BB12</f>
        <v>2.918403932981787</v>
      </c>
      <c r="AB13" s="85">
        <f>'Net zero emission summary'!BC12</f>
        <v>2.7615703633535049</v>
      </c>
      <c r="AC13" s="85">
        <f>'Net zero emission summary'!BD12</f>
        <v>2.6048559516194056</v>
      </c>
      <c r="AD13" s="85">
        <f>'Net zero emission summary'!BE12</f>
        <v>2.4430471996372982</v>
      </c>
      <c r="AE13" s="85">
        <f>'Net zero emission summary'!BF12</f>
        <v>2.2792618341024249</v>
      </c>
      <c r="AF13" s="85">
        <f>'Net zero emission summary'!BG12</f>
        <v>2.1117180396943085</v>
      </c>
      <c r="AG13" s="85">
        <f>'Net zero emission summary'!BH12</f>
        <v>2.1467721861405487</v>
      </c>
      <c r="AH13" s="85">
        <f>'Net zero emission summary'!BI12</f>
        <v>2.1804972256635207</v>
      </c>
      <c r="AI13" s="85">
        <f>'Net zero emission summary'!BJ12</f>
        <v>2.2149930395083466</v>
      </c>
      <c r="AJ13" s="85">
        <f>'Net zero emission summary'!BK12</f>
        <v>2.250812020293937</v>
      </c>
      <c r="AK13" s="85">
        <f>'Net zero emission summary'!BL12</f>
        <v>2.2881713562577919</v>
      </c>
      <c r="AL13" s="85">
        <f>'Net zero emission summary'!BM12</f>
        <v>2.3305670830387459</v>
      </c>
      <c r="AM13" s="85">
        <f>'Net zero emission summary'!BN12</f>
        <v>2.359092826600945</v>
      </c>
      <c r="AN13" s="85">
        <f>'Net zero emission summary'!BO12</f>
        <v>2.3868804332817337</v>
      </c>
      <c r="AO13" s="85">
        <f>'Net zero emission summary'!BP12</f>
        <v>2.4154466862692932</v>
      </c>
      <c r="AP13" s="85">
        <f>'Net zero emission summary'!BQ12</f>
        <v>2.4441528681278823</v>
      </c>
    </row>
    <row r="14" spans="1:42" x14ac:dyDescent="0.2">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4.0981989112364794E-2</v>
      </c>
      <c r="M14" s="85">
        <f>'Net zero emission summary'!AN13</f>
        <v>4.1044401355160659E-2</v>
      </c>
      <c r="N14" s="85">
        <f>'Net zero emission summary'!AO13</f>
        <v>4.1114942125878427E-2</v>
      </c>
      <c r="O14" s="85">
        <f>'Net zero emission summary'!AP13</f>
        <v>4.1194518351813939E-2</v>
      </c>
      <c r="P14" s="85">
        <f>'Net zero emission summary'!AQ13</f>
        <v>4.1284035756567028E-2</v>
      </c>
      <c r="Q14" s="85">
        <f>'Net zero emission summary'!AR13</f>
        <v>4.138162771259743E-2</v>
      </c>
      <c r="R14" s="85">
        <f>'Net zero emission summary'!AS13</f>
        <v>4.1440982340047908E-2</v>
      </c>
      <c r="S14" s="85">
        <f>'Net zero emission summary'!AT13</f>
        <v>4.150727804548713E-2</v>
      </c>
      <c r="T14" s="85">
        <f>'Net zero emission summary'!AU13</f>
        <v>4.1580028509685542E-2</v>
      </c>
      <c r="U14" s="85">
        <f>'Net zero emission summary'!AV13</f>
        <v>4.166088085441462E-2</v>
      </c>
      <c r="V14" s="85">
        <f>'Net zero emission summary'!AW13</f>
        <v>4.1747848534248712E-2</v>
      </c>
      <c r="W14" s="85">
        <f>'Net zero emission summary'!AX13</f>
        <v>4.1804675902797857E-2</v>
      </c>
      <c r="X14" s="85">
        <f>'Net zero emission summary'!AY13</f>
        <v>4.1868464877970198E-2</v>
      </c>
      <c r="Y14" s="85">
        <f>'Net zero emission summary'!AZ13</f>
        <v>4.1938196419332177E-2</v>
      </c>
      <c r="Z14" s="85">
        <f>'Net zero emission summary'!BA13</f>
        <v>4.2014594704360864E-2</v>
      </c>
      <c r="AA14" s="85">
        <f>'Net zero emission summary'!BB13</f>
        <v>4.2093254172324908E-2</v>
      </c>
      <c r="AB14" s="85">
        <f>'Net zero emission summary'!BC13</f>
        <v>4.2141462606484534E-2</v>
      </c>
      <c r="AC14" s="85">
        <f>'Net zero emission summary'!BD13</f>
        <v>4.2194718420419136E-2</v>
      </c>
      <c r="AD14" s="85">
        <f>'Net zero emission summary'!BE13</f>
        <v>4.2251664078572289E-2</v>
      </c>
      <c r="AE14" s="85">
        <f>'Net zero emission summary'!BF13</f>
        <v>4.2312977074303301E-2</v>
      </c>
      <c r="AF14" s="85">
        <f>'Net zero emission summary'!BG13</f>
        <v>4.2378103352724274E-2</v>
      </c>
      <c r="AG14" s="85">
        <f>'Net zero emission summary'!BH13</f>
        <v>4.241587128252329E-2</v>
      </c>
      <c r="AH14" s="85">
        <f>'Net zero emission summary'!BI13</f>
        <v>4.2456495574201815E-2</v>
      </c>
      <c r="AI14" s="85">
        <f>'Net zero emission summary'!BJ13</f>
        <v>4.2500495409927883E-2</v>
      </c>
      <c r="AJ14" s="85">
        <f>'Net zero emission summary'!BK13</f>
        <v>4.2547931530851228E-2</v>
      </c>
      <c r="AK14" s="85">
        <f>'Net zero emission summary'!BL13</f>
        <v>4.2598770776637186E-2</v>
      </c>
      <c r="AL14" s="85">
        <f>'Net zero emission summary'!BM13</f>
        <v>4.2621503553024818E-2</v>
      </c>
      <c r="AM14" s="85">
        <f>'Net zero emission summary'!BN13</f>
        <v>4.264266234225908E-2</v>
      </c>
      <c r="AN14" s="85">
        <f>'Net zero emission summary'!BO13</f>
        <v>4.2666119010628348E-2</v>
      </c>
      <c r="AO14" s="85">
        <f>'Net zero emission summary'!BP13</f>
        <v>4.2692249545723142E-2</v>
      </c>
      <c r="AP14" s="85">
        <f>'Net zero emission summary'!BQ13</f>
        <v>4.2720784952005444E-2</v>
      </c>
    </row>
    <row r="15" spans="1:42" x14ac:dyDescent="0.2">
      <c r="A15" t="str">
        <f>'Emissions summary'!C14</f>
        <v>3A2d Goats</v>
      </c>
      <c r="B15" t="str">
        <f t="shared" si="1"/>
        <v>A3A2d</v>
      </c>
      <c r="C15" t="str">
        <f>'Emissions summary'!D14</f>
        <v>CH4</v>
      </c>
      <c r="D15" s="85">
        <f>'Net zero emission summary'!AE14</f>
        <v>4.2381891563828093E-2</v>
      </c>
      <c r="E15" s="85">
        <f>'Net zero emission summary'!AF14</f>
        <v>4.2492064024381923E-2</v>
      </c>
      <c r="F15" s="85">
        <f>'Net zero emission summary'!AG14</f>
        <v>4.264404304035839E-2</v>
      </c>
      <c r="G15" s="85">
        <f>'Net zero emission summary'!AH14</f>
        <v>4.2829193619610274E-2</v>
      </c>
      <c r="H15" s="85">
        <f>'Net zero emission summary'!AI14</f>
        <v>4.3047251688384705E-2</v>
      </c>
      <c r="I15" s="85">
        <f>'Net zero emission summary'!AJ14</f>
        <v>4.3296890030905533E-2</v>
      </c>
      <c r="J15" s="85">
        <f>'Net zero emission summary'!AK14</f>
        <v>4.3565554612885068E-2</v>
      </c>
      <c r="K15" s="85">
        <f>'Net zero emission summary'!AL14</f>
        <v>4.3852181920952263E-2</v>
      </c>
      <c r="L15" s="85">
        <f>'Net zero emission summary'!AM14</f>
        <v>4.4115506745367489E-2</v>
      </c>
      <c r="M15" s="85">
        <f>'Net zero emission summary'!AN14</f>
        <v>4.4243697660951792E-2</v>
      </c>
      <c r="N15" s="85">
        <f>'Net zero emission summary'!AO14</f>
        <v>4.4381481286800709E-2</v>
      </c>
      <c r="O15" s="85">
        <f>'Net zero emission summary'!AP14</f>
        <v>4.4530542594583E-2</v>
      </c>
      <c r="P15" s="85">
        <f>'Net zero emission summary'!AQ14</f>
        <v>4.46925182365846E-2</v>
      </c>
      <c r="Q15" s="85">
        <f>'Net zero emission summary'!AR14</f>
        <v>4.486452611530499E-2</v>
      </c>
      <c r="R15" s="85">
        <f>'Net zero emission summary'!AS14</f>
        <v>4.497205818831701E-2</v>
      </c>
      <c r="S15" s="85">
        <f>'Net zero emission summary'!AT14</f>
        <v>4.5088379415770867E-2</v>
      </c>
      <c r="T15" s="85">
        <f>'Net zero emission summary'!AU14</f>
        <v>4.5212805661889191E-2</v>
      </c>
      <c r="U15" s="85">
        <f>'Net zero emission summary'!AV14</f>
        <v>4.534806127027341E-2</v>
      </c>
      <c r="V15" s="85">
        <f>'Net zero emission summary'!AW14</f>
        <v>4.5491030490131361E-2</v>
      </c>
      <c r="W15" s="85">
        <f>'Net zero emission summary'!AX14</f>
        <v>4.5583975807031447E-2</v>
      </c>
      <c r="X15" s="85">
        <f>'Net zero emission summary'!AY14</f>
        <v>4.5686342852099562E-2</v>
      </c>
      <c r="Y15" s="85">
        <f>'Net zero emission summary'!AZ14</f>
        <v>4.5796548650139657E-2</v>
      </c>
      <c r="Z15" s="85">
        <f>'Net zero emission summary'!BA14</f>
        <v>4.5915779189276515E-2</v>
      </c>
      <c r="AA15" s="85">
        <f>'Net zero emission summary'!BB14</f>
        <v>4.603709147689998E-2</v>
      </c>
      <c r="AB15" s="85">
        <f>'Net zero emission summary'!BC14</f>
        <v>4.6108900843498113E-2</v>
      </c>
      <c r="AC15" s="85">
        <f>'Net zero emission summary'!BD14</f>
        <v>4.618749063770225E-2</v>
      </c>
      <c r="AD15" s="85">
        <f>'Net zero emission summary'!BE14</f>
        <v>4.6270745650798605E-2</v>
      </c>
      <c r="AE15" s="85">
        <f>'Net zero emission summary'!BF14</f>
        <v>4.6359757707036139E-2</v>
      </c>
      <c r="AF15" s="85">
        <f>'Net zero emission summary'!BG14</f>
        <v>4.6453677329398993E-2</v>
      </c>
      <c r="AG15" s="85">
        <f>'Net zero emission summary'!BH14</f>
        <v>4.650375784381168E-2</v>
      </c>
      <c r="AH15" s="85">
        <f>'Net zero emission summary'!BI14</f>
        <v>4.6557459407987514E-2</v>
      </c>
      <c r="AI15" s="85">
        <f>'Net zero emission summary'!BJ14</f>
        <v>4.6615610455026865E-2</v>
      </c>
      <c r="AJ15" s="85">
        <f>'Net zero emission summary'!BK14</f>
        <v>4.6678318090154054E-2</v>
      </c>
      <c r="AK15" s="85">
        <f>'Net zero emission summary'!BL14</f>
        <v>4.6745540913925965E-2</v>
      </c>
      <c r="AL15" s="85">
        <f>'Net zero emission summary'!BM14</f>
        <v>4.6768408532978589E-2</v>
      </c>
      <c r="AM15" s="85">
        <f>'Net zero emission summary'!BN14</f>
        <v>4.6788258656341709E-2</v>
      </c>
      <c r="AN15" s="85">
        <f>'Net zero emission summary'!BO14</f>
        <v>4.681111771154027E-2</v>
      </c>
      <c r="AO15" s="85">
        <f>'Net zero emission summary'!BP14</f>
        <v>4.6837575039796131E-2</v>
      </c>
      <c r="AP15" s="85">
        <f>'Net zero emission summary'!BQ14</f>
        <v>4.6867220969620725E-2</v>
      </c>
    </row>
    <row r="16" spans="1:42" x14ac:dyDescent="0.2">
      <c r="A16" t="str">
        <f>'Emissions summary'!C15</f>
        <v>3A2f Horses</v>
      </c>
      <c r="B16" t="str">
        <f t="shared" si="1"/>
        <v>A3A2f</v>
      </c>
      <c r="C16" t="str">
        <f>'Emissions summary'!D15</f>
        <v>CH4</v>
      </c>
      <c r="D16" s="85">
        <f>'Net zero emission summary'!AE15</f>
        <v>4.1336182129460544E-3</v>
      </c>
      <c r="E16" s="85">
        <f>'Net zero emission summary'!AF15</f>
        <v>4.1536453250924079E-3</v>
      </c>
      <c r="F16" s="85">
        <f>'Net zero emission summary'!AG15</f>
        <v>4.1840370126470534E-3</v>
      </c>
      <c r="G16" s="85">
        <f>'Net zero emission summary'!AH15</f>
        <v>4.1905340987284569E-3</v>
      </c>
      <c r="H16" s="85">
        <f>'Net zero emission summary'!AI15</f>
        <v>4.1812329246154597E-3</v>
      </c>
      <c r="I16" s="85">
        <f>'Net zero emission summary'!AJ15</f>
        <v>4.1564738854214548E-3</v>
      </c>
      <c r="J16" s="85">
        <f>'Net zero emission summary'!AK15</f>
        <v>4.1427460620707141E-3</v>
      </c>
      <c r="K16" s="85">
        <f>'Net zero emission summary'!AL15</f>
        <v>4.1304087921358321E-3</v>
      </c>
      <c r="L16" s="85">
        <f>'Net zero emission summary'!AM15</f>
        <v>3.9117464794758833E-3</v>
      </c>
      <c r="M16" s="85">
        <f>'Net zero emission summary'!AN15</f>
        <v>3.9662100660725645E-3</v>
      </c>
      <c r="N16" s="85">
        <f>'Net zero emission summary'!AO15</f>
        <v>4.0029759542347092E-3</v>
      </c>
      <c r="O16" s="85">
        <f>'Net zero emission summary'!AP15</f>
        <v>4.034929903088018E-3</v>
      </c>
      <c r="P16" s="85">
        <f>'Net zero emission summary'!AQ15</f>
        <v>4.0740603707179208E-3</v>
      </c>
      <c r="Q16" s="85">
        <f>'Net zero emission summary'!AR15</f>
        <v>4.1088191524981379E-3</v>
      </c>
      <c r="R16" s="85">
        <f>'Net zero emission summary'!AS15</f>
        <v>4.1408340108354943E-3</v>
      </c>
      <c r="S16" s="85">
        <f>'Net zero emission summary'!AT15</f>
        <v>4.1700941792835473E-3</v>
      </c>
      <c r="T16" s="85">
        <f>'Net zero emission summary'!AU15</f>
        <v>4.1955947055446379E-3</v>
      </c>
      <c r="U16" s="85">
        <f>'Net zero emission summary'!AV15</f>
        <v>4.2332253987930647E-3</v>
      </c>
      <c r="V16" s="85">
        <f>'Net zero emission summary'!AW15</f>
        <v>4.2692111275798939E-3</v>
      </c>
      <c r="W16" s="85">
        <f>'Net zero emission summary'!AX15</f>
        <v>4.3131543062035933E-3</v>
      </c>
      <c r="X16" s="85">
        <f>'Net zero emission summary'!AY15</f>
        <v>4.3689426306597803E-3</v>
      </c>
      <c r="Y16" s="85">
        <f>'Net zero emission summary'!AZ15</f>
        <v>4.4301694396255923E-3</v>
      </c>
      <c r="Z16" s="85">
        <f>'Net zero emission summary'!BA15</f>
        <v>4.5040980436008553E-3</v>
      </c>
      <c r="AA16" s="85">
        <f>'Net zero emission summary'!BB15</f>
        <v>4.5574968938879535E-3</v>
      </c>
      <c r="AB16" s="85">
        <f>'Net zero emission summary'!BC15</f>
        <v>4.6111863100883922E-3</v>
      </c>
      <c r="AC16" s="85">
        <f>'Net zero emission summary'!BD15</f>
        <v>4.6712172844787037E-3</v>
      </c>
      <c r="AD16" s="85">
        <f>'Net zero emission summary'!BE15</f>
        <v>4.7281971529271986E-3</v>
      </c>
      <c r="AE16" s="85">
        <f>'Net zero emission summary'!BF15</f>
        <v>4.7885111366995289E-3</v>
      </c>
      <c r="AF16" s="85">
        <f>'Net zero emission summary'!BG15</f>
        <v>4.8488762620845097E-3</v>
      </c>
      <c r="AG16" s="85">
        <f>'Net zero emission summary'!BH15</f>
        <v>4.9227254913748455E-3</v>
      </c>
      <c r="AH16" s="85">
        <f>'Net zero emission summary'!BI15</f>
        <v>4.9927458490609099E-3</v>
      </c>
      <c r="AI16" s="85">
        <f>'Net zero emission summary'!BJ15</f>
        <v>5.0638022559314124E-3</v>
      </c>
      <c r="AJ16" s="85">
        <f>'Net zero emission summary'!BK15</f>
        <v>5.1371515240319849E-3</v>
      </c>
      <c r="AK16" s="85">
        <f>'Net zero emission summary'!BL15</f>
        <v>5.2132674563810976E-3</v>
      </c>
      <c r="AL16" s="85">
        <f>'Net zero emission summary'!BM15</f>
        <v>5.3054774767517902E-3</v>
      </c>
      <c r="AM16" s="85">
        <f>'Net zero emission summary'!BN15</f>
        <v>5.3653290852350754E-3</v>
      </c>
      <c r="AN16" s="85">
        <f>'Net zero emission summary'!BO15</f>
        <v>5.4229477307266892E-3</v>
      </c>
      <c r="AO16" s="85">
        <f>'Net zero emission summary'!BP15</f>
        <v>5.4817978053370176E-3</v>
      </c>
      <c r="AP16" s="85">
        <f>'Net zero emission summary'!BQ15</f>
        <v>5.5404187134472614E-3</v>
      </c>
    </row>
    <row r="17" spans="1:42" x14ac:dyDescent="0.2">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2">
      <c r="A18" t="str">
        <f>'Emissions summary'!C17</f>
        <v>3A2h Swine</v>
      </c>
      <c r="B18" t="str">
        <f t="shared" si="1"/>
        <v>A3A2h</v>
      </c>
      <c r="C18" t="str">
        <f>'Emissions summary'!D17</f>
        <v>CH4</v>
      </c>
      <c r="D18" s="85">
        <f>'Net zero emission summary'!AE17</f>
        <v>23.356983369641057</v>
      </c>
      <c r="E18" s="85">
        <f>'Net zero emission summary'!AF17</f>
        <v>23.230022629492609</v>
      </c>
      <c r="F18" s="85">
        <f>'Net zero emission summary'!AG17</f>
        <v>23.240443173173269</v>
      </c>
      <c r="G18" s="85">
        <f>'Net zero emission summary'!AH17</f>
        <v>23.027078095723407</v>
      </c>
      <c r="H18" s="85">
        <f>'Net zero emission summary'!AI17</f>
        <v>22.678603712158679</v>
      </c>
      <c r="I18" s="85">
        <f>'Net zero emission summary'!AJ17</f>
        <v>22.200590754973586</v>
      </c>
      <c r="J18" s="85">
        <f>'Net zero emission summary'!AK17</f>
        <v>21.853500337777181</v>
      </c>
      <c r="K18" s="85">
        <f>'Net zero emission summary'!AL17</f>
        <v>21.537122767694914</v>
      </c>
      <c r="L18" s="85">
        <f>'Net zero emission summary'!AM17</f>
        <v>19.189445401159503</v>
      </c>
      <c r="M18" s="85">
        <f>'Net zero emission summary'!AN17</f>
        <v>17.936833390891017</v>
      </c>
      <c r="N18" s="85">
        <f>'Net zero emission summary'!AO17</f>
        <v>16.491589501163954</v>
      </c>
      <c r="O18" s="85">
        <f>'Net zero emission summary'!AP17</f>
        <v>14.99301168971815</v>
      </c>
      <c r="P18" s="85">
        <f>'Net zero emission summary'!AQ17</f>
        <v>13.529718974612299</v>
      </c>
      <c r="Q18" s="85">
        <f>'Net zero emission summary'!AR17</f>
        <v>12.017878768756635</v>
      </c>
      <c r="R18" s="85">
        <f>'Net zero emission summary'!AS17</f>
        <v>10.458937121878229</v>
      </c>
      <c r="S18" s="85">
        <f>'Net zero emission summary'!AT17</f>
        <v>8.8799494982598777</v>
      </c>
      <c r="T18" s="85">
        <f>'Net zero emission summary'!AU17</f>
        <v>7.2833965465155384</v>
      </c>
      <c r="U18" s="85">
        <f>'Net zero emission summary'!AV17</f>
        <v>5.7176245863830379</v>
      </c>
      <c r="V18" s="85">
        <f>'Net zero emission summary'!AW17</f>
        <v>4.1302829007387301</v>
      </c>
      <c r="W18" s="85">
        <f>'Net zero emission summary'!AX17</f>
        <v>3.7531410500327707</v>
      </c>
      <c r="X18" s="85">
        <f>'Net zero emission summary'!AY17</f>
        <v>3.3866953560999042</v>
      </c>
      <c r="Y18" s="85">
        <f>'Net zero emission summary'!AZ17</f>
        <v>3.0164822453253852</v>
      </c>
      <c r="Z18" s="85">
        <f>'Net zero emission summary'!BA17</f>
        <v>2.6474359606120279</v>
      </c>
      <c r="AA18" s="85">
        <f>'Net zero emission summary'!BB17</f>
        <v>2.2439901343386728</v>
      </c>
      <c r="AB18" s="85">
        <f>'Net zero emission summary'!BC17</f>
        <v>1.8298546561723039</v>
      </c>
      <c r="AC18" s="85">
        <f>'Net zero emission summary'!BD17</f>
        <v>1.4113991179818872</v>
      </c>
      <c r="AD18" s="85">
        <f>'Net zero emission summary'!BE17</f>
        <v>0.9823293011461004</v>
      </c>
      <c r="AE18" s="85">
        <f>'Net zero emission summary'!BF17</f>
        <v>0.54574428668630848</v>
      </c>
      <c r="AF18" s="85">
        <f>'Net zero emission summary'!BG17</f>
        <v>0.10024059515551142</v>
      </c>
      <c r="AG18" s="85">
        <f>'Net zero emission summary'!BH17</f>
        <v>0.10153922314554113</v>
      </c>
      <c r="AH18" s="85">
        <f>'Net zero emission summary'!BI17</f>
        <v>0.10266690828719094</v>
      </c>
      <c r="AI18" s="85">
        <f>'Net zero emission summary'!BJ17</f>
        <v>0.10379359124550125</v>
      </c>
      <c r="AJ18" s="85">
        <f>'Net zero emission summary'!BK17</f>
        <v>0.10496028924198238</v>
      </c>
      <c r="AK18" s="85">
        <f>'Net zero emission summary'!BL17</f>
        <v>0.10618011710005634</v>
      </c>
      <c r="AL18" s="85">
        <f>'Net zero emission summary'!BM17</f>
        <v>0.10776979331847385</v>
      </c>
      <c r="AM18" s="85">
        <f>'Net zero emission summary'!BN17</f>
        <v>0.10826210258533073</v>
      </c>
      <c r="AN18" s="85">
        <f>'Net zero emission summary'!BO17</f>
        <v>0.10865531725347792</v>
      </c>
      <c r="AO18" s="85">
        <f>'Net zero emission summary'!BP17</f>
        <v>0.10906083550045299</v>
      </c>
      <c r="AP18" s="85">
        <f>'Net zero emission summary'!BQ17</f>
        <v>0.10943197076001256</v>
      </c>
    </row>
    <row r="19" spans="1:42" x14ac:dyDescent="0.2">
      <c r="A19" t="str">
        <f>'Emissions summary'!C18</f>
        <v>3A2i Poultry</v>
      </c>
      <c r="B19" t="str">
        <f t="shared" si="1"/>
        <v>A3A2i</v>
      </c>
      <c r="C19" t="str">
        <f>'Emissions summary'!D18</f>
        <v>CH4</v>
      </c>
      <c r="D19" s="85">
        <f>'Net zero emission summary'!AE18</f>
        <v>2.8811301877986604</v>
      </c>
      <c r="E19" s="85">
        <f>'Net zero emission summary'!AF18</f>
        <v>2.9232175341370548</v>
      </c>
      <c r="F19" s="85">
        <f>'Net zero emission summary'!AG18</f>
        <v>2.9856726990921141</v>
      </c>
      <c r="G19" s="85">
        <f>'Net zero emission summary'!AH18</f>
        <v>3.0102189866459588</v>
      </c>
      <c r="H19" s="85">
        <f>'Net zero emission summary'!AI18</f>
        <v>3.0101265790703744</v>
      </c>
      <c r="I19" s="85">
        <f>'Net zero emission summary'!AJ18</f>
        <v>2.9854362546719675</v>
      </c>
      <c r="J19" s="85">
        <f>'Net zero emission summary'!AK18</f>
        <v>2.9805084686213323</v>
      </c>
      <c r="K19" s="85">
        <f>'Net zero emission summary'!AL18</f>
        <v>2.9788681664379326</v>
      </c>
      <c r="L19" s="85">
        <f>'Net zero emission summary'!AM18</f>
        <v>2.6145691076838586</v>
      </c>
      <c r="M19" s="85">
        <f>'Net zero emission summary'!AN18</f>
        <v>2.6930924498451176</v>
      </c>
      <c r="N19" s="85">
        <f>'Net zero emission summary'!AO18</f>
        <v>2.740455957039865</v>
      </c>
      <c r="O19" s="85">
        <f>'Net zero emission summary'!AP18</f>
        <v>2.7793640909071615</v>
      </c>
      <c r="P19" s="85">
        <f>'Net zero emission summary'!AQ18</f>
        <v>2.8308657900895864</v>
      </c>
      <c r="Q19" s="85">
        <f>'Net zero emission summary'!AR18</f>
        <v>2.874655238864825</v>
      </c>
      <c r="R19" s="85">
        <f>'Net zero emission summary'!AS18</f>
        <v>2.9091664041508554</v>
      </c>
      <c r="S19" s="85">
        <f>'Net zero emission summary'!AT18</f>
        <v>2.9386687430733476</v>
      </c>
      <c r="T19" s="85">
        <f>'Net zero emission summary'!AU18</f>
        <v>2.9614137514559427</v>
      </c>
      <c r="U19" s="85">
        <f>'Net zero emission summary'!AV18</f>
        <v>3.0051156807628869</v>
      </c>
      <c r="V19" s="85">
        <f>'Net zero emission summary'!AW18</f>
        <v>3.0456812631581291</v>
      </c>
      <c r="W19" s="85">
        <f>'Net zero emission summary'!AX18</f>
        <v>3.1195530030813101</v>
      </c>
      <c r="X19" s="85">
        <f>'Net zero emission summary'!AY18</f>
        <v>3.2145157253179848</v>
      </c>
      <c r="Y19" s="85">
        <f>'Net zero emission summary'!AZ18</f>
        <v>3.3194528491440409</v>
      </c>
      <c r="Z19" s="85">
        <f>'Net zero emission summary'!BA18</f>
        <v>3.4470921159104742</v>
      </c>
      <c r="AA19" s="85">
        <f>'Net zero emission summary'!BB18</f>
        <v>3.5394245772640458</v>
      </c>
      <c r="AB19" s="85">
        <f>'Net zero emission summary'!BC18</f>
        <v>3.628685520281044</v>
      </c>
      <c r="AC19" s="85">
        <f>'Net zero emission summary'!BD18</f>
        <v>3.729346686112244</v>
      </c>
      <c r="AD19" s="85">
        <f>'Net zero emission summary'!BE18</f>
        <v>3.8249977933684773</v>
      </c>
      <c r="AE19" s="85">
        <f>'Net zero emission summary'!BF18</f>
        <v>3.9268167586719067</v>
      </c>
      <c r="AF19" s="85">
        <f>'Net zero emission summary'!BG18</f>
        <v>4.029074997281934</v>
      </c>
      <c r="AG19" s="85">
        <f>'Net zero emission summary'!BH18</f>
        <v>4.1606694725047486</v>
      </c>
      <c r="AH19" s="85">
        <f>'Net zero emission summary'!BI18</f>
        <v>4.2861025516779119</v>
      </c>
      <c r="AI19" s="85">
        <f>'Net zero emission summary'!BJ18</f>
        <v>4.4139116284950086</v>
      </c>
      <c r="AJ19" s="85">
        <f>'Net zero emission summary'!BK18</f>
        <v>4.5463257919107605</v>
      </c>
      <c r="AK19" s="85">
        <f>'Net zero emission summary'!BL18</f>
        <v>4.6842070506632831</v>
      </c>
      <c r="AL19" s="85">
        <f>'Net zero emission summary'!BM18</f>
        <v>4.8459191853719608</v>
      </c>
      <c r="AM19" s="85">
        <f>'Net zero emission summary'!BN18</f>
        <v>4.9511521359025537</v>
      </c>
      <c r="AN19" s="85">
        <f>'Net zero emission summary'!BO18</f>
        <v>5.0528333995657304</v>
      </c>
      <c r="AO19" s="85">
        <f>'Net zero emission summary'!BP18</f>
        <v>5.1570575014373565</v>
      </c>
      <c r="AP19" s="85">
        <f>'Net zero emission summary'!BQ18</f>
        <v>5.2612688787451525</v>
      </c>
    </row>
    <row r="20" spans="1:42" x14ac:dyDescent="0.2">
      <c r="A20" t="str">
        <f>'Emissions summary'!C20</f>
        <v>3A2a Cattle</v>
      </c>
      <c r="B20" t="str">
        <f t="shared" si="1"/>
        <v>A3A2a</v>
      </c>
      <c r="C20" t="str">
        <f>'Emissions summary'!D20</f>
        <v>N2O</v>
      </c>
      <c r="D20" s="85">
        <f>'Net zero emission summary'!AE20</f>
        <v>2.6405154397771442</v>
      </c>
      <c r="E20" s="85">
        <f>'Net zero emission summary'!AF20</f>
        <v>2.6638547658757203</v>
      </c>
      <c r="F20" s="85">
        <f>'Net zero emission summary'!AG20</f>
        <v>2.7012838960025101</v>
      </c>
      <c r="G20" s="85">
        <f>'Net zero emission summary'!AH20</f>
        <v>2.7146557268578313</v>
      </c>
      <c r="H20" s="85">
        <f>'Net zero emission summary'!AI20</f>
        <v>2.7128512798971718</v>
      </c>
      <c r="I20" s="85">
        <f>'Net zero emission summary'!AJ20</f>
        <v>2.6960639868509828</v>
      </c>
      <c r="J20" s="85">
        <f>'Net zero emission summary'!AK20</f>
        <v>2.6925532758612407</v>
      </c>
      <c r="K20" s="85">
        <f>'Net zero emission summary'!AL20</f>
        <v>2.6916404315629792</v>
      </c>
      <c r="L20" s="85">
        <f>'Net zero emission summary'!AM20</f>
        <v>2.4596742788857222</v>
      </c>
      <c r="M20" s="85">
        <f>'Net zero emission summary'!AN20</f>
        <v>2.5305337282133693</v>
      </c>
      <c r="N20" s="85">
        <f>'Net zero emission summary'!AO20</f>
        <v>2.5824283962707844</v>
      </c>
      <c r="O20" s="85">
        <f>'Net zero emission summary'!AP20</f>
        <v>2.6297989968705249</v>
      </c>
      <c r="P20" s="85">
        <f>'Net zero emission summary'!AQ20</f>
        <v>2.6862323320164907</v>
      </c>
      <c r="Q20" s="85">
        <f>'Net zero emission summary'!AR20</f>
        <v>2.7386243682794689</v>
      </c>
      <c r="R20" s="85">
        <f>'Net zero emission summary'!AS20</f>
        <v>2.7838557177673167</v>
      </c>
      <c r="S20" s="85">
        <f>'Net zero emission summary'!AT20</f>
        <v>2.8266675087404973</v>
      </c>
      <c r="T20" s="85">
        <f>'Net zero emission summary'!AU20</f>
        <v>2.8658769305401948</v>
      </c>
      <c r="U20" s="85">
        <f>'Net zero emission summary'!AV20</f>
        <v>2.9197749680771548</v>
      </c>
      <c r="V20" s="85">
        <f>'Net zero emission summary'!AW20</f>
        <v>2.9725447801001432</v>
      </c>
      <c r="W20" s="85">
        <f>'Net zero emission summary'!AX20</f>
        <v>3.0253633856257212</v>
      </c>
      <c r="X20" s="85">
        <f>'Net zero emission summary'!AY20</f>
        <v>3.0924474584520865</v>
      </c>
      <c r="Y20" s="85">
        <f>'Net zero emission summary'!AZ20</f>
        <v>3.1664005534545181</v>
      </c>
      <c r="Z20" s="85">
        <f>'Net zero emission summary'!BA20</f>
        <v>3.2556517133834877</v>
      </c>
      <c r="AA20" s="85">
        <f>'Net zero emission summary'!BB20</f>
        <v>3.3217656219825304</v>
      </c>
      <c r="AB20" s="85">
        <f>'Net zero emission summary'!BC20</f>
        <v>3.3845456664483011</v>
      </c>
      <c r="AC20" s="85">
        <f>'Net zero emission summary'!BD20</f>
        <v>3.4551533992197485</v>
      </c>
      <c r="AD20" s="85">
        <f>'Net zero emission summary'!BE20</f>
        <v>3.5227334006378763</v>
      </c>
      <c r="AE20" s="85">
        <f>'Net zero emission summary'!BF20</f>
        <v>3.5946891004367116</v>
      </c>
      <c r="AF20" s="85">
        <f>'Net zero emission summary'!BG20</f>
        <v>3.6672393495138236</v>
      </c>
      <c r="AG20" s="85">
        <f>'Net zero emission summary'!BH20</f>
        <v>3.7549224601601101</v>
      </c>
      <c r="AH20" s="85">
        <f>'Net zero emission summary'!BI20</f>
        <v>3.838665798223297</v>
      </c>
      <c r="AI20" s="85">
        <f>'Net zero emission summary'!BJ20</f>
        <v>3.9241164696337938</v>
      </c>
      <c r="AJ20" s="85">
        <f>'Net zero emission summary'!BK20</f>
        <v>4.0127496805201854</v>
      </c>
      <c r="AK20" s="85">
        <f>'Net zero emission summary'!BL20</f>
        <v>4.1051372900687806</v>
      </c>
      <c r="AL20" s="85">
        <f>'Net zero emission summary'!BM20</f>
        <v>4.2119427487016328</v>
      </c>
      <c r="AM20" s="85">
        <f>'Net zero emission summary'!BN20</f>
        <v>4.2816415288107557</v>
      </c>
      <c r="AN20" s="85">
        <f>'Net zero emission summary'!BO20</f>
        <v>4.3491696388847148</v>
      </c>
      <c r="AO20" s="85">
        <f>'Net zero emission summary'!BP20</f>
        <v>4.418551404425493</v>
      </c>
      <c r="AP20" s="85">
        <f>'Net zero emission summary'!BQ20</f>
        <v>4.4881053450546133</v>
      </c>
    </row>
    <row r="21" spans="1:42" x14ac:dyDescent="0.2">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0.18347883615886906</v>
      </c>
      <c r="M21" s="85">
        <f>'Net zero emission summary'!AN21</f>
        <v>0.18375825953285058</v>
      </c>
      <c r="N21" s="85">
        <f>'Net zero emission summary'!AO21</f>
        <v>0.18407407481642696</v>
      </c>
      <c r="O21" s="85">
        <f>'Net zero emission summary'!AP21</f>
        <v>0.1844303423777825</v>
      </c>
      <c r="P21" s="85">
        <f>'Net zero emission summary'!AQ21</f>
        <v>0.18483111719608195</v>
      </c>
      <c r="Q21" s="85">
        <f>'Net zero emission summary'!AR21</f>
        <v>0.18526804226728413</v>
      </c>
      <c r="R21" s="85">
        <f>'Net zero emission summary'!AS21</f>
        <v>0.18553377651301334</v>
      </c>
      <c r="S21" s="85">
        <f>'Net zero emission summary'!AT21</f>
        <v>0.18583058638339245</v>
      </c>
      <c r="T21" s="85">
        <f>'Net zero emission summary'!AU21</f>
        <v>0.18615629459790944</v>
      </c>
      <c r="U21" s="85">
        <f>'Net zero emission summary'!AV21</f>
        <v>0.18651827542004407</v>
      </c>
      <c r="V21" s="85">
        <f>'Net zero emission summary'!AW21</f>
        <v>0.18690763496615212</v>
      </c>
      <c r="W21" s="85">
        <f>'Net zero emission summary'!AX21</f>
        <v>0.18716205452140552</v>
      </c>
      <c r="X21" s="85">
        <f>'Net zero emission summary'!AY21</f>
        <v>0.18744764160924304</v>
      </c>
      <c r="Y21" s="85">
        <f>'Net zero emission summary'!AZ21</f>
        <v>0.1877598339242032</v>
      </c>
      <c r="Z21" s="85">
        <f>'Net zero emission summary'!BA21</f>
        <v>0.18810187365251319</v>
      </c>
      <c r="AA21" s="85">
        <f>'Net zero emission summary'!BB21</f>
        <v>0.18845403683315698</v>
      </c>
      <c r="AB21" s="85">
        <f>'Net zero emission summary'!BC21</f>
        <v>0.18866986889949217</v>
      </c>
      <c r="AC21" s="85">
        <f>'Net zero emission summary'!BD21</f>
        <v>0.18890829838939865</v>
      </c>
      <c r="AD21" s="85">
        <f>'Net zero emission summary'!BE21</f>
        <v>0.18916324753434122</v>
      </c>
      <c r="AE21" s="85">
        <f>'Net zero emission summary'!BF21</f>
        <v>0.1894377495129371</v>
      </c>
      <c r="AF21" s="85">
        <f>'Net zero emission summary'!BG21</f>
        <v>0.18972932378804797</v>
      </c>
      <c r="AG21" s="85">
        <f>'Net zero emission summary'!BH21</f>
        <v>0.1898984130868776</v>
      </c>
      <c r="AH21" s="85">
        <f>'Net zero emission summary'!BI21</f>
        <v>0.1900802904900587</v>
      </c>
      <c r="AI21" s="85">
        <f>'Net zero emission summary'!BJ21</f>
        <v>0.19027728040746039</v>
      </c>
      <c r="AJ21" s="85">
        <f>'Net zero emission summary'!BK21</f>
        <v>0.19048965478087213</v>
      </c>
      <c r="AK21" s="85">
        <f>'Net zero emission summary'!BL21</f>
        <v>0.19071726514947646</v>
      </c>
      <c r="AL21" s="85">
        <f>'Net zero emission summary'!BM21</f>
        <v>0.19081904115997772</v>
      </c>
      <c r="AM21" s="85">
        <f>'Net zero emission summary'!BN21</f>
        <v>0.19091377033509385</v>
      </c>
      <c r="AN21" s="85">
        <f>'Net zero emission summary'!BO21</f>
        <v>0.1910187872536421</v>
      </c>
      <c r="AO21" s="85">
        <f>'Net zero emission summary'!BP21</f>
        <v>0.19113577523473432</v>
      </c>
      <c r="AP21" s="85">
        <f>'Net zero emission summary'!BQ21</f>
        <v>0.1912635299691286</v>
      </c>
    </row>
    <row r="22" spans="1:42" x14ac:dyDescent="0.2">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0.13069549066496228</v>
      </c>
      <c r="H22" s="85">
        <f>'Net zero emission summary'!AI22</f>
        <v>0.1313609060950319</v>
      </c>
      <c r="I22" s="85">
        <f>'Net zero emission summary'!AJ22</f>
        <v>0.13212269035728819</v>
      </c>
      <c r="J22" s="85">
        <f>'Net zero emission summary'!AK22</f>
        <v>0.13294253416938448</v>
      </c>
      <c r="K22" s="85">
        <f>'Net zero emission summary'!AL22</f>
        <v>0.13381719216548246</v>
      </c>
      <c r="L22" s="85">
        <f>'Net zero emission summary'!AM22</f>
        <v>0.13462074143229505</v>
      </c>
      <c r="M22" s="85">
        <f>'Net zero emission summary'!AN22</f>
        <v>0.13501192261492209</v>
      </c>
      <c r="N22" s="85">
        <f>'Net zero emission summary'!AO22</f>
        <v>0.13543237644708755</v>
      </c>
      <c r="O22" s="85">
        <f>'Net zero emission summary'!AP22</f>
        <v>0.1358872447066396</v>
      </c>
      <c r="P22" s="85">
        <f>'Net zero emission summary'!AQ22</f>
        <v>0.1363815217223403</v>
      </c>
      <c r="Q22" s="85">
        <f>'Net zero emission summary'!AR22</f>
        <v>0.13690641262519654</v>
      </c>
      <c r="R22" s="85">
        <f>'Net zero emission summary'!AS22</f>
        <v>0.13723455228547937</v>
      </c>
      <c r="S22" s="85">
        <f>'Net zero emission summary'!AT22</f>
        <v>0.13758951250331244</v>
      </c>
      <c r="T22" s="85">
        <f>'Net zero emission summary'!AU22</f>
        <v>0.13796920560312809</v>
      </c>
      <c r="U22" s="85">
        <f>'Net zero emission summary'!AV22</f>
        <v>0.13838194505976986</v>
      </c>
      <c r="V22" s="85">
        <f>'Net zero emission summary'!AW22</f>
        <v>0.13881822299918842</v>
      </c>
      <c r="W22" s="85">
        <f>'Net zero emission summary'!AX22</f>
        <v>0.13910185042176276</v>
      </c>
      <c r="X22" s="85">
        <f>'Net zero emission summary'!AY22</f>
        <v>0.1394142287331997</v>
      </c>
      <c r="Y22" s="85">
        <f>'Net zero emission summary'!AZ22</f>
        <v>0.13975052740314195</v>
      </c>
      <c r="Z22" s="85">
        <f>'Net zero emission summary'!BA22</f>
        <v>0.14011436553544815</v>
      </c>
      <c r="AA22" s="85">
        <f>'Net zero emission summary'!BB22</f>
        <v>0.14048455623050193</v>
      </c>
      <c r="AB22" s="85">
        <f>'Net zero emission summary'!BC22</f>
        <v>0.14070368621191692</v>
      </c>
      <c r="AC22" s="85">
        <f>'Net zero emission summary'!BD22</f>
        <v>0.14094350701746358</v>
      </c>
      <c r="AD22" s="85">
        <f>'Net zero emission summary'!BE22</f>
        <v>0.14119756397878735</v>
      </c>
      <c r="AE22" s="85">
        <f>'Net zero emission summary'!BF22</f>
        <v>0.141469188853829</v>
      </c>
      <c r="AF22" s="85">
        <f>'Net zero emission summary'!BG22</f>
        <v>0.14175578941971406</v>
      </c>
      <c r="AG22" s="85">
        <f>'Net zero emission summary'!BH22</f>
        <v>0.141908612689329</v>
      </c>
      <c r="AH22" s="85">
        <f>'Net zero emission summary'!BI22</f>
        <v>0.14207248577883361</v>
      </c>
      <c r="AI22" s="85">
        <f>'Net zero emission summary'!BJ22</f>
        <v>0.14224993669451019</v>
      </c>
      <c r="AJ22" s="85">
        <f>'Net zero emission summary'!BK22</f>
        <v>0.14244129227346825</v>
      </c>
      <c r="AK22" s="85">
        <f>'Net zero emission summary'!BL22</f>
        <v>0.14264642618317447</v>
      </c>
      <c r="AL22" s="85">
        <f>'Net zero emission summary'!BM22</f>
        <v>0.14271620790073294</v>
      </c>
      <c r="AM22" s="85">
        <f>'Net zero emission summary'!BN22</f>
        <v>0.14277678157474943</v>
      </c>
      <c r="AN22" s="85">
        <f>'Net zero emission summary'!BO22</f>
        <v>0.14284653715926607</v>
      </c>
      <c r="AO22" s="85">
        <f>'Net zero emission summary'!BP22</f>
        <v>0.14292727305938119</v>
      </c>
      <c r="AP22" s="85">
        <f>'Net zero emission summary'!BQ22</f>
        <v>0.14301773914144325</v>
      </c>
    </row>
    <row r="23" spans="1:42" x14ac:dyDescent="0.2">
      <c r="A23" t="str">
        <f>'Emissions summary'!C25</f>
        <v>3A2h Swine</v>
      </c>
      <c r="B23" t="str">
        <f t="shared" si="1"/>
        <v>A3A2h</v>
      </c>
      <c r="C23" t="str">
        <f>'Emissions summary'!D25</f>
        <v>N2O</v>
      </c>
      <c r="D23" s="85">
        <f>'Net zero emission summary'!AE25</f>
        <v>0.13559803489000399</v>
      </c>
      <c r="E23" s="85">
        <f>'Net zero emission summary'!AF25</f>
        <v>0.13486096937945152</v>
      </c>
      <c r="F23" s="85">
        <f>'Net zero emission summary'!AG25</f>
        <v>0.13492146542995687</v>
      </c>
      <c r="G23" s="85">
        <f>'Net zero emission summary'!AH25</f>
        <v>0.13368278298717368</v>
      </c>
      <c r="H23" s="85">
        <f>'Net zero emission summary'!AI25</f>
        <v>0.13165972885928912</v>
      </c>
      <c r="I23" s="85">
        <f>'Net zero emission summary'!AJ25</f>
        <v>0.12888464371149957</v>
      </c>
      <c r="J23" s="85">
        <f>'Net zero emission summary'!AK25</f>
        <v>0.12686962414513905</v>
      </c>
      <c r="K23" s="85">
        <f>'Net zero emission summary'!AL25</f>
        <v>0.12503290678710083</v>
      </c>
      <c r="L23" s="85">
        <f>'Net zero emission summary'!AM25</f>
        <v>0.11140355951994843</v>
      </c>
      <c r="M23" s="85">
        <f>'Net zero emission summary'!AN25</f>
        <v>0.11314292981042173</v>
      </c>
      <c r="N23" s="85">
        <f>'Net zero emission summary'!AO25</f>
        <v>0.11388165634569442</v>
      </c>
      <c r="O23" s="85">
        <f>'Net zero emission summary'!AP25</f>
        <v>0.11436816312744694</v>
      </c>
      <c r="P23" s="85">
        <f>'Net zero emission summary'!AQ25</f>
        <v>0.11526901640962003</v>
      </c>
      <c r="Q23" s="85">
        <f>'Net zero emission summary'!AR25</f>
        <v>0.11593997799115366</v>
      </c>
      <c r="R23" s="85">
        <f>'Net zero emission summary'!AS25</f>
        <v>0.11629192223110674</v>
      </c>
      <c r="S23" s="85">
        <f>'Net zero emission summary'!AT25</f>
        <v>0.11650755649298275</v>
      </c>
      <c r="T23" s="85">
        <f>'Net zero emission summary'!AU25</f>
        <v>0.11653680755742077</v>
      </c>
      <c r="U23" s="85">
        <f>'Net zero emission summary'!AV25</f>
        <v>0.1172135345239169</v>
      </c>
      <c r="V23" s="85">
        <f>'Net zero emission summary'!AW25</f>
        <v>0.11780465135242055</v>
      </c>
      <c r="W23" s="85">
        <f>'Net zero emission summary'!AX25</f>
        <v>0.11865516080522326</v>
      </c>
      <c r="X23" s="85">
        <f>'Net zero emission summary'!AY25</f>
        <v>0.12009183200806711</v>
      </c>
      <c r="Y23" s="85">
        <f>'Net zero emission summary'!AZ25</f>
        <v>0.12177425391053598</v>
      </c>
      <c r="Z23" s="85">
        <f>'Net zero emission summary'!BA25</f>
        <v>0.12405211693640027</v>
      </c>
      <c r="AA23" s="85">
        <f>'Net zero emission summary'!BB25</f>
        <v>0.12528180635550448</v>
      </c>
      <c r="AB23" s="85">
        <f>'Net zero emission summary'!BC25</f>
        <v>0.12635581554668723</v>
      </c>
      <c r="AC23" s="85">
        <f>'Net zero emission summary'!BD25</f>
        <v>0.12770553733442919</v>
      </c>
      <c r="AD23" s="85">
        <f>'Net zero emission summary'!BE25</f>
        <v>0.12887738643532332</v>
      </c>
      <c r="AE23" s="85">
        <f>'Net zero emission summary'!BF25</f>
        <v>0.13017402534234629</v>
      </c>
      <c r="AF23" s="85">
        <f>'Net zero emission summary'!BG25</f>
        <v>0.13143879481379181</v>
      </c>
      <c r="AG23" s="85">
        <f>'Net zero emission summary'!BH25</f>
        <v>0.13314159892879276</v>
      </c>
      <c r="AH23" s="85">
        <f>'Net zero emission summary'!BI25</f>
        <v>0.13462025710832362</v>
      </c>
      <c r="AI23" s="85">
        <f>'Net zero emission summary'!BJ25</f>
        <v>0.13609760119180411</v>
      </c>
      <c r="AJ23" s="85">
        <f>'Net zero emission summary'!BK25</f>
        <v>0.13762741432121695</v>
      </c>
      <c r="AK23" s="85">
        <f>'Net zero emission summary'!BL25</f>
        <v>0.13922689308824551</v>
      </c>
      <c r="AL23" s="85">
        <f>'Net zero emission summary'!BM25</f>
        <v>0.14131132929863299</v>
      </c>
      <c r="AM23" s="85">
        <f>'Net zero emission summary'!BN25</f>
        <v>0.14195686154643228</v>
      </c>
      <c r="AN23" s="85">
        <f>'Net zero emission summary'!BO25</f>
        <v>0.14247245766798716</v>
      </c>
      <c r="AO23" s="85">
        <f>'Net zero emission summary'!BP25</f>
        <v>0.14300418665038872</v>
      </c>
      <c r="AP23" s="85">
        <f>'Net zero emission summary'!BQ25</f>
        <v>0.14349083151870276</v>
      </c>
    </row>
    <row r="24" spans="1:42" x14ac:dyDescent="0.2">
      <c r="A24" t="str">
        <f>'Emissions summary'!C26</f>
        <v>3A2i Poultry</v>
      </c>
      <c r="B24" t="str">
        <f t="shared" si="1"/>
        <v>A3A2i</v>
      </c>
      <c r="C24" t="str">
        <f>'Emissions summary'!D26</f>
        <v>N2O</v>
      </c>
      <c r="D24" s="85">
        <f>'Net zero emission summary'!AE26</f>
        <v>2.1141223071087354</v>
      </c>
      <c r="E24" s="85">
        <f>'Net zero emission summary'!AF26</f>
        <v>2.1444079633530229</v>
      </c>
      <c r="F24" s="85">
        <f>'Net zero emission summary'!AG26</f>
        <v>2.1900184905347517</v>
      </c>
      <c r="G24" s="85">
        <f>'Net zero emission summary'!AH26</f>
        <v>2.2070152134542438</v>
      </c>
      <c r="H24" s="85">
        <f>'Net zero emission summary'!AI26</f>
        <v>2.2054156910391569</v>
      </c>
      <c r="I24" s="85">
        <f>'Net zero emission summary'!AJ26</f>
        <v>2.1852604118945709</v>
      </c>
      <c r="J24" s="85">
        <f>'Net zero emission summary'!AK26</f>
        <v>2.1799994398925184</v>
      </c>
      <c r="K24" s="85">
        <f>'Net zero emission summary'!AL26</f>
        <v>2.177211573374529</v>
      </c>
      <c r="L24" s="85">
        <f>'Net zero emission summary'!AM26</f>
        <v>1.9013620162508531</v>
      </c>
      <c r="M24" s="85">
        <f>'Net zero emission summary'!AN26</f>
        <v>1.9787397203342991</v>
      </c>
      <c r="N24" s="85">
        <f>'Net zero emission summary'!AO26</f>
        <v>2.0334728947632885</v>
      </c>
      <c r="O24" s="85">
        <f>'Net zero emission summary'!AP26</f>
        <v>2.0826047075433389</v>
      </c>
      <c r="P24" s="85">
        <f>'Net zero emission summary'!AQ26</f>
        <v>2.1421719815547271</v>
      </c>
      <c r="Q24" s="85">
        <f>'Net zero emission summary'!AR26</f>
        <v>2.196724934692265</v>
      </c>
      <c r="R24" s="85">
        <f>'Net zero emission summary'!AS26</f>
        <v>2.2450021131364171</v>
      </c>
      <c r="S24" s="85">
        <f>'Net zero emission summary'!AT26</f>
        <v>2.2901992835176022</v>
      </c>
      <c r="T24" s="85">
        <f>'Net zero emission summary'!AU26</f>
        <v>2.3309269765795255</v>
      </c>
      <c r="U24" s="85">
        <f>'Net zero emission summary'!AV26</f>
        <v>2.3887693604876081</v>
      </c>
      <c r="V24" s="85">
        <f>'Net zero emission summary'!AW26</f>
        <v>2.4450704027075854</v>
      </c>
      <c r="W24" s="85">
        <f>'Net zero emission summary'!AX26</f>
        <v>2.5099277172179804</v>
      </c>
      <c r="X24" s="85">
        <f>'Net zero emission summary'!AY26</f>
        <v>2.5916144266566521</v>
      </c>
      <c r="Y24" s="85">
        <f>'Net zero emission summary'!AZ26</f>
        <v>2.6814475992419187</v>
      </c>
      <c r="Z24" s="85">
        <f>'Net zero emission summary'!BA26</f>
        <v>2.7894895586957014</v>
      </c>
      <c r="AA24" s="85">
        <f>'Net zero emission summary'!BB26</f>
        <v>2.8700482359542674</v>
      </c>
      <c r="AB24" s="85">
        <f>'Net zero emission summary'!BC26</f>
        <v>2.9483799459076065</v>
      </c>
      <c r="AC24" s="85">
        <f>'Net zero emission summary'!BD26</f>
        <v>3.0360208185962847</v>
      </c>
      <c r="AD24" s="85">
        <f>'Net zero emission summary'!BE26</f>
        <v>3.1200133197512931</v>
      </c>
      <c r="AE24" s="85">
        <f>'Net zero emission summary'!BF26</f>
        <v>3.2092104859487391</v>
      </c>
      <c r="AF24" s="85">
        <f>'Net zero emission summary'!BG26</f>
        <v>3.2990869936827241</v>
      </c>
      <c r="AG24" s="85">
        <f>'Net zero emission summary'!BH26</f>
        <v>3.40478380641914</v>
      </c>
      <c r="AH24" s="85">
        <f>'Net zero emission summary'!BI26</f>
        <v>3.5056195640769623</v>
      </c>
      <c r="AI24" s="85">
        <f>'Net zero emission summary'!BJ26</f>
        <v>3.6083743468194287</v>
      </c>
      <c r="AJ24" s="85">
        <f>'Net zero emission summary'!BK26</f>
        <v>3.7148200903815982</v>
      </c>
      <c r="AK24" s="85">
        <f>'Net zero emission summary'!BL26</f>
        <v>3.8256433975277582</v>
      </c>
      <c r="AL24" s="85">
        <f>'Net zero emission summary'!BM26</f>
        <v>3.9553215835104285</v>
      </c>
      <c r="AM24" s="85">
        <f>'Net zero emission summary'!BN26</f>
        <v>4.0401363159376622</v>
      </c>
      <c r="AN24" s="85">
        <f>'Net zero emission summary'!BO26</f>
        <v>4.1221504273856366</v>
      </c>
      <c r="AO24" s="85">
        <f>'Net zero emission summary'!BP26</f>
        <v>4.206209172279312</v>
      </c>
      <c r="AP24" s="85">
        <f>'Net zero emission summary'!BQ26</f>
        <v>4.2902806844100194</v>
      </c>
    </row>
    <row r="25" spans="1:42" x14ac:dyDescent="0.2">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2">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2">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2">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2">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2">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2">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2">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2">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2">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2">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2">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2">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892.99961042800624</v>
      </c>
      <c r="N37" s="85">
        <f>'Net zero emission summary'!AO41</f>
        <v>897.66502434733229</v>
      </c>
      <c r="O37" s="85">
        <f>'Net zero emission summary'!AP41</f>
        <v>901.31677957229135</v>
      </c>
      <c r="P37" s="85">
        <f>'Net zero emission summary'!AQ41</f>
        <v>904.69718143729835</v>
      </c>
      <c r="Q37" s="85">
        <f>'Net zero emission summary'!AR41</f>
        <v>908.47574920758507</v>
      </c>
      <c r="R37" s="85">
        <f>'Net zero emission summary'!AS41</f>
        <v>912.00886230682897</v>
      </c>
      <c r="S37" s="85">
        <f>'Net zero emission summary'!AT41</f>
        <v>915.15522281701794</v>
      </c>
      <c r="T37" s="85">
        <f>'Net zero emission summary'!AU41</f>
        <v>918.14911339193043</v>
      </c>
      <c r="U37" s="85">
        <f>'Net zero emission summary'!AV41</f>
        <v>920.93862378014114</v>
      </c>
      <c r="V37" s="85">
        <f>'Net zero emission summary'!AW41</f>
        <v>924.38117404713842</v>
      </c>
      <c r="W37" s="85">
        <f>'Net zero emission summary'!AX41</f>
        <v>927.72886456057699</v>
      </c>
      <c r="X37" s="85">
        <f>'Net zero emission summary'!AY41</f>
        <v>931.30044289181558</v>
      </c>
      <c r="Y37" s="85">
        <f>'Net zero emission summary'!AZ41</f>
        <v>935.47463981104102</v>
      </c>
      <c r="Z37" s="85">
        <f>'Net zero emission summary'!BA41</f>
        <v>939.89945345474598</v>
      </c>
      <c r="AA37" s="85">
        <f>'Net zero emission summary'!BB41</f>
        <v>944.93069992096457</v>
      </c>
      <c r="AB37" s="85">
        <f>'Net zero emission summary'!BC41</f>
        <v>948.88651159106837</v>
      </c>
      <c r="AC37" s="85">
        <f>'Net zero emission summary'!BD41</f>
        <v>952.65045566979234</v>
      </c>
      <c r="AD37" s="85">
        <f>'Net zero emission summary'!BE41</f>
        <v>956.69732285696261</v>
      </c>
      <c r="AE37" s="85">
        <f>'Net zero emission summary'!BF41</f>
        <v>960.56505395961551</v>
      </c>
      <c r="AF37" s="85">
        <f>'Net zero emission summary'!BG41</f>
        <v>964.56260681029062</v>
      </c>
      <c r="AG37" s="85">
        <f>'Net zero emission summary'!BH41</f>
        <v>968.53102991020114</v>
      </c>
      <c r="AH37" s="85">
        <f>'Net zero emission summary'!BI41</f>
        <v>972.91815093223238</v>
      </c>
      <c r="AI37" s="85">
        <f>'Net zero emission summary'!BJ41</f>
        <v>977.08221160435949</v>
      </c>
      <c r="AJ37" s="85">
        <f>'Net zero emission summary'!BK41</f>
        <v>981.24968371542741</v>
      </c>
      <c r="AK37" s="85">
        <f>'Net zero emission summary'!BL41</f>
        <v>985.47496417545995</v>
      </c>
      <c r="AL37" s="85">
        <f>'Net zero emission summary'!BM41</f>
        <v>989.77519860882489</v>
      </c>
      <c r="AM37" s="85">
        <f>'Net zero emission summary'!BN41</f>
        <v>994.53641231240658</v>
      </c>
      <c r="AN37" s="85">
        <f>'Net zero emission summary'!BO41</f>
        <v>997.87560728554854</v>
      </c>
      <c r="AO37" s="85">
        <f>'Net zero emission summary'!BP41</f>
        <v>1001.0952288876074</v>
      </c>
      <c r="AP37" s="85">
        <f>'Net zero emission summary'!BQ41</f>
        <v>1004.3409499737036</v>
      </c>
    </row>
    <row r="38" spans="1:42" x14ac:dyDescent="0.2">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469.9309125855201</v>
      </c>
      <c r="N38" s="85">
        <f>'Net zero emission summary'!AO42</f>
        <v>469.81336359291407</v>
      </c>
      <c r="O38" s="85">
        <f>'Net zero emission summary'!AP42</f>
        <v>469.7213545760593</v>
      </c>
      <c r="P38" s="85">
        <f>'Net zero emission summary'!AQ42</f>
        <v>469.63618253329815</v>
      </c>
      <c r="Q38" s="85">
        <f>'Net zero emission summary'!AR42</f>
        <v>469.54097836865776</v>
      </c>
      <c r="R38" s="85">
        <f>'Net zero emission summary'!AS42</f>
        <v>469.45195863905593</v>
      </c>
      <c r="S38" s="85">
        <f>'Net zero emission summary'!AT42</f>
        <v>469.37268346331723</v>
      </c>
      <c r="T38" s="85">
        <f>'Net zero emission summary'!AU42</f>
        <v>469.29724989469105</v>
      </c>
      <c r="U38" s="85">
        <f>'Net zero emission summary'!AV42</f>
        <v>469.22696585523204</v>
      </c>
      <c r="V38" s="85">
        <f>'Net zero emission summary'!AW42</f>
        <v>469.14022793167828</v>
      </c>
      <c r="W38" s="85">
        <f>'Net zero emission summary'!AX42</f>
        <v>469.05588007868687</v>
      </c>
      <c r="X38" s="85">
        <f>'Net zero emission summary'!AY42</f>
        <v>468.96589118550173</v>
      </c>
      <c r="Y38" s="85">
        <f>'Net zero emission summary'!AZ42</f>
        <v>468.86071881467279</v>
      </c>
      <c r="Z38" s="85">
        <f>'Net zero emission summary'!BA42</f>
        <v>468.74923194656606</v>
      </c>
      <c r="AA38" s="85">
        <f>'Net zero emission summary'!BB42</f>
        <v>468.62246549799733</v>
      </c>
      <c r="AB38" s="85">
        <f>'Net zero emission summary'!BC42</f>
        <v>468.5227955255574</v>
      </c>
      <c r="AC38" s="85">
        <f>'Net zero emission summary'!BD42</f>
        <v>468.42795981701568</v>
      </c>
      <c r="AD38" s="85">
        <f>'Net zero emission summary'!BE42</f>
        <v>468.325995624923</v>
      </c>
      <c r="AE38" s="85">
        <f>'Net zero emission summary'!BF42</f>
        <v>468.22854491580057</v>
      </c>
      <c r="AF38" s="85">
        <f>'Net zero emission summary'!BG42</f>
        <v>468.12782323952234</v>
      </c>
      <c r="AG38" s="85">
        <f>'Net zero emission summary'!BH42</f>
        <v>468.02783551159615</v>
      </c>
      <c r="AH38" s="85">
        <f>'Net zero emission summary'!BI42</f>
        <v>467.91729834051165</v>
      </c>
      <c r="AI38" s="85">
        <f>'Net zero emission summary'!BJ42</f>
        <v>467.81238136087751</v>
      </c>
      <c r="AJ38" s="85">
        <f>'Net zero emission summary'!BK42</f>
        <v>467.70737842719552</v>
      </c>
      <c r="AK38" s="85">
        <f>'Net zero emission summary'!BL42</f>
        <v>467.60091896397466</v>
      </c>
      <c r="AL38" s="85">
        <f>'Net zero emission summary'!BM42</f>
        <v>467.49257097291689</v>
      </c>
      <c r="AM38" s="85">
        <f>'Net zero emission summary'!BN42</f>
        <v>467.37260822489156</v>
      </c>
      <c r="AN38" s="85">
        <f>'Net zero emission summary'!BO42</f>
        <v>467.28847442411939</v>
      </c>
      <c r="AO38" s="85">
        <f>'Net zero emission summary'!BP42</f>
        <v>467.20735337410349</v>
      </c>
      <c r="AP38" s="85">
        <f>'Net zero emission summary'!BQ42</f>
        <v>467.12557472583177</v>
      </c>
    </row>
    <row r="39" spans="1:42" x14ac:dyDescent="0.2">
      <c r="A39" t="str">
        <f>'Emissions summary'!B44</f>
        <v>3C4 Direct N2O from managed soils (N2O)</v>
      </c>
      <c r="B39" t="str">
        <f>"A"&amp;LEFT(A39,3)</f>
        <v>A3C4</v>
      </c>
      <c r="C39" t="str">
        <f>'Emissions summary'!D44</f>
        <v>N2O</v>
      </c>
      <c r="D39" s="85">
        <f>'Net zero emission summary'!AE43</f>
        <v>55.328082895998861</v>
      </c>
      <c r="E39" s="85">
        <f>'Net zero emission summary'!AF43</f>
        <v>55.141377146941785</v>
      </c>
      <c r="F39" s="85">
        <f>'Net zero emission summary'!AG43</f>
        <v>55.133536751110526</v>
      </c>
      <c r="G39" s="85">
        <f>'Net zero emission summary'!AH43</f>
        <v>54.82749609462973</v>
      </c>
      <c r="H39" s="85">
        <f>'Net zero emission summary'!AI43</f>
        <v>54.339148116939342</v>
      </c>
      <c r="I39" s="85">
        <f>'Net zero emission summary'!AJ43</f>
        <v>53.680284142654159</v>
      </c>
      <c r="J39" s="85">
        <f>'Net zero emission summary'!AK43</f>
        <v>53.185580517007523</v>
      </c>
      <c r="K39" s="85">
        <f>'Net zero emission summary'!AL43</f>
        <v>52.728403644181718</v>
      </c>
      <c r="L39" s="85">
        <f>'Net zero emission summary'!AM43</f>
        <v>49.68230124427874</v>
      </c>
      <c r="M39" s="85">
        <f>'Net zero emission summary'!AN43</f>
        <v>49.843320248993834</v>
      </c>
      <c r="N39" s="85">
        <f>'Net zero emission summary'!AO43</f>
        <v>49.819396919135094</v>
      </c>
      <c r="O39" s="85">
        <f>'Net zero emission summary'!AP43</f>
        <v>49.735622470910293</v>
      </c>
      <c r="P39" s="85">
        <f>'Net zero emission summary'!AQ43</f>
        <v>49.738139973764305</v>
      </c>
      <c r="Q39" s="85">
        <f>'Net zero emission summary'!AR43</f>
        <v>49.68967294803064</v>
      </c>
      <c r="R39" s="85">
        <f>'Net zero emission summary'!AS43</f>
        <v>49.55030680196009</v>
      </c>
      <c r="S39" s="85">
        <f>'Net zero emission summary'!AT43</f>
        <v>49.379866779057963</v>
      </c>
      <c r="T39" s="85">
        <f>'Net zero emission summary'!AU43</f>
        <v>49.169001134067223</v>
      </c>
      <c r="U39" s="85">
        <f>'Net zero emission summary'!AV43</f>
        <v>49.092753032222745</v>
      </c>
      <c r="V39" s="85">
        <f>'Net zero emission summary'!AW43</f>
        <v>48.998701820685916</v>
      </c>
      <c r="W39" s="85">
        <f>'Net zero emission summary'!AX43</f>
        <v>48.875313268299259</v>
      </c>
      <c r="X39" s="85">
        <f>'Net zero emission summary'!AY43</f>
        <v>48.864902405813986</v>
      </c>
      <c r="Y39" s="85">
        <f>'Net zero emission summary'!AZ43</f>
        <v>48.896179339951509</v>
      </c>
      <c r="Z39" s="85">
        <f>'Net zero emission summary'!BA43</f>
        <v>49.036864905681703</v>
      </c>
      <c r="AA39" s="85">
        <f>'Net zero emission summary'!BB43</f>
        <v>48.957471716046868</v>
      </c>
      <c r="AB39" s="85">
        <f>'Net zero emission summary'!BC43</f>
        <v>48.821083957921708</v>
      </c>
      <c r="AC39" s="85">
        <f>'Net zero emission summary'!BD43</f>
        <v>48.72904554212748</v>
      </c>
      <c r="AD39" s="85">
        <f>'Net zero emission summary'!BE43</f>
        <v>48.593307058872234</v>
      </c>
      <c r="AE39" s="85">
        <f>'Net zero emission summary'!BF43</f>
        <v>48.471279565978406</v>
      </c>
      <c r="AF39" s="85">
        <f>'Net zero emission summary'!BG43</f>
        <v>48.333259086613879</v>
      </c>
      <c r="AG39" s="85">
        <f>'Net zero emission summary'!BH43</f>
        <v>48.558259322500845</v>
      </c>
      <c r="AH39" s="85">
        <f>'Net zero emission summary'!BI43</f>
        <v>48.737909969051316</v>
      </c>
      <c r="AI39" s="85">
        <f>'Net zero emission summary'!BJ43</f>
        <v>48.912459030268842</v>
      </c>
      <c r="AJ39" s="85">
        <f>'Net zero emission summary'!BK43</f>
        <v>49.092415348302481</v>
      </c>
      <c r="AK39" s="85">
        <f>'Net zero emission summary'!BL43</f>
        <v>49.280882581374343</v>
      </c>
      <c r="AL39" s="85">
        <f>'Net zero emission summary'!BM43</f>
        <v>49.541614048689361</v>
      </c>
      <c r="AM39" s="85">
        <f>'Net zero emission summary'!BN43</f>
        <v>49.535572391868783</v>
      </c>
      <c r="AN39" s="85">
        <f>'Net zero emission summary'!BO43</f>
        <v>49.499193799336759</v>
      </c>
      <c r="AO39" s="85">
        <f>'Net zero emission summary'!BP43</f>
        <v>49.462698357030362</v>
      </c>
      <c r="AP39" s="85">
        <f>'Net zero emission summary'!BQ43</f>
        <v>49.415406120630855</v>
      </c>
    </row>
    <row r="40" spans="1:42" x14ac:dyDescent="0.2">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6.5718769479322932</v>
      </c>
      <c r="H40" s="85">
        <f>'Net zero emission summary'!AI49</f>
        <v>6.5185214490709154</v>
      </c>
      <c r="I40" s="85">
        <f>'Net zero emission summary'!AJ49</f>
        <v>6.4445703159865921</v>
      </c>
      <c r="J40" s="85">
        <f>'Net zero emission summary'!AK49</f>
        <v>6.3913491075327142</v>
      </c>
      <c r="K40" s="85">
        <f>'Net zero emission summary'!AL49</f>
        <v>6.3428476696520812</v>
      </c>
      <c r="L40" s="85">
        <f>'Net zero emission summary'!AM49</f>
        <v>5.9713553481364752</v>
      </c>
      <c r="M40" s="85">
        <f>'Net zero emission summary'!AN49</f>
        <v>6.0101463738015166</v>
      </c>
      <c r="N40" s="85">
        <f>'Net zero emission summary'!AO49</f>
        <v>6.0223122560406885</v>
      </c>
      <c r="O40" s="85">
        <f>'Net zero emission summary'!AP49</f>
        <v>6.0273704604052831</v>
      </c>
      <c r="P40" s="85">
        <f>'Net zero emission summary'!AQ49</f>
        <v>6.043584766786644</v>
      </c>
      <c r="Q40" s="85">
        <f>'Net zero emission summary'!AR49</f>
        <v>6.053380062643023</v>
      </c>
      <c r="R40" s="85">
        <f>'Net zero emission summary'!AS49</f>
        <v>6.0509763075913261</v>
      </c>
      <c r="S40" s="85">
        <f>'Net zero emission summary'!AT49</f>
        <v>6.0446867274405083</v>
      </c>
      <c r="T40" s="85">
        <f>'Net zero emission summary'!AU49</f>
        <v>6.0331744502623552</v>
      </c>
      <c r="U40" s="85">
        <f>'Net zero emission summary'!AV49</f>
        <v>6.0391098812572039</v>
      </c>
      <c r="V40" s="85">
        <f>'Net zero emission summary'!AW49</f>
        <v>6.0425860125596849</v>
      </c>
      <c r="W40" s="85">
        <f>'Net zero emission summary'!AX49</f>
        <v>6.0329293107954003</v>
      </c>
      <c r="X40" s="85">
        <f>'Net zero emission summary'!AY49</f>
        <v>6.0380042601832553</v>
      </c>
      <c r="Y40" s="85">
        <f>'Net zero emission summary'!AZ49</f>
        <v>6.0484210140812804</v>
      </c>
      <c r="Z40" s="85">
        <f>'Net zero emission summary'!BA49</f>
        <v>6.0731670751035765</v>
      </c>
      <c r="AA40" s="85">
        <f>'Net zero emission summary'!BB49</f>
        <v>6.0689377337450621</v>
      </c>
      <c r="AB40" s="85">
        <f>'Net zero emission summary'!BC49</f>
        <v>6.0569962624474849</v>
      </c>
      <c r="AC40" s="85">
        <f>'Net zero emission summary'!BD49</f>
        <v>6.0509208518764019</v>
      </c>
      <c r="AD40" s="85">
        <f>'Net zero emission summary'!BE49</f>
        <v>6.0389929732907239</v>
      </c>
      <c r="AE40" s="85">
        <f>'Net zero emission summary'!BF49</f>
        <v>6.0288859762861078</v>
      </c>
      <c r="AF40" s="85">
        <f>'Net zero emission summary'!BG49</f>
        <v>6.016590033770834</v>
      </c>
      <c r="AG40" s="85">
        <f>'Net zero emission summary'!BH49</f>
        <v>6.0546020729183887</v>
      </c>
      <c r="AH40" s="85">
        <f>'Net zero emission summary'!BI49</f>
        <v>6.0867656356455155</v>
      </c>
      <c r="AI40" s="85">
        <f>'Net zero emission summary'!BJ49</f>
        <v>6.1185728703486557</v>
      </c>
      <c r="AJ40" s="85">
        <f>'Net zero emission summary'!BK49</f>
        <v>6.1513599995317856</v>
      </c>
      <c r="AK40" s="85">
        <f>'Net zero emission summary'!BL49</f>
        <v>6.185536242045794</v>
      </c>
      <c r="AL40" s="85">
        <f>'Net zero emission summary'!BM49</f>
        <v>6.229203117858277</v>
      </c>
      <c r="AM40" s="85">
        <f>'Net zero emission summary'!BN49</f>
        <v>6.2371684969553751</v>
      </c>
      <c r="AN40" s="85">
        <f>'Net zero emission summary'!BO49</f>
        <v>6.2415899554668011</v>
      </c>
      <c r="AO40" s="85">
        <f>'Net zero emission summary'!BP49</f>
        <v>6.2461525238121434</v>
      </c>
      <c r="AP40" s="85">
        <f>'Net zero emission summary'!BQ49</f>
        <v>6.2493664672358538</v>
      </c>
    </row>
    <row r="41" spans="1:42" x14ac:dyDescent="0.2">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1.5114628716679741</v>
      </c>
      <c r="F41" s="85">
        <f>'Net zero emission summary'!AG52</f>
        <v>1.5337636748745853</v>
      </c>
      <c r="G41" s="85">
        <f>'Net zero emission summary'!AH52</f>
        <v>1.5436359301289113</v>
      </c>
      <c r="H41" s="85">
        <f>'Net zero emission summary'!AI52</f>
        <v>1.5455830647924342</v>
      </c>
      <c r="I41" s="85">
        <f>'Net zero emission summary'!AJ52</f>
        <v>1.5396059638680233</v>
      </c>
      <c r="J41" s="85">
        <f>'Net zero emission summary'!AK52</f>
        <v>1.5406069398014894</v>
      </c>
      <c r="K41" s="85">
        <f>'Net zero emission summary'!AL52</f>
        <v>1.5429841908916506</v>
      </c>
      <c r="L41" s="85">
        <f>'Net zero emission summary'!AM52</f>
        <v>1.422252842344089</v>
      </c>
      <c r="M41" s="85">
        <f>'Net zero emission summary'!AN52</f>
        <v>1.4588849590689708</v>
      </c>
      <c r="N41" s="85">
        <f>'Net zero emission summary'!AO52</f>
        <v>1.4854626242378632</v>
      </c>
      <c r="O41" s="85">
        <f>'Net zero emission summary'!AP52</f>
        <v>1.509675320078407</v>
      </c>
      <c r="P41" s="85">
        <f>'Net zero emission summary'!AQ52</f>
        <v>1.5387628062554422</v>
      </c>
      <c r="Q41" s="85">
        <f>'Net zero emission summary'!AR52</f>
        <v>1.565736328532455</v>
      </c>
      <c r="R41" s="85">
        <f>'Net zero emission summary'!AS52</f>
        <v>1.5891598220769458</v>
      </c>
      <c r="S41" s="85">
        <f>'Net zero emission summary'!AT52</f>
        <v>1.6113229451110653</v>
      </c>
      <c r="T41" s="85">
        <f>'Net zero emission summary'!AU52</f>
        <v>1.6315913559873314</v>
      </c>
      <c r="U41" s="85">
        <f>'Net zero emission summary'!AV52</f>
        <v>1.6597239657494496</v>
      </c>
      <c r="V41" s="85">
        <f>'Net zero emission summary'!AW52</f>
        <v>1.6872797653049201</v>
      </c>
      <c r="W41" s="85">
        <f>'Net zero emission summary'!AX52</f>
        <v>1.7182891202340624</v>
      </c>
      <c r="X41" s="85">
        <f>'Net zero emission summary'!AY52</f>
        <v>1.7570513303797819</v>
      </c>
      <c r="Y41" s="85">
        <f>'Net zero emission summary'!AZ52</f>
        <v>1.7996392480202794</v>
      </c>
      <c r="Z41" s="85">
        <f>'Net zero emission summary'!BA52</f>
        <v>1.8506148656755534</v>
      </c>
      <c r="AA41" s="85">
        <f>'Net zero emission summary'!BB52</f>
        <v>1.8892745283769461</v>
      </c>
      <c r="AB41" s="85">
        <f>'Net zero emission summary'!BC52</f>
        <v>1.9264070271452056</v>
      </c>
      <c r="AC41" s="85">
        <f>'Net zero emission summary'!BD52</f>
        <v>1.9678882723558593</v>
      </c>
      <c r="AD41" s="85">
        <f>'Net zero emission summary'!BE52</f>
        <v>2.007841656625744</v>
      </c>
      <c r="AE41" s="85">
        <f>'Net zero emission summary'!BF52</f>
        <v>2.0502843131171447</v>
      </c>
      <c r="AF41" s="85">
        <f>'Net zero emission summary'!BG52</f>
        <v>2.0931631548274026</v>
      </c>
      <c r="AG41" s="85">
        <f>'Net zero emission summary'!BH52</f>
        <v>2.1426123825045189</v>
      </c>
      <c r="AH41" s="85">
        <f>'Net zero emission summary'!BI52</f>
        <v>2.189966347270238</v>
      </c>
      <c r="AI41" s="85">
        <f>'Net zero emission summary'!BJ52</f>
        <v>2.2383059061006976</v>
      </c>
      <c r="AJ41" s="85">
        <f>'Net zero emission summary'!BK52</f>
        <v>2.2884382503151128</v>
      </c>
      <c r="AK41" s="85">
        <f>'Net zero emission summary'!BL52</f>
        <v>2.3406780605967947</v>
      </c>
      <c r="AL41" s="85">
        <f>'Net zero emission summary'!BM52</f>
        <v>2.4010156527283106</v>
      </c>
      <c r="AM41" s="85">
        <f>'Net zero emission summary'!BN52</f>
        <v>2.4410291892958855</v>
      </c>
      <c r="AN41" s="85">
        <f>'Net zero emission summary'!BO52</f>
        <v>2.4798678900485709</v>
      </c>
      <c r="AO41" s="85">
        <f>'Net zero emission summary'!BP52</f>
        <v>2.5197398799081352</v>
      </c>
      <c r="AP41" s="85">
        <f>'Net zero emission summary'!BQ52</f>
        <v>2.5597188980550643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baseColWidth="10" defaultColWidth="8.83203125" defaultRowHeight="15" x14ac:dyDescent="0.2"/>
  <cols>
    <col min="1" max="1" width="44.5" customWidth="1"/>
    <col min="2" max="2" width="46.5" customWidth="1"/>
    <col min="3" max="3" width="37.5" customWidth="1"/>
    <col min="4" max="4" width="41" customWidth="1"/>
    <col min="6" max="6" width="35.6640625" customWidth="1"/>
  </cols>
  <sheetData>
    <row r="1" spans="1:6" ht="19" x14ac:dyDescent="0.25">
      <c r="A1" s="1" t="s">
        <v>7</v>
      </c>
    </row>
    <row r="3" spans="1:6" ht="17" x14ac:dyDescent="0.2">
      <c r="A3" s="132" t="s">
        <v>11</v>
      </c>
      <c r="B3" s="133"/>
      <c r="C3" s="133"/>
      <c r="D3" s="134"/>
    </row>
    <row r="4" spans="1:6" ht="16" x14ac:dyDescent="0.2">
      <c r="A4" s="2" t="s">
        <v>12</v>
      </c>
      <c r="B4" s="2" t="s">
        <v>13</v>
      </c>
      <c r="C4" s="2" t="s">
        <v>14</v>
      </c>
      <c r="D4" s="2" t="s">
        <v>70</v>
      </c>
      <c r="F4" s="10" t="s">
        <v>96</v>
      </c>
    </row>
    <row r="5" spans="1:6" ht="15" customHeight="1" x14ac:dyDescent="0.2">
      <c r="A5" s="8" t="s">
        <v>15</v>
      </c>
      <c r="B5" s="4" t="s">
        <v>16</v>
      </c>
      <c r="C5" s="3" t="s">
        <v>17</v>
      </c>
      <c r="D5" s="3" t="s">
        <v>6</v>
      </c>
      <c r="F5" t="s">
        <v>97</v>
      </c>
    </row>
    <row r="6" spans="1:6" ht="15" customHeight="1" x14ac:dyDescent="0.2">
      <c r="A6" s="8"/>
      <c r="B6" s="4"/>
      <c r="C6" s="3"/>
      <c r="D6" s="3" t="s">
        <v>67</v>
      </c>
      <c r="F6" t="s">
        <v>98</v>
      </c>
    </row>
    <row r="7" spans="1:6" x14ac:dyDescent="0.2">
      <c r="A7" s="6"/>
      <c r="B7" s="4"/>
      <c r="C7" s="3" t="s">
        <v>18</v>
      </c>
      <c r="D7" s="3"/>
      <c r="F7" t="s">
        <v>99</v>
      </c>
    </row>
    <row r="8" spans="1:6" x14ac:dyDescent="0.2">
      <c r="A8" s="6"/>
      <c r="B8" s="4"/>
      <c r="C8" s="3" t="s">
        <v>19</v>
      </c>
      <c r="D8" s="3"/>
      <c r="F8" t="s">
        <v>100</v>
      </c>
    </row>
    <row r="9" spans="1:6" x14ac:dyDescent="0.2">
      <c r="A9" s="6"/>
      <c r="B9" s="4"/>
      <c r="C9" s="3" t="s">
        <v>20</v>
      </c>
      <c r="D9" s="3"/>
      <c r="F9" t="s">
        <v>101</v>
      </c>
    </row>
    <row r="10" spans="1:6" x14ac:dyDescent="0.2">
      <c r="A10" s="6"/>
      <c r="B10" s="4"/>
      <c r="C10" s="3" t="s">
        <v>140</v>
      </c>
      <c r="D10" s="3"/>
      <c r="F10" t="s">
        <v>102</v>
      </c>
    </row>
    <row r="11" spans="1:6" x14ac:dyDescent="0.2">
      <c r="A11" s="6"/>
      <c r="B11" s="4"/>
      <c r="C11" s="3" t="s">
        <v>21</v>
      </c>
      <c r="D11" s="3"/>
      <c r="F11" t="s">
        <v>103</v>
      </c>
    </row>
    <row r="12" spans="1:6" x14ac:dyDescent="0.2">
      <c r="A12" s="6"/>
      <c r="B12" s="4" t="s">
        <v>22</v>
      </c>
      <c r="C12" s="3" t="s">
        <v>23</v>
      </c>
      <c r="D12" s="3" t="s">
        <v>68</v>
      </c>
      <c r="F12" t="s">
        <v>104</v>
      </c>
    </row>
    <row r="13" spans="1:6" x14ac:dyDescent="0.2">
      <c r="A13" s="6"/>
      <c r="B13" s="4"/>
      <c r="C13" s="3"/>
      <c r="D13" s="3" t="s">
        <v>69</v>
      </c>
      <c r="F13" t="s">
        <v>105</v>
      </c>
    </row>
    <row r="14" spans="1:6" x14ac:dyDescent="0.2">
      <c r="A14" s="6"/>
      <c r="B14" s="4"/>
      <c r="C14" s="3" t="s">
        <v>24</v>
      </c>
      <c r="D14" s="3"/>
      <c r="F14" t="s">
        <v>106</v>
      </c>
    </row>
    <row r="15" spans="1:6" x14ac:dyDescent="0.2">
      <c r="A15" s="6"/>
      <c r="B15" s="4"/>
      <c r="C15" s="3" t="s">
        <v>25</v>
      </c>
      <c r="D15" s="3"/>
      <c r="F15" t="s">
        <v>107</v>
      </c>
    </row>
    <row r="16" spans="1:6" x14ac:dyDescent="0.2">
      <c r="A16" s="6"/>
      <c r="B16" s="4"/>
      <c r="C16" s="3" t="s">
        <v>26</v>
      </c>
      <c r="D16" s="3"/>
      <c r="F16" t="s">
        <v>108</v>
      </c>
    </row>
    <row r="17" spans="1:6" x14ac:dyDescent="0.2">
      <c r="A17" s="6"/>
      <c r="B17" s="4"/>
      <c r="C17" s="3" t="s">
        <v>141</v>
      </c>
      <c r="D17" s="3"/>
      <c r="F17" t="s">
        <v>110</v>
      </c>
    </row>
    <row r="18" spans="1:6" x14ac:dyDescent="0.2">
      <c r="A18" s="6"/>
      <c r="B18" s="4"/>
      <c r="C18" s="3" t="s">
        <v>27</v>
      </c>
      <c r="D18" s="3"/>
      <c r="F18" t="s">
        <v>111</v>
      </c>
    </row>
    <row r="19" spans="1:6" x14ac:dyDescent="0.2">
      <c r="A19" s="6"/>
      <c r="B19" s="4"/>
      <c r="C19" s="3" t="s">
        <v>28</v>
      </c>
      <c r="D19" s="3"/>
      <c r="F19" t="s">
        <v>112</v>
      </c>
    </row>
    <row r="20" spans="1:6" x14ac:dyDescent="0.2">
      <c r="A20" s="6"/>
      <c r="B20" s="4" t="s">
        <v>657</v>
      </c>
      <c r="C20" s="3" t="s">
        <v>23</v>
      </c>
      <c r="D20" s="3" t="s">
        <v>68</v>
      </c>
      <c r="F20" t="s">
        <v>113</v>
      </c>
    </row>
    <row r="21" spans="1:6" x14ac:dyDescent="0.2">
      <c r="A21" s="6"/>
      <c r="B21" s="4"/>
      <c r="C21" s="3"/>
      <c r="D21" s="3" t="s">
        <v>69</v>
      </c>
      <c r="F21" t="s">
        <v>114</v>
      </c>
    </row>
    <row r="22" spans="1:6" x14ac:dyDescent="0.2">
      <c r="A22" s="6"/>
      <c r="B22" s="4"/>
      <c r="C22" s="3" t="s">
        <v>24</v>
      </c>
      <c r="D22" s="3"/>
      <c r="F22" t="s">
        <v>115</v>
      </c>
    </row>
    <row r="23" spans="1:6" x14ac:dyDescent="0.2">
      <c r="A23" s="6"/>
      <c r="B23" s="4"/>
      <c r="C23" s="3" t="s">
        <v>25</v>
      </c>
      <c r="D23" s="3"/>
      <c r="F23" t="s">
        <v>116</v>
      </c>
    </row>
    <row r="24" spans="1:6" x14ac:dyDescent="0.2">
      <c r="A24" s="6"/>
      <c r="B24" s="4"/>
      <c r="C24" s="3" t="s">
        <v>26</v>
      </c>
      <c r="D24" s="3"/>
      <c r="F24" t="s">
        <v>117</v>
      </c>
    </row>
    <row r="25" spans="1:6" x14ac:dyDescent="0.2">
      <c r="A25" s="6"/>
      <c r="B25" s="4"/>
      <c r="C25" s="3" t="s">
        <v>141</v>
      </c>
      <c r="D25" s="3"/>
      <c r="F25" t="s">
        <v>118</v>
      </c>
    </row>
    <row r="26" spans="1:6" x14ac:dyDescent="0.2">
      <c r="A26" s="6"/>
      <c r="B26" s="4"/>
      <c r="C26" s="3" t="s">
        <v>27</v>
      </c>
      <c r="D26" s="3"/>
      <c r="F26" t="s">
        <v>119</v>
      </c>
    </row>
    <row r="27" spans="1:6" x14ac:dyDescent="0.2">
      <c r="A27" s="6"/>
      <c r="B27" s="4"/>
      <c r="C27" s="3" t="s">
        <v>28</v>
      </c>
      <c r="D27" s="3"/>
      <c r="F27" t="s">
        <v>62</v>
      </c>
    </row>
    <row r="28" spans="1:6" ht="16.5" customHeight="1" x14ac:dyDescent="0.2">
      <c r="A28" s="8" t="s">
        <v>29</v>
      </c>
      <c r="B28" s="4" t="s">
        <v>30</v>
      </c>
      <c r="C28" s="3" t="s">
        <v>31</v>
      </c>
      <c r="D28" s="3"/>
      <c r="F28" t="s">
        <v>63</v>
      </c>
    </row>
    <row r="29" spans="1:6" x14ac:dyDescent="0.2">
      <c r="A29" s="6"/>
      <c r="B29" s="4"/>
      <c r="C29" s="3" t="s">
        <v>32</v>
      </c>
      <c r="D29" s="3" t="s">
        <v>71</v>
      </c>
      <c r="F29" t="s">
        <v>120</v>
      </c>
    </row>
    <row r="30" spans="1:6" x14ac:dyDescent="0.2">
      <c r="A30" s="6"/>
      <c r="B30" s="4"/>
      <c r="C30" s="3"/>
      <c r="D30" s="3" t="s">
        <v>72</v>
      </c>
    </row>
    <row r="31" spans="1:6" x14ac:dyDescent="0.2">
      <c r="A31" s="6"/>
      <c r="B31" s="4"/>
      <c r="C31" s="3"/>
      <c r="D31" s="3" t="s">
        <v>73</v>
      </c>
      <c r="F31" t="s">
        <v>1</v>
      </c>
    </row>
    <row r="32" spans="1:6" x14ac:dyDescent="0.2">
      <c r="A32" s="6"/>
      <c r="B32" s="4"/>
      <c r="C32" s="3"/>
      <c r="D32" s="3" t="s">
        <v>74</v>
      </c>
      <c r="F32" t="s">
        <v>97</v>
      </c>
    </row>
    <row r="33" spans="1:6" x14ac:dyDescent="0.2">
      <c r="A33" s="6"/>
      <c r="B33" s="4"/>
      <c r="C33" s="3"/>
      <c r="D33" s="3" t="s">
        <v>75</v>
      </c>
      <c r="F33" t="s">
        <v>98</v>
      </c>
    </row>
    <row r="34" spans="1:6" x14ac:dyDescent="0.2">
      <c r="A34" s="6"/>
      <c r="B34" s="4" t="s">
        <v>33</v>
      </c>
      <c r="C34" s="3" t="s">
        <v>34</v>
      </c>
      <c r="D34" s="3"/>
    </row>
    <row r="35" spans="1:6" x14ac:dyDescent="0.2">
      <c r="A35" s="6"/>
      <c r="B35" s="4"/>
      <c r="C35" s="3" t="s">
        <v>35</v>
      </c>
      <c r="D35" s="3" t="s">
        <v>76</v>
      </c>
    </row>
    <row r="36" spans="1:6" x14ac:dyDescent="0.2">
      <c r="A36" s="6"/>
      <c r="B36" s="4"/>
      <c r="C36" s="3"/>
      <c r="D36" s="3" t="s">
        <v>77</v>
      </c>
      <c r="F36" t="s">
        <v>122</v>
      </c>
    </row>
    <row r="37" spans="1:6" x14ac:dyDescent="0.2">
      <c r="A37" s="6"/>
      <c r="B37" s="4"/>
      <c r="C37" s="3"/>
      <c r="D37" s="3" t="s">
        <v>78</v>
      </c>
      <c r="F37" t="s">
        <v>123</v>
      </c>
    </row>
    <row r="38" spans="1:6" x14ac:dyDescent="0.2">
      <c r="A38" s="6"/>
      <c r="B38" s="4"/>
      <c r="C38" s="3"/>
      <c r="D38" s="3" t="s">
        <v>79</v>
      </c>
      <c r="F38" t="s">
        <v>135</v>
      </c>
    </row>
    <row r="39" spans="1:6" x14ac:dyDescent="0.2">
      <c r="A39" s="6"/>
      <c r="B39" s="4"/>
      <c r="C39" s="3"/>
      <c r="D39" s="3" t="s">
        <v>80</v>
      </c>
      <c r="F39" t="s">
        <v>136</v>
      </c>
    </row>
    <row r="40" spans="1:6" x14ac:dyDescent="0.2">
      <c r="A40" s="6"/>
      <c r="B40" s="131" t="s">
        <v>36</v>
      </c>
      <c r="C40" s="3" t="s">
        <v>37</v>
      </c>
      <c r="D40" s="3"/>
      <c r="F40" t="s">
        <v>137</v>
      </c>
    </row>
    <row r="41" spans="1:6" x14ac:dyDescent="0.2">
      <c r="A41" s="6"/>
      <c r="B41" s="131"/>
      <c r="C41" s="3" t="s">
        <v>38</v>
      </c>
      <c r="D41" s="3" t="s">
        <v>81</v>
      </c>
      <c r="F41" t="s">
        <v>307</v>
      </c>
    </row>
    <row r="42" spans="1:6" x14ac:dyDescent="0.2">
      <c r="A42" s="6"/>
      <c r="B42" s="4"/>
      <c r="C42" s="3"/>
      <c r="D42" s="3" t="s">
        <v>82</v>
      </c>
      <c r="F42" t="s">
        <v>3</v>
      </c>
    </row>
    <row r="43" spans="1:6" x14ac:dyDescent="0.2">
      <c r="A43" s="6"/>
      <c r="B43" s="4"/>
      <c r="C43" s="3"/>
      <c r="D43" s="3" t="s">
        <v>83</v>
      </c>
      <c r="F43" t="s">
        <v>124</v>
      </c>
    </row>
    <row r="44" spans="1:6" x14ac:dyDescent="0.2">
      <c r="A44" s="6"/>
      <c r="B44" s="4"/>
      <c r="C44" s="3"/>
      <c r="D44" s="3" t="s">
        <v>84</v>
      </c>
      <c r="F44" t="s">
        <v>125</v>
      </c>
    </row>
    <row r="45" spans="1:6" x14ac:dyDescent="0.2">
      <c r="A45" s="6"/>
      <c r="B45" s="4"/>
      <c r="C45" s="3"/>
      <c r="D45" s="3" t="s">
        <v>85</v>
      </c>
      <c r="F45" t="s">
        <v>126</v>
      </c>
    </row>
    <row r="46" spans="1:6" x14ac:dyDescent="0.2">
      <c r="A46" s="6"/>
      <c r="B46" s="4" t="s">
        <v>39</v>
      </c>
      <c r="C46" s="5" t="s">
        <v>39</v>
      </c>
      <c r="D46" s="5"/>
      <c r="F46" t="s">
        <v>127</v>
      </c>
    </row>
    <row r="47" spans="1:6" ht="14.25" customHeight="1" x14ac:dyDescent="0.2">
      <c r="A47" s="6"/>
      <c r="B47" s="4" t="s">
        <v>40</v>
      </c>
      <c r="C47" s="3" t="s">
        <v>41</v>
      </c>
      <c r="D47" s="3"/>
      <c r="F47" t="s">
        <v>128</v>
      </c>
    </row>
    <row r="48" spans="1:6" x14ac:dyDescent="0.2">
      <c r="A48" s="6"/>
      <c r="B48" s="4"/>
      <c r="C48" s="3" t="s">
        <v>42</v>
      </c>
      <c r="D48" s="3" t="s">
        <v>86</v>
      </c>
      <c r="F48" t="s">
        <v>129</v>
      </c>
    </row>
    <row r="49" spans="1:7" x14ac:dyDescent="0.2">
      <c r="A49" s="6"/>
      <c r="B49" s="4"/>
      <c r="C49" s="3"/>
      <c r="D49" s="3" t="s">
        <v>87</v>
      </c>
      <c r="F49" t="s">
        <v>130</v>
      </c>
    </row>
    <row r="50" spans="1:7" x14ac:dyDescent="0.2">
      <c r="A50" s="6"/>
      <c r="B50" s="4"/>
      <c r="C50" s="3"/>
      <c r="D50" s="3" t="s">
        <v>88</v>
      </c>
      <c r="F50" t="s">
        <v>131</v>
      </c>
    </row>
    <row r="51" spans="1:7" x14ac:dyDescent="0.2">
      <c r="A51" s="6"/>
      <c r="B51" s="4"/>
      <c r="C51" s="3"/>
      <c r="D51" s="3" t="s">
        <v>89</v>
      </c>
      <c r="F51" t="s">
        <v>132</v>
      </c>
    </row>
    <row r="52" spans="1:7" x14ac:dyDescent="0.2">
      <c r="A52" s="6"/>
      <c r="B52" s="4"/>
      <c r="C52" s="3"/>
      <c r="D52" s="3" t="s">
        <v>90</v>
      </c>
      <c r="F52" t="s">
        <v>134</v>
      </c>
    </row>
    <row r="53" spans="1:7" x14ac:dyDescent="0.2">
      <c r="A53" s="6"/>
      <c r="B53" s="4" t="s">
        <v>43</v>
      </c>
      <c r="C53" s="3" t="s">
        <v>109</v>
      </c>
      <c r="D53" s="3"/>
      <c r="F53" t="s">
        <v>133</v>
      </c>
    </row>
    <row r="54" spans="1:7" x14ac:dyDescent="0.2">
      <c r="A54" s="6"/>
      <c r="B54" s="4"/>
      <c r="C54" s="3" t="s">
        <v>44</v>
      </c>
      <c r="D54" s="3" t="s">
        <v>91</v>
      </c>
    </row>
    <row r="55" spans="1:7" x14ac:dyDescent="0.2">
      <c r="A55" s="6"/>
      <c r="B55" s="4"/>
      <c r="C55" s="3"/>
      <c r="D55" s="3" t="s">
        <v>92</v>
      </c>
      <c r="F55" t="s">
        <v>294</v>
      </c>
    </row>
    <row r="56" spans="1:7" x14ac:dyDescent="0.2">
      <c r="A56" s="6"/>
      <c r="B56" s="4"/>
      <c r="C56" s="3"/>
      <c r="D56" s="3" t="s">
        <v>93</v>
      </c>
      <c r="F56" t="s">
        <v>295</v>
      </c>
    </row>
    <row r="57" spans="1:7" x14ac:dyDescent="0.2">
      <c r="A57" s="6"/>
      <c r="B57" s="4"/>
      <c r="C57" s="3"/>
      <c r="D57" s="3" t="s">
        <v>94</v>
      </c>
      <c r="F57" t="s">
        <v>296</v>
      </c>
    </row>
    <row r="58" spans="1:7" x14ac:dyDescent="0.2">
      <c r="A58" s="6"/>
      <c r="B58" s="4"/>
      <c r="C58" s="3"/>
      <c r="D58" s="3" t="s">
        <v>95</v>
      </c>
      <c r="F58" t="s">
        <v>297</v>
      </c>
    </row>
    <row r="59" spans="1:7" ht="15" customHeight="1" x14ac:dyDescent="0.2">
      <c r="A59" s="9" t="s">
        <v>369</v>
      </c>
      <c r="B59" s="4" t="s">
        <v>45</v>
      </c>
      <c r="C59" s="3" t="s">
        <v>46</v>
      </c>
      <c r="D59" s="3"/>
      <c r="F59" t="s">
        <v>303</v>
      </c>
    </row>
    <row r="60" spans="1:7" x14ac:dyDescent="0.2">
      <c r="A60" s="7"/>
      <c r="B60" s="4"/>
      <c r="C60" s="3" t="s">
        <v>47</v>
      </c>
      <c r="D60" s="3"/>
      <c r="F60" t="s">
        <v>299</v>
      </c>
    </row>
    <row r="61" spans="1:7" x14ac:dyDescent="0.2">
      <c r="A61" s="7"/>
      <c r="B61" s="4"/>
      <c r="C61" s="3" t="s">
        <v>48</v>
      </c>
      <c r="D61" s="3"/>
      <c r="F61" t="s">
        <v>300</v>
      </c>
    </row>
    <row r="62" spans="1:7" x14ac:dyDescent="0.2">
      <c r="A62" s="7"/>
      <c r="B62" s="4"/>
      <c r="C62" s="3" t="s">
        <v>49</v>
      </c>
      <c r="D62" s="3"/>
      <c r="F62" t="s">
        <v>301</v>
      </c>
    </row>
    <row r="63" spans="1:7" x14ac:dyDescent="0.2">
      <c r="A63" s="7"/>
      <c r="B63" s="4"/>
      <c r="C63" s="3" t="s">
        <v>50</v>
      </c>
      <c r="D63" s="3"/>
      <c r="F63" t="s">
        <v>302</v>
      </c>
    </row>
    <row r="64" spans="1:7" x14ac:dyDescent="0.2">
      <c r="A64" s="7"/>
      <c r="B64" s="4"/>
      <c r="C64" s="3" t="s">
        <v>51</v>
      </c>
      <c r="D64" s="3"/>
      <c r="F64" t="s">
        <v>304</v>
      </c>
      <c r="G64" t="s">
        <v>306</v>
      </c>
    </row>
    <row r="65" spans="1:6" x14ac:dyDescent="0.2">
      <c r="A65" s="7"/>
      <c r="B65" s="4" t="s">
        <v>52</v>
      </c>
      <c r="C65" s="3" t="s">
        <v>46</v>
      </c>
      <c r="D65" s="3"/>
      <c r="F65" t="s">
        <v>98</v>
      </c>
    </row>
    <row r="66" spans="1:6" x14ac:dyDescent="0.2">
      <c r="A66" s="7"/>
      <c r="B66" s="4"/>
      <c r="C66" s="3" t="s">
        <v>47</v>
      </c>
      <c r="D66" s="3"/>
    </row>
    <row r="67" spans="1:6" x14ac:dyDescent="0.2">
      <c r="A67" s="7"/>
      <c r="B67" s="4"/>
      <c r="C67" s="3" t="s">
        <v>48</v>
      </c>
      <c r="D67" s="3"/>
      <c r="F67" t="s">
        <v>786</v>
      </c>
    </row>
    <row r="68" spans="1:6" x14ac:dyDescent="0.2">
      <c r="A68" s="7"/>
      <c r="B68" s="4"/>
      <c r="C68" s="3" t="s">
        <v>49</v>
      </c>
      <c r="D68" s="3"/>
      <c r="F68" t="s">
        <v>787</v>
      </c>
    </row>
    <row r="69" spans="1:6" x14ac:dyDescent="0.2">
      <c r="A69" s="7"/>
      <c r="B69" s="4"/>
      <c r="C69" s="3" t="s">
        <v>50</v>
      </c>
      <c r="D69" s="3"/>
      <c r="F69" t="s">
        <v>788</v>
      </c>
    </row>
    <row r="70" spans="1:6" x14ac:dyDescent="0.2">
      <c r="A70" s="7"/>
      <c r="B70" s="4"/>
      <c r="C70" s="3" t="s">
        <v>51</v>
      </c>
      <c r="D70" s="3"/>
      <c r="F70" t="s">
        <v>789</v>
      </c>
    </row>
    <row r="71" spans="1:6" x14ac:dyDescent="0.2">
      <c r="A71" s="7"/>
      <c r="B71" s="3" t="s">
        <v>53</v>
      </c>
      <c r="C71" s="5" t="s">
        <v>53</v>
      </c>
      <c r="D71" s="5"/>
      <c r="F71" t="s">
        <v>790</v>
      </c>
    </row>
    <row r="72" spans="1:6" x14ac:dyDescent="0.2">
      <c r="A72" s="7"/>
      <c r="B72" s="3" t="s">
        <v>54</v>
      </c>
      <c r="C72" s="5" t="s">
        <v>54</v>
      </c>
      <c r="D72" s="5"/>
      <c r="F72" t="s">
        <v>791</v>
      </c>
    </row>
    <row r="73" spans="1:6" ht="24.75" customHeight="1" x14ac:dyDescent="0.2">
      <c r="A73" s="7"/>
      <c r="B73" s="4" t="s">
        <v>55</v>
      </c>
      <c r="C73" s="3" t="s">
        <v>56</v>
      </c>
      <c r="D73" s="3"/>
    </row>
    <row r="74" spans="1:6" x14ac:dyDescent="0.2">
      <c r="A74" s="7"/>
      <c r="B74" s="4"/>
      <c r="C74" s="3" t="s">
        <v>57</v>
      </c>
      <c r="D74" s="3"/>
    </row>
    <row r="75" spans="1:6" x14ac:dyDescent="0.2">
      <c r="A75" s="7"/>
      <c r="B75" s="4"/>
      <c r="C75" s="3" t="s">
        <v>58</v>
      </c>
      <c r="D75" s="3"/>
    </row>
    <row r="76" spans="1:6" x14ac:dyDescent="0.2">
      <c r="A76" s="7"/>
      <c r="B76" s="4"/>
      <c r="C76" s="3" t="s">
        <v>59</v>
      </c>
      <c r="D76" s="3"/>
    </row>
    <row r="77" spans="1:6" x14ac:dyDescent="0.2">
      <c r="A77" s="7"/>
      <c r="B77" s="4"/>
      <c r="C77" s="3" t="s">
        <v>60</v>
      </c>
      <c r="D77" s="3"/>
    </row>
    <row r="78" spans="1:6" ht="16.5" customHeight="1" x14ac:dyDescent="0.2">
      <c r="A78" s="7"/>
      <c r="B78" s="4" t="s">
        <v>61</v>
      </c>
      <c r="C78" s="3" t="s">
        <v>62</v>
      </c>
      <c r="D78" s="3"/>
    </row>
    <row r="79" spans="1:6" x14ac:dyDescent="0.2">
      <c r="A79" s="7"/>
      <c r="B79" s="4"/>
      <c r="C79" s="3" t="s">
        <v>63</v>
      </c>
      <c r="D79" s="3"/>
    </row>
    <row r="80" spans="1:6" x14ac:dyDescent="0.2">
      <c r="A80" s="7"/>
      <c r="B80" s="4" t="s">
        <v>64</v>
      </c>
      <c r="C80" s="3" t="s">
        <v>62</v>
      </c>
      <c r="D80" s="3"/>
    </row>
    <row r="81" spans="1:4" x14ac:dyDescent="0.2">
      <c r="A81" s="7"/>
      <c r="B81" s="4"/>
      <c r="C81" s="3" t="s">
        <v>63</v>
      </c>
      <c r="D81" s="3"/>
    </row>
    <row r="82" spans="1:4" x14ac:dyDescent="0.2">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baseColWidth="10" defaultColWidth="8.83203125" defaultRowHeight="15" outlineLevelCol="1" x14ac:dyDescent="0.2"/>
  <cols>
    <col min="1" max="1" width="19.1640625" customWidth="1"/>
    <col min="2" max="2" width="12.83203125" customWidth="1"/>
    <col min="3" max="3" width="28.5" customWidth="1"/>
    <col min="4" max="23" width="12.6640625" customWidth="1" outlineLevel="1"/>
    <col min="24" max="30" width="12.6640625" customWidth="1"/>
    <col min="31" max="31" width="13.83203125" customWidth="1"/>
    <col min="32" max="34" width="12.6640625" customWidth="1"/>
  </cols>
  <sheetData>
    <row r="1" spans="1:68" ht="19" x14ac:dyDescent="0.25">
      <c r="A1" s="1" t="s">
        <v>316</v>
      </c>
    </row>
    <row r="2" spans="1:68" x14ac:dyDescent="0.2">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2">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2">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2">
      <c r="A5" t="s">
        <v>809</v>
      </c>
      <c r="B5" t="s">
        <v>747</v>
      </c>
      <c r="C5" t="s">
        <v>810</v>
      </c>
      <c r="D5" s="21">
        <f t="shared" ref="D5:Y5" si="0">E5/(1+E7)</f>
        <v>1973.3467312264654</v>
      </c>
      <c r="E5" s="21">
        <f t="shared" si="0"/>
        <v>2032.5471331632593</v>
      </c>
      <c r="F5" s="21">
        <f t="shared" si="0"/>
        <v>2093.5235471581573</v>
      </c>
      <c r="G5" s="21">
        <f t="shared" si="0"/>
        <v>2156.329253572902</v>
      </c>
      <c r="H5" s="21">
        <f t="shared" si="0"/>
        <v>2221.0191311800891</v>
      </c>
      <c r="I5" s="21">
        <f t="shared" si="0"/>
        <v>2287.649705115492</v>
      </c>
      <c r="J5" s="21">
        <f t="shared" si="0"/>
        <v>2383.7309927303427</v>
      </c>
      <c r="K5" s="21">
        <f t="shared" si="0"/>
        <v>2445.7079985413316</v>
      </c>
      <c r="L5" s="21">
        <f t="shared" si="0"/>
        <v>2462.8279545311207</v>
      </c>
      <c r="M5" s="21">
        <f t="shared" si="0"/>
        <v>2529.3243093034607</v>
      </c>
      <c r="N5" s="21">
        <f t="shared" si="0"/>
        <v>2640.6145789128132</v>
      </c>
      <c r="O5" s="21">
        <f t="shared" si="0"/>
        <v>2717.1924017012843</v>
      </c>
      <c r="P5" s="21">
        <f t="shared" si="0"/>
        <v>2820.4571329417822</v>
      </c>
      <c r="Q5" s="21">
        <f t="shared" si="0"/>
        <v>2904.5482054520685</v>
      </c>
      <c r="R5" s="21">
        <f t="shared" si="0"/>
        <v>3035.185414250906</v>
      </c>
      <c r="S5" s="21">
        <f t="shared" si="0"/>
        <v>3196.4274968684231</v>
      </c>
      <c r="T5" s="21">
        <f t="shared" si="0"/>
        <v>3373.0676278793562</v>
      </c>
      <c r="U5" s="21">
        <f t="shared" si="0"/>
        <v>3561.4766916114604</v>
      </c>
      <c r="V5" s="21">
        <f t="shared" si="0"/>
        <v>3695.4560573774293</v>
      </c>
      <c r="W5" s="21">
        <f t="shared" si="0"/>
        <v>3645.8533384634275</v>
      </c>
      <c r="X5" s="21">
        <f t="shared" si="0"/>
        <v>3758.1348855173342</v>
      </c>
      <c r="Y5" s="21">
        <f t="shared" si="0"/>
        <v>3887.0947593435435</v>
      </c>
      <c r="Z5" s="21">
        <f t="shared" ref="Z5" si="1">AA5/(1+AA7)</f>
        <v>3981.890793900282</v>
      </c>
      <c r="AA5" s="21">
        <f t="shared" ref="AA5" si="2">AB5/(1+AB7)</f>
        <v>4070.0241652364621</v>
      </c>
      <c r="AB5" s="21">
        <f t="shared" ref="AB5" si="3">AC5/(1+AC7)</f>
        <v>4176.4054767154994</v>
      </c>
      <c r="AC5" s="21">
        <f t="shared" ref="AC5" si="4">AD5/(1+AD7)</f>
        <v>4250.9837176438377</v>
      </c>
      <c r="AD5" s="21">
        <f t="shared" ref="AD5" si="5">AE5/(1+AE7)</f>
        <v>4304.4537543880824</v>
      </c>
      <c r="AE5" s="21">
        <f t="shared" ref="AE5" si="6">AF5/(1+AF7)</f>
        <v>4336.2905989385681</v>
      </c>
      <c r="AF5" s="21">
        <f t="shared" ref="AF5" si="7">AG5/(1+AG7)</f>
        <v>4385.0223641613065</v>
      </c>
      <c r="AG5" s="22">
        <f>SUM(DriversCGE!B8:B26)</f>
        <v>4436.3982939759544</v>
      </c>
      <c r="AH5" s="22">
        <f>SUM(DriversCGE!C8:C26)</f>
        <v>4156.2728017481613</v>
      </c>
      <c r="AI5" s="22">
        <f>SUM(DriversCGE!D8:D26)</f>
        <v>4292.7802582071135</v>
      </c>
      <c r="AJ5" s="22">
        <f>SUM(DriversCGE!E8:E26)</f>
        <v>4402.7416644682926</v>
      </c>
      <c r="AK5" s="22">
        <f>SUM(DriversCGE!F8:F26)</f>
        <v>4506.6522866755968</v>
      </c>
      <c r="AL5" s="22">
        <f>SUM(DriversCGE!G8:G26)</f>
        <v>4624.4616234089108</v>
      </c>
      <c r="AM5" s="22">
        <f>SUM(DriversCGE!H8:H26)</f>
        <v>4736.9371254620664</v>
      </c>
      <c r="AN5" s="22">
        <f>SUM(DriversCGE!I8:I26)</f>
        <v>4838.6693190715232</v>
      </c>
      <c r="AO5" s="22">
        <f>SUM(DriversCGE!J8:J26)</f>
        <v>4937.15879604775</v>
      </c>
      <c r="AP5" s="22">
        <f>SUM(DriversCGE!K8:K26)</f>
        <v>5030.5211875741088</v>
      </c>
      <c r="AQ5" s="22">
        <f>SUM(DriversCGE!L8:L26)</f>
        <v>5146.7393773479425</v>
      </c>
      <c r="AR5" s="22">
        <f>SUM(DriversCGE!M8:M26)</f>
        <v>5261.814770496554</v>
      </c>
      <c r="AS5" s="22">
        <f>SUM(DriversCGE!N8:N26)</f>
        <v>5386.0302026924664</v>
      </c>
      <c r="AT5" s="22">
        <f>SUM(DriversCGE!O8:O26)</f>
        <v>5533.5434184294872</v>
      </c>
      <c r="AU5" s="22">
        <f>SUM(DriversCGE!P8:P26)</f>
        <v>5693.165940033562</v>
      </c>
      <c r="AV5" s="22">
        <f>SUM(DriversCGE!Q8:Q26)</f>
        <v>5878.6264079251323</v>
      </c>
      <c r="AW5" s="22">
        <f>SUM(DriversCGE!R8:R26)</f>
        <v>6028.5040303763617</v>
      </c>
      <c r="AX5" s="22">
        <f>SUM(DriversCGE!S8:S26)</f>
        <v>6173.623980618635</v>
      </c>
      <c r="AY5" s="22">
        <f>SUM(DriversCGE!T8:T26)</f>
        <v>6332.5608499892578</v>
      </c>
      <c r="AZ5" s="22">
        <f>SUM(DriversCGE!U8:U26)</f>
        <v>6487.6708635825025</v>
      </c>
      <c r="BA5" s="22">
        <f>SUM(DriversCGE!V8:V26)</f>
        <v>6651.1225038391303</v>
      </c>
      <c r="BB5" s="22">
        <f>SUM(DriversCGE!W8:W26)</f>
        <v>6816.7187595391179</v>
      </c>
      <c r="BC5" s="22">
        <f>SUM(DriversCGE!X8:X26)</f>
        <v>7002.9606728944136</v>
      </c>
      <c r="BD5" s="22">
        <f>SUM(DriversCGE!Y8:Y26)</f>
        <v>7183.7457593880745</v>
      </c>
      <c r="BE5" s="22">
        <f>SUM(DriversCGE!Z8:Z26)</f>
        <v>7368.5504064157822</v>
      </c>
      <c r="BF5" s="22">
        <f>SUM(DriversCGE!AA8:AA26)</f>
        <v>7559.9252256994059</v>
      </c>
      <c r="BG5" s="22">
        <f>SUM(DriversCGE!AB8:AB26)</f>
        <v>7758.9193838494211</v>
      </c>
      <c r="BH5" s="22">
        <f>SUM(DriversCGE!AC8:AC26)</f>
        <v>7983.6552762278134</v>
      </c>
      <c r="BI5" s="22">
        <f>SUM(DriversCGE!AD8:AD26)</f>
        <v>8145.1866115068451</v>
      </c>
      <c r="BJ5" s="22">
        <f>SUM(DriversCGE!AE8:AE26)</f>
        <v>8303.6301269840078</v>
      </c>
      <c r="BK5" s="22">
        <f>SUM(DriversCGE!AF8:AF26)</f>
        <v>8465.9894080664217</v>
      </c>
      <c r="BL5" s="22">
        <f>SUM(DriversCGE!AG8:AG26)</f>
        <v>8629.3203788355277</v>
      </c>
    </row>
    <row r="6" spans="1:68" x14ac:dyDescent="0.2">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2">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2">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2">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2">
      <c r="Y16">
        <v>2830.9069841561718</v>
      </c>
      <c r="Z16">
        <v>2893.5650000000564</v>
      </c>
      <c r="AA16">
        <v>2969.1963051355538</v>
      </c>
      <c r="AB16">
        <v>3022.2173632302474</v>
      </c>
      <c r="AC16">
        <v>3060.2316404410249</v>
      </c>
      <c r="AD16">
        <v>3082.8658989519636</v>
      </c>
      <c r="AE16">
        <v>3117.5115237718705</v>
      </c>
      <c r="AF16">
        <v>3154.0370052724184</v>
      </c>
    </row>
    <row r="18" spans="26:32" x14ac:dyDescent="0.2">
      <c r="Z18">
        <v>52.325432882070082</v>
      </c>
      <c r="AA18">
        <v>53.104386458423342</v>
      </c>
      <c r="AB18">
        <v>53.912365691429272</v>
      </c>
      <c r="AC18">
        <v>54.750491457321111</v>
      </c>
      <c r="AD18">
        <v>55.619940469824826</v>
      </c>
      <c r="AE18">
        <v>56.521948041648095</v>
      </c>
      <c r="AF18">
        <v>57.436000617299655</v>
      </c>
    </row>
    <row r="19" spans="26:32" x14ac:dyDescent="0.2">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baseColWidth="10" defaultColWidth="8.83203125" defaultRowHeight="15" x14ac:dyDescent="0.2"/>
  <cols>
    <col min="1" max="1" width="21.33203125" customWidth="1"/>
    <col min="2" max="2" width="24.83203125" customWidth="1"/>
    <col min="3" max="3" width="16.83203125" customWidth="1"/>
    <col min="4" max="4" width="12.83203125" customWidth="1"/>
    <col min="5" max="5" width="42.5" customWidth="1"/>
    <col min="6" max="7" width="12.83203125" customWidth="1"/>
    <col min="8" max="8" width="12.6640625" customWidth="1"/>
    <col min="9" max="9" width="11.5" customWidth="1"/>
    <col min="10" max="10" width="11.6640625" customWidth="1"/>
  </cols>
  <sheetData>
    <row r="1" spans="1:10" ht="19" x14ac:dyDescent="0.25">
      <c r="A1" s="1" t="s">
        <v>8</v>
      </c>
    </row>
    <row r="3" spans="1:10" x14ac:dyDescent="0.2">
      <c r="A3" t="s">
        <v>9</v>
      </c>
      <c r="B3" s="21">
        <v>21</v>
      </c>
    </row>
    <row r="4" spans="1:10" x14ac:dyDescent="0.2">
      <c r="A4" t="s">
        <v>10</v>
      </c>
      <c r="B4" s="21">
        <v>310</v>
      </c>
    </row>
    <row r="5" spans="1:10" x14ac:dyDescent="0.2">
      <c r="A5" t="s">
        <v>388</v>
      </c>
      <c r="B5" s="21">
        <f>44/12</f>
        <v>3.6666666666666665</v>
      </c>
    </row>
    <row r="6" spans="1:10" x14ac:dyDescent="0.2">
      <c r="A6" t="s">
        <v>794</v>
      </c>
      <c r="B6" s="21">
        <f>12/44</f>
        <v>0.27272727272727271</v>
      </c>
    </row>
    <row r="8" spans="1:10" x14ac:dyDescent="0.2">
      <c r="A8" t="s">
        <v>146</v>
      </c>
      <c r="B8" s="21">
        <f>44/28</f>
        <v>1.5714285714285714</v>
      </c>
    </row>
    <row r="9" spans="1:10" x14ac:dyDescent="0.2">
      <c r="A9" t="s">
        <v>147</v>
      </c>
      <c r="B9" s="21">
        <v>9.9999999999999995E-7</v>
      </c>
    </row>
    <row r="10" spans="1:10" x14ac:dyDescent="0.2">
      <c r="A10" t="s">
        <v>319</v>
      </c>
      <c r="B10" s="21">
        <v>1E-3</v>
      </c>
    </row>
    <row r="11" spans="1:10" x14ac:dyDescent="0.2">
      <c r="A11" t="s">
        <v>389</v>
      </c>
      <c r="B11" s="21">
        <v>1E-3</v>
      </c>
    </row>
    <row r="12" spans="1:10" x14ac:dyDescent="0.2">
      <c r="A12" t="s">
        <v>418</v>
      </c>
      <c r="B12" s="21">
        <v>1000</v>
      </c>
    </row>
    <row r="13" spans="1:10" x14ac:dyDescent="0.2">
      <c r="A13" t="s">
        <v>795</v>
      </c>
      <c r="B13" s="21">
        <v>1000</v>
      </c>
    </row>
    <row r="16" spans="1:10" s="19" customFormat="1" ht="29.25" customHeight="1" x14ac:dyDescent="0.2">
      <c r="A16" s="17" t="s">
        <v>4</v>
      </c>
      <c r="B16" s="17" t="s">
        <v>313</v>
      </c>
      <c r="C16" s="17" t="s">
        <v>315</v>
      </c>
      <c r="D16" s="17" t="s">
        <v>149</v>
      </c>
      <c r="E16" s="17" t="s">
        <v>150</v>
      </c>
      <c r="F16" s="17" t="s">
        <v>0</v>
      </c>
      <c r="G16" s="17" t="s">
        <v>283</v>
      </c>
      <c r="H16" s="17" t="s">
        <v>717</v>
      </c>
      <c r="I16" s="17" t="s">
        <v>717</v>
      </c>
      <c r="J16" s="17" t="s">
        <v>717</v>
      </c>
    </row>
    <row r="17" spans="1:10" ht="18.75" customHeight="1" x14ac:dyDescent="0.2">
      <c r="A17" s="20" t="s">
        <v>1</v>
      </c>
      <c r="B17" s="20"/>
      <c r="C17" s="20"/>
      <c r="D17" s="15"/>
      <c r="E17" s="15"/>
      <c r="F17" s="15"/>
      <c r="G17" s="15"/>
      <c r="H17" s="15"/>
      <c r="I17" s="15"/>
      <c r="J17" s="15"/>
    </row>
    <row r="18" spans="1:10" x14ac:dyDescent="0.2">
      <c r="A18" t="str">
        <f>'IPCC Categories'!A5</f>
        <v>3A Livestock</v>
      </c>
      <c r="C18" t="str">
        <f>'IPCC Categories'!$D$5</f>
        <v>3A1ai Dairy cattle</v>
      </c>
      <c r="D18" t="str">
        <f>'IPCC Categories'!$F$39</f>
        <v>TMR</v>
      </c>
      <c r="E18" t="s">
        <v>330</v>
      </c>
      <c r="F18" t="s">
        <v>327</v>
      </c>
      <c r="G18" t="s">
        <v>331</v>
      </c>
      <c r="H18" s="48">
        <v>0.35</v>
      </c>
    </row>
    <row r="19" spans="1:10" x14ac:dyDescent="0.2">
      <c r="A19" t="str">
        <f>A18</f>
        <v>3A Livestock</v>
      </c>
      <c r="C19" t="str">
        <f>C18</f>
        <v>3A1ai Dairy cattle</v>
      </c>
      <c r="E19" t="s">
        <v>841</v>
      </c>
      <c r="F19" t="s">
        <v>327</v>
      </c>
      <c r="H19" s="48">
        <v>0.28999999999999998</v>
      </c>
    </row>
    <row r="20" spans="1:10" x14ac:dyDescent="0.2">
      <c r="A20" t="str">
        <f>A19</f>
        <v>3A Livestock</v>
      </c>
      <c r="C20" t="str">
        <f>'IPCC Categories'!D13</f>
        <v>3A2aii Other cattle</v>
      </c>
      <c r="E20" t="s">
        <v>844</v>
      </c>
      <c r="F20" t="s">
        <v>327</v>
      </c>
      <c r="H20" s="48">
        <v>0.53</v>
      </c>
    </row>
    <row r="21" spans="1:10" x14ac:dyDescent="0.2">
      <c r="A21" t="str">
        <f>A20</f>
        <v>3A Livestock</v>
      </c>
      <c r="C21" t="str">
        <f>C20</f>
        <v>3A2aii Other cattle</v>
      </c>
      <c r="E21" t="s">
        <v>908</v>
      </c>
      <c r="F21" t="s">
        <v>909</v>
      </c>
      <c r="H21" s="48">
        <v>460</v>
      </c>
    </row>
    <row r="22" spans="1:10" x14ac:dyDescent="0.2">
      <c r="A22" t="str">
        <f>A18</f>
        <v>3A Livestock</v>
      </c>
      <c r="C22" t="str">
        <f>'IPCC Categories'!C7</f>
        <v>3A1c Sheep</v>
      </c>
      <c r="E22" t="s">
        <v>833</v>
      </c>
      <c r="F22" t="s">
        <v>327</v>
      </c>
      <c r="H22" s="48">
        <v>0.87</v>
      </c>
    </row>
    <row r="23" spans="1:10" x14ac:dyDescent="0.2">
      <c r="A23" t="str">
        <f t="shared" ref="A23:A27" si="0">A22</f>
        <v>3A Livestock</v>
      </c>
      <c r="C23" t="str">
        <f>'IPCC Categories'!C8</f>
        <v>3A1d Goats</v>
      </c>
      <c r="E23" t="s">
        <v>834</v>
      </c>
      <c r="F23" t="s">
        <v>327</v>
      </c>
      <c r="H23" s="48">
        <v>0.34</v>
      </c>
    </row>
    <row r="24" spans="1:10" x14ac:dyDescent="0.2">
      <c r="A24" t="str">
        <f t="shared" si="0"/>
        <v>3A Livestock</v>
      </c>
      <c r="C24" t="str">
        <f>'IPCC Categories'!C11</f>
        <v>3A1h Swine</v>
      </c>
      <c r="E24" t="s">
        <v>835</v>
      </c>
      <c r="F24" t="s">
        <v>327</v>
      </c>
      <c r="H24" s="48">
        <v>0.88</v>
      </c>
    </row>
    <row r="25" spans="1:10" x14ac:dyDescent="0.2">
      <c r="A25" t="str">
        <f t="shared" si="0"/>
        <v>3A Livestock</v>
      </c>
      <c r="C25" t="str">
        <f>'IPCC Categories'!C19</f>
        <v>3A2i Poultry</v>
      </c>
      <c r="E25" t="s">
        <v>837</v>
      </c>
      <c r="F25" t="s">
        <v>327</v>
      </c>
      <c r="H25" s="48">
        <v>0.96</v>
      </c>
    </row>
    <row r="26" spans="1:10" x14ac:dyDescent="0.2">
      <c r="A26" t="str">
        <f t="shared" si="0"/>
        <v>3A Livestock</v>
      </c>
      <c r="C26" t="str">
        <f>C25</f>
        <v>3A2i Poultry</v>
      </c>
      <c r="E26" t="s">
        <v>839</v>
      </c>
      <c r="F26" t="s">
        <v>327</v>
      </c>
      <c r="H26" s="48">
        <v>0.96</v>
      </c>
    </row>
    <row r="27" spans="1:10" x14ac:dyDescent="0.2">
      <c r="A27" t="str">
        <f t="shared" si="0"/>
        <v>3A Livestock</v>
      </c>
      <c r="C27" t="str">
        <f>C23</f>
        <v>3A1d Goats</v>
      </c>
      <c r="E27" t="s">
        <v>342</v>
      </c>
      <c r="F27" t="s">
        <v>327</v>
      </c>
      <c r="G27" t="s">
        <v>343</v>
      </c>
      <c r="H27" s="48">
        <v>0.06</v>
      </c>
    </row>
    <row r="28" spans="1:10" ht="18.75" customHeight="1" x14ac:dyDescent="0.2">
      <c r="A28" s="20" t="s">
        <v>629</v>
      </c>
      <c r="B28" s="20"/>
      <c r="C28" s="20"/>
      <c r="D28" s="15"/>
      <c r="E28" s="15"/>
      <c r="F28" s="15"/>
      <c r="G28" s="15"/>
      <c r="H28" s="15"/>
      <c r="I28" s="15"/>
      <c r="J28" s="15"/>
    </row>
    <row r="29" spans="1:10" x14ac:dyDescent="0.2">
      <c r="A29" t="str">
        <f>A41</f>
        <v>3C Aggregated and non-CO2 emissions on land</v>
      </c>
      <c r="B29" t="str">
        <f>B41</f>
        <v>3C4 Direct N2O from managed soils (N2O)</v>
      </c>
      <c r="C29" t="str">
        <f>'IPCC Categories'!B73</f>
        <v>3C4 Direct N2O from managed soils (N2O)</v>
      </c>
      <c r="E29" t="s">
        <v>852</v>
      </c>
      <c r="H29" s="48">
        <v>1.5</v>
      </c>
    </row>
    <row r="30" spans="1:10" x14ac:dyDescent="0.2">
      <c r="A30" t="str">
        <f>A29</f>
        <v>3C Aggregated and non-CO2 emissions on land</v>
      </c>
      <c r="B30" t="str">
        <f>B29</f>
        <v>3C4 Direct N2O from managed soils (N2O)</v>
      </c>
      <c r="C30" t="str">
        <f>C29</f>
        <v>3C4 Direct N2O from managed soils (N2O)</v>
      </c>
      <c r="E30" t="s">
        <v>853</v>
      </c>
      <c r="H30" s="48">
        <v>5.5</v>
      </c>
    </row>
    <row r="31" spans="1:10" x14ac:dyDescent="0.2">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2">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2">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2">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2">
      <c r="A35" t="str">
        <f>A68</f>
        <v>3C Aggregated and non-CO2 emissions on land</v>
      </c>
      <c r="B35" t="str">
        <f>B68</f>
        <v>3C4 Direct N2O from managed soils (N2O)</v>
      </c>
      <c r="C35" t="str">
        <f>C34</f>
        <v>3C4 Direct N2O from managed soils (N2O)</v>
      </c>
      <c r="E35" t="s">
        <v>864</v>
      </c>
      <c r="F35" t="s">
        <v>327</v>
      </c>
      <c r="H35" s="48">
        <v>0.6</v>
      </c>
    </row>
    <row r="36" spans="1:8" x14ac:dyDescent="0.2">
      <c r="A36" t="str">
        <f>A35</f>
        <v>3C Aggregated and non-CO2 emissions on land</v>
      </c>
      <c r="B36" t="str">
        <f>B35</f>
        <v>3C4 Direct N2O from managed soils (N2O)</v>
      </c>
      <c r="C36" t="str">
        <f>C35</f>
        <v>3C4 Direct N2O from managed soils (N2O)</v>
      </c>
      <c r="E36" t="s">
        <v>865</v>
      </c>
      <c r="F36" t="s">
        <v>327</v>
      </c>
      <c r="H36" s="48">
        <v>0.7</v>
      </c>
    </row>
    <row r="37" spans="1:8" x14ac:dyDescent="0.2">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2">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2">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2">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2">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2">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2">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2">
      <c r="A44" t="str">
        <f t="shared" si="8"/>
        <v>3C Aggregated and non-CO2 emissions on land</v>
      </c>
      <c r="B44" t="str">
        <f t="shared" si="7"/>
        <v>3C4 Direct N2O from managed soils (N2O)</v>
      </c>
      <c r="C44" t="str">
        <f t="shared" si="7"/>
        <v>Crop residues</v>
      </c>
      <c r="E44" t="s">
        <v>912</v>
      </c>
      <c r="F44" t="s">
        <v>377</v>
      </c>
      <c r="H44" s="48">
        <v>0.48</v>
      </c>
    </row>
    <row r="45" spans="1:8" x14ac:dyDescent="0.2">
      <c r="A45" t="str">
        <f t="shared" si="8"/>
        <v>3C Aggregated and non-CO2 emissions on land</v>
      </c>
      <c r="B45" t="str">
        <f t="shared" si="7"/>
        <v>3C4 Direct N2O from managed soils (N2O)</v>
      </c>
      <c r="C45" t="str">
        <f t="shared" si="7"/>
        <v>Crop residues</v>
      </c>
      <c r="E45" t="s">
        <v>913</v>
      </c>
      <c r="F45" t="s">
        <v>365</v>
      </c>
      <c r="H45" s="48">
        <v>4.2</v>
      </c>
    </row>
    <row r="46" spans="1:8" x14ac:dyDescent="0.2">
      <c r="A46" t="str">
        <f t="shared" si="8"/>
        <v>3C Aggregated and non-CO2 emissions on land</v>
      </c>
      <c r="B46" t="str">
        <f t="shared" si="7"/>
        <v>3C4 Direct N2O from managed soils (N2O)</v>
      </c>
      <c r="C46" t="str">
        <f t="shared" si="7"/>
        <v>Crop residues</v>
      </c>
      <c r="E46" t="s">
        <v>914</v>
      </c>
      <c r="F46" t="s">
        <v>365</v>
      </c>
      <c r="H46" s="48">
        <v>2.8</v>
      </c>
    </row>
    <row r="47" spans="1:8" x14ac:dyDescent="0.2">
      <c r="A47" t="str">
        <f t="shared" si="8"/>
        <v>3C Aggregated and non-CO2 emissions on land</v>
      </c>
      <c r="B47" t="str">
        <f t="shared" si="7"/>
        <v>3C4 Direct N2O from managed soils (N2O)</v>
      </c>
      <c r="C47" t="str">
        <f t="shared" si="7"/>
        <v>Crop residues</v>
      </c>
      <c r="E47" t="s">
        <v>915</v>
      </c>
      <c r="F47" t="s">
        <v>365</v>
      </c>
      <c r="H47" s="48">
        <v>3.7</v>
      </c>
    </row>
    <row r="48" spans="1:8" x14ac:dyDescent="0.2">
      <c r="A48" t="str">
        <f t="shared" si="8"/>
        <v>3C Aggregated and non-CO2 emissions on land</v>
      </c>
      <c r="B48" t="str">
        <f t="shared" si="7"/>
        <v>3C4 Direct N2O from managed soils (N2O)</v>
      </c>
      <c r="C48" t="str">
        <f t="shared" si="7"/>
        <v>Crop residues</v>
      </c>
      <c r="E48" t="s">
        <v>916</v>
      </c>
      <c r="H48" s="48">
        <v>1.5</v>
      </c>
    </row>
    <row r="49" spans="1:8" x14ac:dyDescent="0.2">
      <c r="A49" t="str">
        <f t="shared" si="8"/>
        <v>3C Aggregated and non-CO2 emissions on land</v>
      </c>
      <c r="B49" t="str">
        <f t="shared" si="7"/>
        <v>3C4 Direct N2O from managed soils (N2O)</v>
      </c>
      <c r="C49" t="str">
        <f t="shared" si="7"/>
        <v>Crop residues</v>
      </c>
      <c r="E49" t="s">
        <v>917</v>
      </c>
      <c r="H49" s="48">
        <v>1.4</v>
      </c>
    </row>
    <row r="50" spans="1:8" x14ac:dyDescent="0.2">
      <c r="A50" t="str">
        <f t="shared" si="8"/>
        <v>3C Aggregated and non-CO2 emissions on land</v>
      </c>
      <c r="B50" t="str">
        <f t="shared" si="7"/>
        <v>3C4 Direct N2O from managed soils (N2O)</v>
      </c>
      <c r="C50" t="str">
        <f t="shared" si="7"/>
        <v>Crop residues</v>
      </c>
      <c r="E50" t="s">
        <v>918</v>
      </c>
      <c r="H50" s="48">
        <v>1.3</v>
      </c>
    </row>
    <row r="51" spans="1:8" x14ac:dyDescent="0.2">
      <c r="A51" t="str">
        <f t="shared" si="8"/>
        <v>3C Aggregated and non-CO2 emissions on land</v>
      </c>
      <c r="B51" t="str">
        <f t="shared" si="7"/>
        <v>3C4 Direct N2O from managed soils (N2O)</v>
      </c>
      <c r="C51" t="str">
        <f t="shared" si="7"/>
        <v>Crop residues</v>
      </c>
      <c r="E51" t="s">
        <v>919</v>
      </c>
      <c r="H51" s="48">
        <v>0.45</v>
      </c>
    </row>
    <row r="52" spans="1:8" x14ac:dyDescent="0.2">
      <c r="A52" t="str">
        <f t="shared" si="8"/>
        <v>3C Aggregated and non-CO2 emissions on land</v>
      </c>
      <c r="B52" t="str">
        <f t="shared" si="7"/>
        <v>3C4 Direct N2O from managed soils (N2O)</v>
      </c>
      <c r="C52" t="str">
        <f t="shared" si="7"/>
        <v>Crop residues</v>
      </c>
      <c r="E52" t="s">
        <v>920</v>
      </c>
      <c r="H52" s="48">
        <v>0</v>
      </c>
    </row>
    <row r="53" spans="1:8" x14ac:dyDescent="0.2">
      <c r="A53" t="str">
        <f t="shared" si="8"/>
        <v>3C Aggregated and non-CO2 emissions on land</v>
      </c>
      <c r="B53" t="str">
        <f t="shared" si="7"/>
        <v>3C4 Direct N2O from managed soils (N2O)</v>
      </c>
      <c r="C53" t="str">
        <f t="shared" si="7"/>
        <v>Crop residues</v>
      </c>
      <c r="E53" t="s">
        <v>921</v>
      </c>
      <c r="H53" s="48">
        <v>0.6</v>
      </c>
    </row>
    <row r="54" spans="1:8" x14ac:dyDescent="0.2">
      <c r="A54" t="str">
        <f>A47</f>
        <v>3C Aggregated and non-CO2 emissions on land</v>
      </c>
      <c r="B54" t="str">
        <f>B47</f>
        <v>3C4 Direct N2O from managed soils (N2O)</v>
      </c>
      <c r="C54" t="str">
        <f>C47</f>
        <v>Crop residues</v>
      </c>
      <c r="E54" t="s">
        <v>922</v>
      </c>
      <c r="F54" t="s">
        <v>327</v>
      </c>
      <c r="H54" s="48">
        <v>0.87</v>
      </c>
    </row>
    <row r="55" spans="1:8" x14ac:dyDescent="0.2">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2">
      <c r="A56" t="str">
        <f t="shared" si="9"/>
        <v>3C Aggregated and non-CO2 emissions on land</v>
      </c>
      <c r="B56" t="str">
        <f t="shared" si="9"/>
        <v>3C4 Direct N2O from managed soils (N2O)</v>
      </c>
      <c r="C56" t="str">
        <f t="shared" si="9"/>
        <v>Crop residues</v>
      </c>
      <c r="E56" t="s">
        <v>924</v>
      </c>
      <c r="F56" t="s">
        <v>327</v>
      </c>
      <c r="H56" s="48">
        <v>0.89</v>
      </c>
    </row>
    <row r="57" spans="1:8" x14ac:dyDescent="0.2">
      <c r="A57" t="str">
        <f>A56</f>
        <v>3C Aggregated and non-CO2 emissions on land</v>
      </c>
      <c r="B57" t="str">
        <f>B56</f>
        <v>3C4 Direct N2O from managed soils (N2O)</v>
      </c>
      <c r="C57" t="str">
        <f>C56</f>
        <v>Crop residues</v>
      </c>
      <c r="E57" t="s">
        <v>925</v>
      </c>
      <c r="F57" t="s">
        <v>327</v>
      </c>
      <c r="H57" s="48">
        <v>0.5</v>
      </c>
    </row>
    <row r="58" spans="1:8" x14ac:dyDescent="0.2">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2">
      <c r="A59" t="str">
        <f>A41</f>
        <v>3C Aggregated and non-CO2 emissions on land</v>
      </c>
      <c r="B59" t="str">
        <f>B41</f>
        <v>3C4 Direct N2O from managed soils (N2O)</v>
      </c>
      <c r="C59" t="str">
        <f>'IPCC Categories'!B71</f>
        <v>3C2 Liming (CO2)</v>
      </c>
      <c r="E59" t="s">
        <v>883</v>
      </c>
      <c r="F59" t="s">
        <v>365</v>
      </c>
      <c r="H59" s="48">
        <v>0.5</v>
      </c>
    </row>
    <row r="60" spans="1:8" x14ac:dyDescent="0.2">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2">
      <c r="A61" t="str">
        <f t="shared" si="10"/>
        <v>3C Aggregated and non-CO2 emissions on land</v>
      </c>
      <c r="B61" t="str">
        <f t="shared" si="10"/>
        <v>3C4 Direct N2O from managed soils (N2O)</v>
      </c>
      <c r="C61" t="str">
        <f>C60</f>
        <v>3C2 Liming (CO2)</v>
      </c>
      <c r="E61" t="s">
        <v>885</v>
      </c>
      <c r="F61" t="s">
        <v>365</v>
      </c>
      <c r="H61" s="48">
        <v>0.63</v>
      </c>
    </row>
    <row r="62" spans="1:8" x14ac:dyDescent="0.2">
      <c r="A62" t="str">
        <f>A41</f>
        <v>3C Aggregated and non-CO2 emissions on land</v>
      </c>
      <c r="B62" t="str">
        <f>B41</f>
        <v>3C4 Direct N2O from managed soils (N2O)</v>
      </c>
      <c r="C62" t="str">
        <f>C61</f>
        <v>3C2 Liming (CO2)</v>
      </c>
      <c r="E62" t="s">
        <v>882</v>
      </c>
      <c r="F62" t="s">
        <v>327</v>
      </c>
      <c r="H62" s="48">
        <v>0.55000000000000004</v>
      </c>
    </row>
    <row r="63" spans="1:8" x14ac:dyDescent="0.2">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2">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2">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2">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2">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2">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2">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2">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2">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2">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2">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2">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2">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2">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2">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2">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2">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2">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2">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2">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2">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2">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2">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2">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2">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2">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2">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2">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2">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2">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2">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2">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2">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2">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2">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2">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2">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2">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2">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2">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2">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2">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2">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2">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2">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2">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2">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2">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2">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2">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2">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2">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2">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2">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2">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2">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2">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2">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2">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2">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2">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2">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2">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2">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2">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2">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2">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2">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2">
      <c r="A131" s="20" t="s">
        <v>60</v>
      </c>
      <c r="B131" s="20"/>
      <c r="C131" s="20"/>
      <c r="D131" s="15"/>
      <c r="E131" s="15"/>
      <c r="F131" s="15"/>
      <c r="G131" s="15"/>
      <c r="H131" s="15"/>
      <c r="I131" s="15"/>
      <c r="J131" s="15"/>
    </row>
    <row r="132" spans="1:10" x14ac:dyDescent="0.2">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2">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2">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2">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baseColWidth="10" defaultColWidth="8.83203125" defaultRowHeight="15" x14ac:dyDescent="0.2"/>
  <cols>
    <col min="1" max="1" width="21.33203125" customWidth="1"/>
    <col min="2" max="2" width="24.83203125" customWidth="1"/>
    <col min="3" max="3" width="16.83203125" customWidth="1"/>
    <col min="4" max="4" width="12.83203125" customWidth="1"/>
    <col min="5" max="5" width="42.5" customWidth="1"/>
    <col min="6" max="8" width="12.83203125" customWidth="1"/>
    <col min="9" max="9" width="12.6640625" customWidth="1"/>
    <col min="10" max="10" width="11.5" customWidth="1"/>
    <col min="11" max="11" width="11.6640625" customWidth="1"/>
    <col min="12" max="12" width="14.1640625" customWidth="1"/>
  </cols>
  <sheetData>
    <row r="1" spans="1:12" ht="19" x14ac:dyDescent="0.25">
      <c r="A1" s="1" t="s">
        <v>876</v>
      </c>
    </row>
    <row r="3" spans="1:12" x14ac:dyDescent="0.2">
      <c r="G3">
        <v>1</v>
      </c>
      <c r="H3">
        <v>20</v>
      </c>
      <c r="I3">
        <v>33</v>
      </c>
      <c r="J3">
        <v>43</v>
      </c>
      <c r="K3">
        <v>53</v>
      </c>
    </row>
    <row r="4" spans="1:12" s="19" customFormat="1" ht="29.25" customHeight="1" x14ac:dyDescent="0.2">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2">
      <c r="A5" s="20" t="s">
        <v>814</v>
      </c>
      <c r="B5" s="20"/>
      <c r="C5" s="20"/>
      <c r="D5" s="15"/>
      <c r="E5" s="15"/>
      <c r="F5" s="15"/>
      <c r="G5" s="80">
        <v>2012</v>
      </c>
      <c r="H5" s="80">
        <v>2020</v>
      </c>
      <c r="I5" s="80">
        <v>2030</v>
      </c>
      <c r="J5" s="80">
        <v>2040</v>
      </c>
      <c r="K5" s="80">
        <v>2050</v>
      </c>
    </row>
    <row r="6" spans="1:12" x14ac:dyDescent="0.2">
      <c r="A6" t="str">
        <f>'IPCC Categories'!A5</f>
        <v>3A Livestock</v>
      </c>
      <c r="C6" t="str">
        <f>'IPCC Categories'!D6</f>
        <v>3A1aii Other cattle</v>
      </c>
      <c r="E6" t="s">
        <v>848</v>
      </c>
      <c r="F6" t="s">
        <v>327</v>
      </c>
      <c r="G6" s="42">
        <v>0.7</v>
      </c>
      <c r="H6" s="42">
        <v>0.74</v>
      </c>
      <c r="I6" s="42">
        <v>0.76</v>
      </c>
      <c r="J6" s="42">
        <v>0.8</v>
      </c>
      <c r="K6" s="42">
        <v>0.83</v>
      </c>
    </row>
    <row r="7" spans="1:12" x14ac:dyDescent="0.2">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2">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baseColWidth="10" defaultColWidth="8.83203125" defaultRowHeight="15" x14ac:dyDescent="0.2"/>
  <cols>
    <col min="1" max="1" width="29.5" customWidth="1"/>
    <col min="2" max="2" width="12.83203125" customWidth="1"/>
    <col min="3" max="29" width="12.6640625" customWidth="1"/>
    <col min="30" max="30" width="13.83203125" customWidth="1"/>
    <col min="31" max="33" width="12.6640625" customWidth="1"/>
    <col min="34" max="35" width="11.5" customWidth="1"/>
    <col min="36" max="36" width="11.33203125" customWidth="1"/>
    <col min="37" max="63" width="11.5" bestFit="1" customWidth="1"/>
  </cols>
  <sheetData>
    <row r="1" spans="1:67" ht="19" x14ac:dyDescent="0.25">
      <c r="A1" s="1" t="s">
        <v>326</v>
      </c>
      <c r="AF1" s="11"/>
    </row>
    <row r="2" spans="1:67" x14ac:dyDescent="0.2">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2">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2">
      <c r="A4" t="s">
        <v>807</v>
      </c>
      <c r="B4" t="s">
        <v>808</v>
      </c>
      <c r="C4" s="22">
        <f>(Drivers!D5*1000000)/Drivers!D4</f>
        <v>53.622810793906829</v>
      </c>
      <c r="D4" s="22">
        <f>(Drivers!E5*1000000)/Drivers!E4</f>
        <v>53.886630809268532</v>
      </c>
      <c r="E4" s="22">
        <f>(Drivers!F5*1000000)/Drivers!F4</f>
        <v>54.134533706459393</v>
      </c>
      <c r="F4" s="22">
        <f>(Drivers!G5*1000000)/Drivers!G4</f>
        <v>54.406389846353214</v>
      </c>
      <c r="G4" s="22">
        <f>(Drivers!H5*1000000)/Drivers!H4</f>
        <v>54.753374931736715</v>
      </c>
      <c r="H4" s="22">
        <f>(Drivers!I5*1000000)/Drivers!I4</f>
        <v>55.209553668970941</v>
      </c>
      <c r="I4" s="22">
        <f>(Drivers!J5*1000000)/Drivers!J4</f>
        <v>56.431674723181764</v>
      </c>
      <c r="J4" s="22">
        <f>(Drivers!K5*1000000)/Drivers!K4</f>
        <v>56.893520613867651</v>
      </c>
      <c r="K4" s="22">
        <f>(Drivers!L5*1000000)/Drivers!L4</f>
        <v>56.380506744182213</v>
      </c>
      <c r="L4" s="22">
        <f>(Drivers!M5*1000000)/Drivers!M4</f>
        <v>57.045724513398213</v>
      </c>
      <c r="M4" s="22">
        <f>(Drivers!N5*1000000)/Drivers!N4</f>
        <v>58.722463215443696</v>
      </c>
      <c r="N4" s="22">
        <f>(Drivers!O5*1000000)/Drivers!O4</f>
        <v>59.625113875492801</v>
      </c>
      <c r="O4" s="22">
        <f>(Drivers!P5*1000000)/Drivers!P4</f>
        <v>61.113788430182993</v>
      </c>
      <c r="P4" s="22">
        <f>(Drivers!Q5*1000000)/Drivers!Q4</f>
        <v>62.170337979533471</v>
      </c>
      <c r="Q4" s="22">
        <f>(Drivers!R5*1000000)/Drivers!R4</f>
        <v>64.180209010666076</v>
      </c>
      <c r="R4" s="22">
        <f>(Drivers!S5*1000000)/Drivers!S4</f>
        <v>66.758299397044382</v>
      </c>
      <c r="S4" s="22">
        <f>(Drivers!T5*1000000)/Drivers!T4</f>
        <v>69.562904957948831</v>
      </c>
      <c r="T4" s="22">
        <f>(Drivers!U5*1000000)/Drivers!U4</f>
        <v>72.505988712433634</v>
      </c>
      <c r="U4" s="22">
        <f>(Drivers!V5*1000000)/Drivers!V4</f>
        <v>74.236547378686069</v>
      </c>
      <c r="V4" s="22">
        <f>(Drivers!W5*1000000)/Drivers!W4</f>
        <v>72.227995799185251</v>
      </c>
      <c r="W4" s="22">
        <f>(Drivers!X5*1000000)/Drivers!X4</f>
        <v>73.376760198385327</v>
      </c>
      <c r="X4" s="22">
        <f>(Drivers!Y5*1000000)/Drivers!Y4</f>
        <v>74.745825380001122</v>
      </c>
      <c r="Y4" s="22">
        <f>(Drivers!Z5*1000000)/Drivers!Z4</f>
        <v>76.098573381601653</v>
      </c>
      <c r="Z4" s="22">
        <f>(Drivers!AA5*1000000)/Drivers!AA4</f>
        <v>76.641958163342665</v>
      </c>
      <c r="AA4" s="22">
        <f>(Drivers!AB5*1000000)/Drivers!AB4</f>
        <v>77.466559353366392</v>
      </c>
      <c r="AB4" s="22">
        <f>(Drivers!AC5*1000000)/Drivers!AC4</f>
        <v>77.64284126942583</v>
      </c>
      <c r="AC4" s="22">
        <f>(Drivers!AD5*1000000)/Drivers!AD4</f>
        <v>77.390477552261203</v>
      </c>
      <c r="AD4" s="22">
        <f>(Drivers!AE5*1000000)/Drivers!AE4</f>
        <v>76.718703958033785</v>
      </c>
      <c r="AE4" s="22">
        <f>(Drivers!AF5*1000000)/Drivers!AF4</f>
        <v>76.346234365777605</v>
      </c>
      <c r="AF4" s="22">
        <f>(Drivers!AG5*1000000)/Drivers!AG4</f>
        <v>76.011493905852305</v>
      </c>
      <c r="AG4" s="22">
        <f>(Drivers!AH5*1000000)/Drivers!AH4</f>
        <v>70.078647863376531</v>
      </c>
      <c r="AH4" s="22">
        <f>(Drivers!AI5*1000000)/Drivers!AI4</f>
        <v>71.556378846226139</v>
      </c>
      <c r="AI4" s="22">
        <f>(Drivers!AJ5*1000000)/Drivers!AJ4</f>
        <v>72.553927767334045</v>
      </c>
      <c r="AJ4" s="22">
        <f>(Drivers!AK5*1000000)/Drivers!AK4</f>
        <v>73.420916946629177</v>
      </c>
      <c r="AK4" s="22">
        <f>(Drivers!AL5*1000000)/Drivers!AL4</f>
        <v>74.482622721136963</v>
      </c>
      <c r="AL4" s="22">
        <f>(Drivers!AM5*1000000)/Drivers!AM4</f>
        <v>75.425713912378214</v>
      </c>
      <c r="AM4" s="22">
        <f>(Drivers!AN5*1000000)/Drivers!AN4</f>
        <v>76.294355715698899</v>
      </c>
      <c r="AN4" s="22">
        <f>(Drivers!AO5*1000000)/Drivers!AO4</f>
        <v>77.088256010941691</v>
      </c>
      <c r="AO4" s="22">
        <f>(Drivers!AP5*1000000)/Drivers!AP4</f>
        <v>77.780147971969456</v>
      </c>
      <c r="AP4" s="22">
        <f>(Drivers!AQ5*1000000)/Drivers!AQ4</f>
        <v>78.801161180870025</v>
      </c>
      <c r="AQ4" s="22">
        <f>(Drivers!AR5*1000000)/Drivers!AR4</f>
        <v>79.777542460393789</v>
      </c>
      <c r="AR4" s="22">
        <f>(Drivers!AS5*1000000)/Drivers!AS4</f>
        <v>80.969828914424198</v>
      </c>
      <c r="AS4" s="22">
        <f>(Drivers!AT5*1000000)/Drivers!AT4</f>
        <v>82.483503291777808</v>
      </c>
      <c r="AT4" s="22">
        <f>(Drivers!AU5*1000000)/Drivers!AU4</f>
        <v>84.144737122370017</v>
      </c>
      <c r="AU4" s="22">
        <f>(Drivers!AV5*1000000)/Drivers!AV4</f>
        <v>86.150601874209968</v>
      </c>
      <c r="AV4" s="22">
        <f>(Drivers!AW5*1000000)/Drivers!AW4</f>
        <v>87.599443943722164</v>
      </c>
      <c r="AW4" s="22">
        <f>(Drivers!AX5*1000000)/Drivers!AX4</f>
        <v>89.056169780711599</v>
      </c>
      <c r="AX4" s="22">
        <f>(Drivers!AY5*1000000)/Drivers!AY4</f>
        <v>90.684957679755698</v>
      </c>
      <c r="AY4" s="22">
        <f>(Drivers!AZ5*1000000)/Drivers!AZ4</f>
        <v>92.230961574588576</v>
      </c>
      <c r="AZ4" s="22">
        <f>(Drivers!BA5*1000000)/Drivers!BA4</f>
        <v>93.867428213840199</v>
      </c>
      <c r="BA4" s="22">
        <f>(Drivers!BB5*1000000)/Drivers!BB4</f>
        <v>95.505282450755701</v>
      </c>
      <c r="BB4" s="22">
        <f>(Drivers!BC5*1000000)/Drivers!BC4</f>
        <v>97.508993572280431</v>
      </c>
      <c r="BC4" s="22">
        <f>(Drivers!BD5*1000000)/Drivers!BD4</f>
        <v>99.408817995323759</v>
      </c>
      <c r="BD4" s="22">
        <f>(Drivers!BE5*1000000)/Drivers!BE4</f>
        <v>101.33675297948265</v>
      </c>
      <c r="BE4" s="22">
        <f>(Drivers!BF5*1000000)/Drivers!BF4</f>
        <v>103.32689892496035</v>
      </c>
      <c r="BF4" s="22">
        <f>(Drivers!BG5*1000000)/Drivers!BG4</f>
        <v>105.39211127231653</v>
      </c>
      <c r="BG4" s="22">
        <f>(Drivers!BH5*1000000)/Drivers!BH4</f>
        <v>107.89399578903085</v>
      </c>
      <c r="BH4" s="22">
        <f>(Drivers!BI5*1000000)/Drivers!BI4</f>
        <v>109.51791705011296</v>
      </c>
      <c r="BI4" s="22">
        <f>(Drivers!BJ5*1000000)/Drivers!BJ4</f>
        <v>111.08125253632154</v>
      </c>
      <c r="BJ4" s="22">
        <f>(Drivers!BK5*1000000)/Drivers!BK4</f>
        <v>112.67799972153159</v>
      </c>
      <c r="BK4" s="22">
        <f>(Drivers!BL5*1000000)/Drivers!BL4</f>
        <v>114.26852905627365</v>
      </c>
    </row>
    <row r="5" spans="1:67" s="79" customFormat="1" x14ac:dyDescent="0.2">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920446.2624380854</v>
      </c>
      <c r="Z5" s="27">
        <f>((Data!$AJ$5*'Intermediate calculations'!Z4)+Data!$AK$5)*Drivers!AA4</f>
        <v>941691.58339834912</v>
      </c>
      <c r="AA5" s="27">
        <f>((Data!$AJ$5*'Intermediate calculations'!AA4)+Data!$AK$5)*Drivers!AB4</f>
        <v>967640.07013586559</v>
      </c>
      <c r="AB5" s="27">
        <f>((Data!$AJ$5*'Intermediate calculations'!AB4)+Data!$AK$5)*Drivers!AC4</f>
        <v>985205.95615670993</v>
      </c>
      <c r="AC5" s="27">
        <f>((Data!$AJ$5*'Intermediate calculations'!AC4)+Data!$AK$5)*Drivers!AD4</f>
        <v>997182.14033234748</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949959.7348579329</v>
      </c>
      <c r="AH5" s="27">
        <f>((Data!$AJ$5*'Intermediate calculations'!AH4)+Data!$AK$5)*Drivers!AI4</f>
        <v>984070.95457609126</v>
      </c>
      <c r="AI5" s="27">
        <f>((Data!$AJ$5*'Intermediate calculations'!AI4)+Data!$AK$5)*Drivers!AJ4</f>
        <v>1011225.0210395671</v>
      </c>
      <c r="AJ5" s="27">
        <f>((Data!$AJ$5*'Intermediate calculations'!AJ4)+Data!$AK$5)*Drivers!AK4</f>
        <v>1036779.1282906962</v>
      </c>
      <c r="AK5" s="27">
        <f>((Data!$AJ$5*'Intermediate calculations'!AK4)+Data!$AK$5)*Drivers!AL4</f>
        <v>1065947.8059346841</v>
      </c>
      <c r="AL5" s="27">
        <f>((Data!$AJ$5*'Intermediate calculations'!AL4)+Data!$AK$5)*Drivers!AM4</f>
        <v>1093703.5089350778</v>
      </c>
      <c r="AM5" s="27">
        <f>((Data!$AJ$5*'Intermediate calculations'!AM4)+Data!$AK$5)*Drivers!AN4</f>
        <v>1118873.0171472225</v>
      </c>
      <c r="AN5" s="27">
        <f>((Data!$AJ$5*'Intermediate calculations'!AN4)+Data!$AK$5)*Drivers!AO4</f>
        <v>1143180.877373751</v>
      </c>
      <c r="AO5" s="27">
        <f>((Data!$AJ$5*'Intermediate calculations'!AO4)+Data!$AK$5)*Drivers!AP4</f>
        <v>1166134.3831779684</v>
      </c>
      <c r="AP5" s="27">
        <f>((Data!$AJ$5*'Intermediate calculations'!AP4)+Data!$AK$5)*Drivers!AQ4</f>
        <v>1195048.0388530286</v>
      </c>
      <c r="AQ5" s="27">
        <f>((Data!$AJ$5*'Intermediate calculations'!AQ4)+Data!$AK$5)*Drivers!AR4</f>
        <v>1223648.5414894817</v>
      </c>
      <c r="AR5" s="27">
        <f>((Data!$AJ$5*'Intermediate calculations'!AR4)+Data!$AK$5)*Drivers!AS4</f>
        <v>1254822.806808339</v>
      </c>
      <c r="AS5" s="27">
        <f>((Data!$AJ$5*'Intermediate calculations'!AS4)+Data!$AK$5)*Drivers!AT4</f>
        <v>1292075.9900160297</v>
      </c>
      <c r="AT5" s="27">
        <f>((Data!$AJ$5*'Intermediate calculations'!AT4)+Data!$AK$5)*Drivers!AU4</f>
        <v>1332483.3615682092</v>
      </c>
      <c r="AU5" s="27">
        <f>((Data!$AJ$5*'Intermediate calculations'!AU4)+Data!$AK$5)*Drivers!AV4</f>
        <v>1379633.4526047797</v>
      </c>
      <c r="AV5" s="27">
        <f>((Data!$AJ$5*'Intermediate calculations'!AV4)+Data!$AK$5)*Drivers!AW4</f>
        <v>1417470.9526008083</v>
      </c>
      <c r="AW5" s="27">
        <f>((Data!$AJ$5*'Intermediate calculations'!AW4)+Data!$AK$5)*Drivers!AX4</f>
        <v>1454245.4862434531</v>
      </c>
      <c r="AX5" s="27">
        <f>((Data!$AJ$5*'Intermediate calculations'!AX4)+Data!$AK$5)*Drivers!AY4</f>
        <v>1494623.2338533446</v>
      </c>
      <c r="AY5" s="27">
        <f>((Data!$AJ$5*'Intermediate calculations'!AY4)+Data!$AK$5)*Drivers!AZ4</f>
        <v>1533992.1023463469</v>
      </c>
      <c r="AZ5" s="27">
        <f>((Data!$AJ$5*'Intermediate calculations'!AZ4)+Data!$AK$5)*Drivers!BA4</f>
        <v>1575532.8346963918</v>
      </c>
      <c r="BA5" s="27">
        <f>((Data!$AJ$5*'Intermediate calculations'!BA4)+Data!$AK$5)*Drivers!BB4</f>
        <v>1617625.4873148764</v>
      </c>
      <c r="BB5" s="27">
        <f>((Data!$AJ$5*'Intermediate calculations'!BB4)+Data!$AK$5)*Drivers!BC4</f>
        <v>1665288.4637536379</v>
      </c>
      <c r="BC5" s="27">
        <f>((Data!$AJ$5*'Intermediate calculations'!BC4)+Data!$AK$5)*Drivers!BD4</f>
        <v>1711518.7058289871</v>
      </c>
      <c r="BD5" s="27">
        <f>((Data!$AJ$5*'Intermediate calculations'!BD4)+Data!$AK$5)*Drivers!BE4</f>
        <v>1758793.2740228956</v>
      </c>
      <c r="BE5" s="27">
        <f>((Data!$AJ$5*'Intermediate calculations'!BE4)+Data!$AK$5)*Drivers!BF4</f>
        <v>1807778.8511525053</v>
      </c>
      <c r="BF5" s="27">
        <f>((Data!$AJ$5*'Intermediate calculations'!BF4)+Data!$AK$5)*Drivers!BG4</f>
        <v>1858749.6464465922</v>
      </c>
      <c r="BG5" s="27">
        <f>((Data!$AJ$5*'Intermediate calculations'!BG4)+Data!$AK$5)*Drivers!BH4</f>
        <v>1916630.1423640517</v>
      </c>
      <c r="BH5" s="27">
        <f>((Data!$AJ$5*'Intermediate calculations'!BH4)+Data!$AK$5)*Drivers!BI4</f>
        <v>1957984.7379870382</v>
      </c>
      <c r="BI5" s="27">
        <f>((Data!$AJ$5*'Intermediate calculations'!BI4)+Data!$AK$5)*Drivers!BJ4</f>
        <v>1998527.7493484586</v>
      </c>
      <c r="BJ5" s="27">
        <f>((Data!$AJ$5*'Intermediate calculations'!BJ4)+Data!$AK$5)*Drivers!BK4</f>
        <v>2040089.8704531272</v>
      </c>
      <c r="BK5" s="27">
        <f>((Data!$AJ$5*'Intermediate calculations'!BK4)+Data!$AK$5)*Drivers!BL4</f>
        <v>2081901.5057355589</v>
      </c>
    </row>
    <row r="6" spans="1:67" x14ac:dyDescent="0.2">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0.14996186635063738</v>
      </c>
      <c r="AP6" s="22"/>
      <c r="AQ6" s="22">
        <f>(AQ8-AD8)/AD8</f>
        <v>0.24795940138645053</v>
      </c>
      <c r="AR6" s="22"/>
      <c r="AS6" s="22"/>
      <c r="AT6" s="22"/>
      <c r="AU6" s="22"/>
      <c r="AV6" s="22"/>
      <c r="AW6" s="22"/>
      <c r="AX6" s="22"/>
      <c r="AY6" s="22"/>
      <c r="AZ6" s="22"/>
      <c r="BA6" s="22"/>
      <c r="BB6" s="22"/>
      <c r="BC6" s="22"/>
      <c r="BD6" s="22"/>
      <c r="BE6" s="22"/>
      <c r="BF6" s="22"/>
      <c r="BG6" s="22"/>
      <c r="BH6" s="22"/>
      <c r="BI6" s="22"/>
      <c r="BJ6" s="22"/>
      <c r="BK6" s="22"/>
    </row>
    <row r="7" spans="1:67" x14ac:dyDescent="0.2">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17.732839906466509</v>
      </c>
      <c r="AA7" s="45">
        <f>AA5*ttokg/Drivers!AB4</f>
        <v>17.948388235719666</v>
      </c>
      <c r="AB7" s="45">
        <f>AB5*ttokg/Drivers!AC4</f>
        <v>17.99446781084502</v>
      </c>
      <c r="AC7" s="45">
        <f>AC5*ttokg/Drivers!AD4</f>
        <v>17.928500676359821</v>
      </c>
      <c r="AD7" s="45">
        <f>AD5*ttokg/Drivers!AE4</f>
        <v>17.752901031799592</v>
      </c>
      <c r="AE7" s="45">
        <f>AE5*ttokg/Drivers!AF4</f>
        <v>17.655538574311368</v>
      </c>
      <c r="AF7" s="45">
        <f>AF5*ttokg/Drivers!AG4</f>
        <v>17.568038401205563</v>
      </c>
      <c r="AG7" s="45">
        <f>AG5*ttokg/Drivers!AH4</f>
        <v>16.017209870221933</v>
      </c>
      <c r="AH7" s="45">
        <f>AH5*ttokg/Drivers!AI4</f>
        <v>16.403484409105012</v>
      </c>
      <c r="AI7" s="45">
        <f>AI5*ttokg/Drivers!AJ4</f>
        <v>16.664240767323356</v>
      </c>
      <c r="AJ7" s="45">
        <f>AJ5*ttokg/Drivers!AK4</f>
        <v>16.890869192480313</v>
      </c>
      <c r="AK7" s="45">
        <f>AK5*ttokg/Drivers!AL4</f>
        <v>17.168395963751404</v>
      </c>
      <c r="AL7" s="45">
        <f>AL5*ttokg/Drivers!AM4</f>
        <v>17.414917231322661</v>
      </c>
      <c r="AM7" s="45">
        <f>AM5*ttokg/Drivers!AN4</f>
        <v>17.641977647546209</v>
      </c>
      <c r="AN7" s="45">
        <f>AN5*ttokg/Drivers!AO4</f>
        <v>17.849500853070865</v>
      </c>
      <c r="AO7" s="45">
        <f>AO5*ttokg/Drivers!AP4</f>
        <v>18.03035937962591</v>
      </c>
      <c r="AP7" s="45">
        <f>AP5*ttokg/Drivers!AQ4</f>
        <v>18.297249233759626</v>
      </c>
      <c r="AQ7" s="45">
        <f>AQ5*ttokg/Drivers!AR4</f>
        <v>18.552472432636346</v>
      </c>
      <c r="AR7" s="45">
        <f>AR5*ttokg/Drivers!AS4</f>
        <v>18.864132610024676</v>
      </c>
      <c r="AS7" s="45">
        <f>AS5*ttokg/Drivers!AT4</f>
        <v>19.259802646666863</v>
      </c>
      <c r="AT7" s="45">
        <f>AT5*ttokg/Drivers!AU4</f>
        <v>19.694044291009707</v>
      </c>
      <c r="AU7" s="45">
        <f>AU5*ttokg/Drivers!AV4</f>
        <v>20.218371446000177</v>
      </c>
      <c r="AV7" s="45">
        <f>AV5*ttokg/Drivers!AW4</f>
        <v>20.597094507782391</v>
      </c>
      <c r="AW7" s="45">
        <f>AW5*ttokg/Drivers!AX4</f>
        <v>20.977878363228854</v>
      </c>
      <c r="AX7" s="45">
        <f>AX5*ttokg/Drivers!AY4</f>
        <v>21.403638736357362</v>
      </c>
      <c r="AY7" s="45">
        <f>AY5*ttokg/Drivers!AZ4</f>
        <v>21.807759613918194</v>
      </c>
      <c r="AZ7" s="45">
        <f>AZ5*ttokg/Drivers!BA4</f>
        <v>22.235527187184811</v>
      </c>
      <c r="BA7" s="45">
        <f>BA5*ttokg/Drivers!BB4</f>
        <v>22.663657474405451</v>
      </c>
      <c r="BB7" s="45">
        <f>BB5*ttokg/Drivers!BC4</f>
        <v>23.187421676756646</v>
      </c>
      <c r="BC7" s="45">
        <f>BC5*ttokg/Drivers!BD4</f>
        <v>23.684030201235668</v>
      </c>
      <c r="BD7" s="45">
        <f>BD5*ttokg/Drivers!BE4</f>
        <v>24.187986743830763</v>
      </c>
      <c r="BE7" s="45">
        <f>BE5*ttokg/Drivers!BF4</f>
        <v>24.708205049003613</v>
      </c>
      <c r="BF7" s="45">
        <f>BF5*ttokg/Drivers!BG4</f>
        <v>25.248045491160635</v>
      </c>
      <c r="BG7" s="45">
        <f>BG5*ttokg/Drivers!BH4</f>
        <v>25.902030755900057</v>
      </c>
      <c r="BH7" s="45">
        <f>BH5*ttokg/Drivers!BI4</f>
        <v>26.326519004158406</v>
      </c>
      <c r="BI7" s="45">
        <f>BI5*ttokg/Drivers!BJ4</f>
        <v>26.735170308802701</v>
      </c>
      <c r="BJ7" s="45">
        <f>BJ5*ttokg/Drivers!BK4</f>
        <v>27.152555333437217</v>
      </c>
      <c r="BK7" s="45">
        <f>BK5*ttokg/Drivers!BL4</f>
        <v>27.568315030220969</v>
      </c>
    </row>
    <row r="8" spans="1:67" x14ac:dyDescent="0.2">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944208.34947610251</v>
      </c>
      <c r="AA8" s="22">
        <f>((Data!$AJ$14*'Intermediate calculations'!AA5)+Data!$AK$14)</f>
        <v>973856.22853221837</v>
      </c>
      <c r="AB8" s="22">
        <f>((Data!$AJ$14*'Intermediate calculations'!AB5)+Data!$AK$14)</f>
        <v>993926.42644116026</v>
      </c>
      <c r="AC8" s="22">
        <f>((Data!$AJ$14*'Intermediate calculations'!AC5)+Data!$AK$14)</f>
        <v>1007610.016686125</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953655.26470360882</v>
      </c>
      <c r="AH8" s="22">
        <f>((Data!$AJ$14*'Intermediate calculations'!AH5)+Data!$AK$14)</f>
        <v>992629.61133471224</v>
      </c>
      <c r="AI8" s="22">
        <f>((Data!$AJ$14*'Intermediate calculations'!AI5)+Data!$AK$14)</f>
        <v>1023654.945741859</v>
      </c>
      <c r="AJ8" s="22">
        <f>((Data!$AJ$14*'Intermediate calculations'!AJ5)+Data!$AK$14)</f>
        <v>1052852.2198963133</v>
      </c>
      <c r="AK8" s="22">
        <f>((Data!$AJ$14*'Intermediate calculations'!AK5)+Data!$AK$14)</f>
        <v>1086179.3821221348</v>
      </c>
      <c r="AL8" s="22">
        <f>((Data!$AJ$14*'Intermediate calculations'!AL5)+Data!$AK$14)</f>
        <v>1117892.126452747</v>
      </c>
      <c r="AM8" s="22">
        <f>((Data!$AJ$14*'Intermediate calculations'!AM5)+Data!$AK$14)</f>
        <v>1146649.9705198808</v>
      </c>
      <c r="AN8" s="22">
        <f>((Data!$AJ$14*'Intermediate calculations'!AN5)+Data!$AK$14)</f>
        <v>1174423.3242186583</v>
      </c>
      <c r="AO8" s="22">
        <f>((Data!$AJ$14*'Intermediate calculations'!AO5)+Data!$AK$14)</f>
        <v>1200649.2375399692</v>
      </c>
      <c r="AP8" s="22">
        <f>((Data!$AJ$14*'Intermediate calculations'!AP5)+Data!$AK$14)</f>
        <v>1233685.0201347582</v>
      </c>
      <c r="AQ8" s="22">
        <f>((Data!$AJ$14*'Intermediate calculations'!AQ5)+Data!$AK$14)</f>
        <v>1266363.0044691481</v>
      </c>
      <c r="AR8" s="22">
        <f>((Data!$AJ$14*'Intermediate calculations'!AR5)+Data!$AK$14)</f>
        <v>1301981.6845558162</v>
      </c>
      <c r="AS8" s="22">
        <f>((Data!$AJ$14*'Intermediate calculations'!AS5)+Data!$AK$14)</f>
        <v>1344545.9343083878</v>
      </c>
      <c r="AT8" s="22">
        <f>((Data!$AJ$14*'Intermediate calculations'!AT5)+Data!$AK$14)</f>
        <v>1390714.0548956471</v>
      </c>
      <c r="AU8" s="22">
        <f>((Data!$AJ$14*'Intermediate calculations'!AU5)+Data!$AK$14)</f>
        <v>1444586.1828034378</v>
      </c>
      <c r="AV8" s="22">
        <f>((Data!$AJ$14*'Intermediate calculations'!AV5)+Data!$AK$14)</f>
        <v>1487818.0535100303</v>
      </c>
      <c r="AW8" s="22">
        <f>((Data!$AJ$14*'Intermediate calculations'!AW5)+Data!$AK$14)</f>
        <v>1529835.414168132</v>
      </c>
      <c r="AX8" s="22">
        <f>((Data!$AJ$14*'Intermediate calculations'!AX5)+Data!$AK$14)</f>
        <v>1575969.6874229049</v>
      </c>
      <c r="AY8" s="22">
        <f>((Data!$AJ$14*'Intermediate calculations'!AY5)+Data!$AK$14)</f>
        <v>1620951.2489090748</v>
      </c>
      <c r="AZ8" s="22">
        <f>((Data!$AJ$14*'Intermediate calculations'!AZ5)+Data!$AK$14)</f>
        <v>1668414.3098989078</v>
      </c>
      <c r="BA8" s="22">
        <f>((Data!$AJ$14*'Intermediate calculations'!BA5)+Data!$AK$14)</f>
        <v>1716507.9766551901</v>
      </c>
      <c r="BB8" s="22">
        <f>((Data!$AJ$14*'Intermediate calculations'!BB5)+Data!$AK$14)</f>
        <v>1770966.1103878145</v>
      </c>
      <c r="BC8" s="22">
        <f>((Data!$AJ$14*'Intermediate calculations'!BC5)+Data!$AK$14)</f>
        <v>1823787.2494256934</v>
      </c>
      <c r="BD8" s="22">
        <f>((Data!$AJ$14*'Intermediate calculations'!BD5)+Data!$AK$14)</f>
        <v>1877801.600798896</v>
      </c>
      <c r="BE8" s="22">
        <f>((Data!$AJ$14*'Intermediate calculations'!BE5)+Data!$AK$14)</f>
        <v>1933770.8941501316</v>
      </c>
      <c r="BF8" s="22">
        <f>((Data!$AJ$14*'Intermediate calculations'!BF5)+Data!$AK$14)</f>
        <v>1992008.4318362218</v>
      </c>
      <c r="BG8" s="22">
        <f>((Data!$AJ$14*'Intermediate calculations'!BG5)+Data!$AK$14)</f>
        <v>2058140.7639458934</v>
      </c>
      <c r="BH8" s="22">
        <f>((Data!$AJ$14*'Intermediate calculations'!BH5)+Data!$AK$14)</f>
        <v>2105391.1512940009</v>
      </c>
      <c r="BI8" s="22">
        <f>((Data!$AJ$14*'Intermediate calculations'!BI5)+Data!$AK$14)</f>
        <v>2151714.2494219644</v>
      </c>
      <c r="BJ8" s="22">
        <f>((Data!$AJ$14*'Intermediate calculations'!BJ5)+Data!$AK$14)</f>
        <v>2199201.7484923932</v>
      </c>
      <c r="BK8" s="22">
        <f>((Data!$AJ$14*'Intermediate calculations'!BK5)+Data!$AK$14)</f>
        <v>2246974.3341746139</v>
      </c>
    </row>
    <row r="9" spans="1:67" x14ac:dyDescent="0.2">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665666.8863806522</v>
      </c>
      <c r="AA9" s="22">
        <f t="shared" si="1"/>
        <v>691437.92225787498</v>
      </c>
      <c r="AB9" s="22">
        <f t="shared" si="1"/>
        <v>710657.39490542957</v>
      </c>
      <c r="AC9" s="22">
        <f t="shared" si="1"/>
        <v>725479.21201400994</v>
      </c>
      <c r="AD9" s="22">
        <f t="shared" si="1"/>
        <v>735691.54350705037</v>
      </c>
      <c r="AE9" s="22">
        <f t="shared" si="1"/>
        <v>749635.6315856725</v>
      </c>
      <c r="AF9" s="22">
        <f t="shared" si="1"/>
        <v>764253.10717659467</v>
      </c>
      <c r="AG9" s="22">
        <f t="shared" si="1"/>
        <v>705704.89588067052</v>
      </c>
      <c r="AH9" s="22">
        <f t="shared" si="1"/>
        <v>736531.17161035642</v>
      </c>
      <c r="AI9" s="22">
        <f t="shared" si="1"/>
        <v>761599.27963194309</v>
      </c>
      <c r="AJ9" s="22">
        <f t="shared" si="1"/>
        <v>785427.75604264974</v>
      </c>
      <c r="AK9" s="22">
        <f t="shared" si="1"/>
        <v>812462.17782735685</v>
      </c>
      <c r="AL9" s="22">
        <f t="shared" si="1"/>
        <v>838419.09483956033</v>
      </c>
      <c r="AM9" s="22">
        <f t="shared" si="1"/>
        <v>862280.77783095033</v>
      </c>
      <c r="AN9" s="22">
        <f t="shared" si="1"/>
        <v>885515.18646086834</v>
      </c>
      <c r="AO9" s="22">
        <f t="shared" si="1"/>
        <v>907690.82358021673</v>
      </c>
      <c r="AP9" s="22">
        <f t="shared" si="1"/>
        <v>935133.24526214669</v>
      </c>
      <c r="AQ9" s="22">
        <f t="shared" si="1"/>
        <v>962435.88339655253</v>
      </c>
      <c r="AR9" s="22">
        <f t="shared" si="1"/>
        <v>994714.00700064364</v>
      </c>
      <c r="AS9" s="22">
        <f t="shared" si="1"/>
        <v>1032611.2775488419</v>
      </c>
      <c r="AT9" s="22">
        <f t="shared" si="1"/>
        <v>1073631.2503794397</v>
      </c>
      <c r="AU9" s="22">
        <f t="shared" si="1"/>
        <v>1120998.8778554678</v>
      </c>
      <c r="AV9" s="22">
        <f t="shared" si="1"/>
        <v>1160498.0817378236</v>
      </c>
      <c r="AW9" s="22">
        <f t="shared" si="1"/>
        <v>1199390.9647078156</v>
      </c>
      <c r="AX9" s="22">
        <f t="shared" si="1"/>
        <v>1241864.1136892491</v>
      </c>
      <c r="AY9" s="22">
        <f t="shared" si="1"/>
        <v>1283793.3891359873</v>
      </c>
      <c r="AZ9" s="22">
        <f t="shared" si="1"/>
        <v>1328057.7906795307</v>
      </c>
      <c r="BA9" s="22">
        <f t="shared" si="1"/>
        <v>1373206.3813241522</v>
      </c>
      <c r="BB9" s="22">
        <f t="shared" si="1"/>
        <v>1422085.7866414152</v>
      </c>
      <c r="BC9" s="22">
        <f t="shared" si="1"/>
        <v>1469972.5230371091</v>
      </c>
      <c r="BD9" s="22">
        <f t="shared" si="1"/>
        <v>1519141.4950463071</v>
      </c>
      <c r="BE9" s="22">
        <f t="shared" si="1"/>
        <v>1570221.966049907</v>
      </c>
      <c r="BF9" s="22">
        <f t="shared" si="1"/>
        <v>1623486.8719465209</v>
      </c>
      <c r="BG9" s="22">
        <f t="shared" si="1"/>
        <v>1683559.1449077409</v>
      </c>
      <c r="BH9" s="22">
        <f t="shared" si="1"/>
        <v>1728526.1352123749</v>
      </c>
      <c r="BI9" s="22">
        <f t="shared" si="1"/>
        <v>1773012.5415236987</v>
      </c>
      <c r="BJ9" s="22">
        <f t="shared" si="1"/>
        <v>1818739.8460032092</v>
      </c>
      <c r="BK9" s="22">
        <f t="shared" si="1"/>
        <v>1864988.6973649294</v>
      </c>
    </row>
    <row r="10" spans="1:67" x14ac:dyDescent="0.2">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278541.46309545031</v>
      </c>
      <c r="AA10" s="22">
        <f t="shared" si="2"/>
        <v>282418.3062743434</v>
      </c>
      <c r="AB10" s="22">
        <f t="shared" si="2"/>
        <v>283269.0315357307</v>
      </c>
      <c r="AC10" s="22">
        <f t="shared" si="2"/>
        <v>282130.80467211502</v>
      </c>
      <c r="AD10" s="22">
        <f t="shared" si="2"/>
        <v>279055.41305439838</v>
      </c>
      <c r="AE10" s="22">
        <f t="shared" si="2"/>
        <v>277262.49387415289</v>
      </c>
      <c r="AF10" s="22">
        <f t="shared" si="2"/>
        <v>275547.03864190145</v>
      </c>
      <c r="AG10" s="22">
        <f t="shared" si="2"/>
        <v>247950.3688229383</v>
      </c>
      <c r="AH10" s="22">
        <f t="shared" si="2"/>
        <v>256098.43972435582</v>
      </c>
      <c r="AI10" s="22">
        <f t="shared" ref="AI10:BK10" si="3">AI8-AI9</f>
        <v>262055.66610991594</v>
      </c>
      <c r="AJ10" s="22">
        <f t="shared" si="3"/>
        <v>267424.46385366353</v>
      </c>
      <c r="AK10" s="22">
        <f t="shared" si="3"/>
        <v>273717.20429477794</v>
      </c>
      <c r="AL10" s="22">
        <f t="shared" si="3"/>
        <v>279473.0316131867</v>
      </c>
      <c r="AM10" s="22">
        <f t="shared" si="3"/>
        <v>284369.19268893043</v>
      </c>
      <c r="AN10" s="22">
        <f t="shared" si="3"/>
        <v>288908.13775778993</v>
      </c>
      <c r="AO10" s="22">
        <f t="shared" si="3"/>
        <v>292958.41395975242</v>
      </c>
      <c r="AP10" s="22">
        <f t="shared" si="3"/>
        <v>298551.77487261151</v>
      </c>
      <c r="AQ10" s="22">
        <f t="shared" si="3"/>
        <v>303927.12107259559</v>
      </c>
      <c r="AR10" s="22">
        <f t="shared" si="3"/>
        <v>307267.67755517259</v>
      </c>
      <c r="AS10" s="22">
        <f t="shared" si="3"/>
        <v>311934.65675954591</v>
      </c>
      <c r="AT10" s="22">
        <f t="shared" si="3"/>
        <v>317082.80451620743</v>
      </c>
      <c r="AU10" s="22">
        <f t="shared" si="3"/>
        <v>323587.30494796997</v>
      </c>
      <c r="AV10" s="22">
        <f t="shared" si="3"/>
        <v>327319.97177220671</v>
      </c>
      <c r="AW10" s="22">
        <f t="shared" si="3"/>
        <v>330444.44946031645</v>
      </c>
      <c r="AX10" s="22">
        <f t="shared" si="3"/>
        <v>334105.57373365574</v>
      </c>
      <c r="AY10" s="22">
        <f t="shared" si="3"/>
        <v>337157.85977308755</v>
      </c>
      <c r="AZ10" s="22">
        <f t="shared" si="3"/>
        <v>340356.51921937708</v>
      </c>
      <c r="BA10" s="22">
        <f t="shared" si="3"/>
        <v>343301.59533103788</v>
      </c>
      <c r="BB10" s="22">
        <f t="shared" si="3"/>
        <v>348880.32374639926</v>
      </c>
      <c r="BC10" s="22">
        <f t="shared" si="3"/>
        <v>353814.72638858436</v>
      </c>
      <c r="BD10" s="22">
        <f t="shared" si="3"/>
        <v>358660.10575258895</v>
      </c>
      <c r="BE10" s="22">
        <f t="shared" si="3"/>
        <v>363548.92810022458</v>
      </c>
      <c r="BF10" s="22">
        <f t="shared" si="3"/>
        <v>368521.55988970096</v>
      </c>
      <c r="BG10" s="22">
        <f t="shared" si="3"/>
        <v>374581.61903815251</v>
      </c>
      <c r="BH10" s="22">
        <f t="shared" si="3"/>
        <v>376865.01608162606</v>
      </c>
      <c r="BI10" s="22">
        <f t="shared" si="3"/>
        <v>378701.70789826568</v>
      </c>
      <c r="BJ10" s="22">
        <f t="shared" si="3"/>
        <v>380461.90248918394</v>
      </c>
      <c r="BK10" s="22">
        <f t="shared" si="3"/>
        <v>381985.63680968457</v>
      </c>
    </row>
    <row r="11" spans="1:67" x14ac:dyDescent="0.2">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34.539670484285459</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31.204236923059263</v>
      </c>
      <c r="AT11" s="22">
        <f>((Data!$AJ$15*LN('Intermediate calculations'!AT2))+Data!$AK$15)</f>
        <v>30.888133956158811</v>
      </c>
      <c r="AU11" s="22">
        <f>((Data!$AJ$15*LN('Intermediate calculations'!AU2))+Data!$AK$15)</f>
        <v>30.580692443381949</v>
      </c>
      <c r="AV11" s="22">
        <f>((Data!$AJ$15*LN('Intermediate calculations'!AV2))+Data!$AK$15)</f>
        <v>30.281450356077691</v>
      </c>
      <c r="AW11" s="22">
        <f>((Data!$AJ$15*LN('Intermediate calculations'!AW2))+Data!$AK$15)</f>
        <v>29.989981676261294</v>
      </c>
      <c r="AX11" s="22">
        <f>((Data!$AJ$15*LN('Intermediate calculations'!AX2))+Data!$AK$15)</f>
        <v>29.705892748937124</v>
      </c>
      <c r="AY11" s="22">
        <f>((Data!$AJ$15*LN('Intermediate calculations'!AY2))+Data!$AK$15)</f>
        <v>29.428819084898635</v>
      </c>
      <c r="AZ11" s="22">
        <f>((Data!$AJ$15*LN('Intermediate calculations'!AZ2))+Data!$AK$15)</f>
        <v>29.158422548852457</v>
      </c>
      <c r="BA11" s="22">
        <f>((Data!$AJ$15*LN('Intermediate calculations'!BA2))+Data!$AK$15)</f>
        <v>28.894388878448829</v>
      </c>
      <c r="BB11" s="22">
        <f>((Data!$AJ$15*LN('Intermediate calculations'!BB2))+Data!$AK$15)</f>
        <v>28.636425488561095</v>
      </c>
      <c r="BC11" s="22">
        <f>((Data!$AJ$15*LN('Intermediate calculations'!BC2))+Data!$AK$15)</f>
        <v>28.384259522341445</v>
      </c>
      <c r="BD11" s="22">
        <f>((Data!$AJ$15*LN('Intermediate calculations'!BD2))+Data!$AK$15)</f>
        <v>28.137636116501199</v>
      </c>
      <c r="BE11" s="22">
        <f>((Data!$AJ$15*LN('Intermediate calculations'!BE2))+Data!$AK$15)</f>
        <v>27.89631685316575</v>
      </c>
      <c r="BF11" s="22">
        <f>((Data!$AJ$15*LN('Intermediate calculations'!BF2))+Data!$AK$15)</f>
        <v>27.660078374730318</v>
      </c>
      <c r="BG11" s="22">
        <f>((Data!$AJ$15*LN('Intermediate calculations'!BG2))+Data!$AK$15)</f>
        <v>27.42871114154611</v>
      </c>
      <c r="BH11" s="22">
        <f>((Data!$AJ$15*LN('Intermediate calculations'!BH2))+Data!$AK$15)</f>
        <v>27.202018315119759</v>
      </c>
      <c r="BI11" s="22">
        <f>((Data!$AJ$15*LN('Intermediate calculations'!BI2))+Data!$AK$15)</f>
        <v>26.979814751909906</v>
      </c>
      <c r="BJ11" s="22">
        <f>((Data!$AJ$15*LN('Intermediate calculations'!BJ2))+Data!$AK$15)</f>
        <v>26.761926094832802</v>
      </c>
      <c r="BK11" s="22">
        <f>((Data!$AJ$15*LN('Intermediate calculations'!BK2))+Data!$AK$15)</f>
        <v>26.548187951307739</v>
      </c>
    </row>
    <row r="12" spans="1:67" x14ac:dyDescent="0.2">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1989214.0809840125</v>
      </c>
      <c r="AA12" s="22">
        <f>((Data!$AJ$6*'Intermediate calculations'!AA4)+Data!$AK$6)*Drivers!AB4</f>
        <v>2031584.5891224523</v>
      </c>
      <c r="AB12" s="22">
        <f>((Data!$AJ$6*'Intermediate calculations'!AB4)+Data!$AK$6)*Drivers!AC4</f>
        <v>2065795.7253002254</v>
      </c>
      <c r="AC12" s="22">
        <f>((Data!$AJ$6*'Intermediate calculations'!AC4)+Data!$AK$6)*Drivers!AD4</f>
        <v>2094779.0652397452</v>
      </c>
      <c r="AD12" s="22">
        <f>((Data!$AJ$6*'Intermediate calculations'!AD4)+Data!$AK$6)*Drivers!AE4</f>
        <v>2118412.1564230546</v>
      </c>
      <c r="AE12" s="22">
        <f>((Data!$AJ$6*'Intermediate calculations'!AE4)+Data!$AK$6)*Drivers!AF4</f>
        <v>2146845.3123571589</v>
      </c>
      <c r="AF12" s="22">
        <f>((Data!$AJ$6*'Intermediate calculations'!AF4)+Data!$AK$6)*Drivers!AG4</f>
        <v>2176243.6654550005</v>
      </c>
      <c r="AG12" s="22">
        <f>((Data!$AJ$6*'Intermediate calculations'!AG4)+Data!$AK$6)*Drivers!AH4</f>
        <v>2115628.2803271892</v>
      </c>
      <c r="AH12" s="22">
        <f>((Data!$AJ$6*'Intermediate calculations'!AH4)+Data!$AK$6)*Drivers!AI4</f>
        <v>2164126.4576460533</v>
      </c>
      <c r="AI12" s="22">
        <f>((Data!$AJ$6*'Intermediate calculations'!AI4)+Data!$AK$6)*Drivers!AJ4</f>
        <v>2205526.98465594</v>
      </c>
      <c r="AJ12" s="22">
        <f>((Data!$AJ$6*'Intermediate calculations'!AJ4)+Data!$AK$6)*Drivers!AK4</f>
        <v>2245411.9211828713</v>
      </c>
      <c r="AK12" s="22">
        <f>((Data!$AJ$6*'Intermediate calculations'!AK4)+Data!$AK$6)*Drivers!AL4</f>
        <v>2289214.7399112913</v>
      </c>
      <c r="AL12" s="22">
        <f>((Data!$AJ$6*'Intermediate calculations'!AL4)+Data!$AK$6)*Drivers!AM4</f>
        <v>2331700.2389165633</v>
      </c>
      <c r="AM12" s="22">
        <f>((Data!$AJ$6*'Intermediate calculations'!AM4)+Data!$AK$6)*Drivers!AN4</f>
        <v>2369659.4476021719</v>
      </c>
      <c r="AN12" s="22">
        <f>((Data!$AJ$6*'Intermediate calculations'!AN4)+Data!$AK$6)*Drivers!AO4</f>
        <v>2406836.7275832351</v>
      </c>
      <c r="AO12" s="22">
        <f>((Data!$AJ$6*'Intermediate calculations'!AO4)+Data!$AK$6)*Drivers!AP4</f>
        <v>2442719.9877408259</v>
      </c>
      <c r="AP12" s="22">
        <f>((Data!$AJ$6*'Intermediate calculations'!AP4)+Data!$AK$6)*Drivers!AQ4</f>
        <v>2484929.5578669789</v>
      </c>
      <c r="AQ12" s="22">
        <f>((Data!$AJ$6*'Intermediate calculations'!AQ4)+Data!$AK$6)*Drivers!AR4</f>
        <v>2526931.9898450202</v>
      </c>
      <c r="AR12" s="22">
        <f>((Data!$AJ$6*'Intermediate calculations'!AR4)+Data!$AK$6)*Drivers!AS4</f>
        <v>2570092.3655683296</v>
      </c>
      <c r="AS12" s="22">
        <f>((Data!$AJ$6*'Intermediate calculations'!AS4)+Data!$AK$6)*Drivers!AT4</f>
        <v>2619676.0791932181</v>
      </c>
      <c r="AT12" s="22">
        <f>((Data!$AJ$6*'Intermediate calculations'!AT4)+Data!$AK$6)*Drivers!AU4</f>
        <v>2672637.3538762257</v>
      </c>
      <c r="AU12" s="22">
        <f>((Data!$AJ$6*'Intermediate calculations'!AU4)+Data!$AK$6)*Drivers!AV4</f>
        <v>2732714.9813067401</v>
      </c>
      <c r="AV12" s="22">
        <f>((Data!$AJ$6*'Intermediate calculations'!AV4)+Data!$AK$6)*Drivers!AW4</f>
        <v>2783185.6801284607</v>
      </c>
      <c r="AW12" s="22">
        <f>((Data!$AJ$6*'Intermediate calculations'!AW4)+Data!$AK$6)*Drivers!AX4</f>
        <v>2831058.3571417974</v>
      </c>
      <c r="AX12" s="22">
        <f>((Data!$AJ$6*'Intermediate calculations'!AX4)+Data!$AK$6)*Drivers!AY4</f>
        <v>2882754.3719431432</v>
      </c>
      <c r="AY12" s="22">
        <f>((Data!$AJ$6*'Intermediate calculations'!AY4)+Data!$AK$6)*Drivers!AZ4</f>
        <v>2933470.0335990451</v>
      </c>
      <c r="AZ12" s="22">
        <f>((Data!$AJ$6*'Intermediate calculations'!AZ4)+Data!$AK$6)*Drivers!BA4</f>
        <v>2986519.0912026386</v>
      </c>
      <c r="BA12" s="22">
        <f>((Data!$AJ$6*'Intermediate calculations'!BA4)+Data!$AK$6)*Drivers!BB4</f>
        <v>3040214.6448563505</v>
      </c>
      <c r="BB12" s="22">
        <f>((Data!$AJ$6*'Intermediate calculations'!BB4)+Data!$AK$6)*Drivers!BC4</f>
        <v>3098280.0674767047</v>
      </c>
      <c r="BC12" s="22">
        <f>((Data!$AJ$6*'Intermediate calculations'!BC4)+Data!$AK$6)*Drivers!BD4</f>
        <v>3154905.3551571523</v>
      </c>
      <c r="BD12" s="22">
        <f>((Data!$AJ$6*'Intermediate calculations'!BD4)+Data!$AK$6)*Drivers!BE4</f>
        <v>3212671.0717327353</v>
      </c>
      <c r="BE12" s="22">
        <f>((Data!$AJ$6*'Intermediate calculations'!BE4)+Data!$AK$6)*Drivers!BF4</f>
        <v>3272271.9965181104</v>
      </c>
      <c r="BF12" s="22">
        <f>((Data!$AJ$6*'Intermediate calculations'!BF4)+Data!$AK$6)*Drivers!BG4</f>
        <v>3333994.0893037682</v>
      </c>
      <c r="BG12" s="22">
        <f>((Data!$AJ$6*'Intermediate calculations'!BG4)+Data!$AK$6)*Drivers!BH4</f>
        <v>3401421.1712419526</v>
      </c>
      <c r="BH12" s="22">
        <f>((Data!$AJ$6*'Intermediate calculations'!BH4)+Data!$AK$6)*Drivers!BI4</f>
        <v>3451670.4148595287</v>
      </c>
      <c r="BI12" s="22">
        <f>((Data!$AJ$6*'Intermediate calculations'!BI4)+Data!$AK$6)*Drivers!BJ4</f>
        <v>3501110.8810604643</v>
      </c>
      <c r="BJ12" s="22">
        <f>((Data!$AJ$6*'Intermediate calculations'!BJ4)+Data!$AK$6)*Drivers!BK4</f>
        <v>3551649.7058718633</v>
      </c>
      <c r="BK12" s="22">
        <f>((Data!$AJ$6*'Intermediate calculations'!BK4)+Data!$AK$6)*Drivers!BL4</f>
        <v>3602485.4251032704</v>
      </c>
    </row>
    <row r="13" spans="1:67" x14ac:dyDescent="0.2">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37.458564417111084</v>
      </c>
      <c r="AA13" s="45">
        <f>AA12*ttokg/Drivers!AB4</f>
        <v>37.68309112514838</v>
      </c>
      <c r="AB13" s="45">
        <f>AB12*ttokg/Drivers!AC4</f>
        <v>37.731090083648773</v>
      </c>
      <c r="AC13" s="45">
        <f>AC12*ttokg/Drivers!AD4</f>
        <v>37.662375175971533</v>
      </c>
      <c r="AD13" s="45">
        <f>AD12*ttokg/Drivers!AE4</f>
        <v>37.479461161920788</v>
      </c>
      <c r="AE13" s="45">
        <f>AE12*ttokg/Drivers!AF4</f>
        <v>37.378043200844516</v>
      </c>
      <c r="AF13" s="45">
        <f>AF12*ttokg/Drivers!AG4</f>
        <v>37.286898324481015</v>
      </c>
      <c r="AG13" s="45">
        <f>AG12*ttokg/Drivers!AH4</f>
        <v>35.671472095019958</v>
      </c>
      <c r="AH13" s="45">
        <f>AH12*ttokg/Drivers!AI4</f>
        <v>36.073836385731667</v>
      </c>
      <c r="AI13" s="45">
        <f>AI12*ttokg/Drivers!AJ4</f>
        <v>36.345454203013816</v>
      </c>
      <c r="AJ13" s="45">
        <f>AJ12*ttokg/Drivers!AK4</f>
        <v>36.581522533603398</v>
      </c>
      <c r="AK13" s="45">
        <f>AK12*ttokg/Drivers!AL4</f>
        <v>36.870609313174441</v>
      </c>
      <c r="AL13" s="45">
        <f>AL12*ttokg/Drivers!AM4</f>
        <v>37.127399096053935</v>
      </c>
      <c r="AM13" s="45">
        <f>AM12*ttokg/Drivers!AN4</f>
        <v>37.363917411723058</v>
      </c>
      <c r="AN13" s="45">
        <f>AN12*ttokg/Drivers!AO4</f>
        <v>37.580084720183486</v>
      </c>
      <c r="AO13" s="45">
        <f>AO12*ttokg/Drivers!AP4</f>
        <v>37.768476667959533</v>
      </c>
      <c r="AP13" s="45">
        <f>AP12*ttokg/Drivers!AQ4</f>
        <v>38.046483463766407</v>
      </c>
      <c r="AQ13" s="45">
        <f>AQ12*ttokg/Drivers!AR4</f>
        <v>38.312337645318578</v>
      </c>
      <c r="AR13" s="45">
        <f>AR12*ttokg/Drivers!AS4</f>
        <v>38.636979612610915</v>
      </c>
      <c r="AS13" s="45">
        <f>AS12*ttokg/Drivers!AT4</f>
        <v>39.049130758036512</v>
      </c>
      <c r="AT13" s="45">
        <f>AT12*ttokg/Drivers!AU4</f>
        <v>39.501460160147005</v>
      </c>
      <c r="AU13" s="45">
        <f>AU12*ttokg/Drivers!AV4</f>
        <v>40.047627464957351</v>
      </c>
      <c r="AV13" s="45">
        <f>AV12*ttokg/Drivers!AW4</f>
        <v>40.442125731839724</v>
      </c>
      <c r="AW13" s="45">
        <f>AW12*ttokg/Drivers!AX4</f>
        <v>40.838770632003744</v>
      </c>
      <c r="AX13" s="45">
        <f>AX12*ttokg/Drivers!AY4</f>
        <v>41.282265486835101</v>
      </c>
      <c r="AY13" s="45">
        <f>AY12*ttokg/Drivers!AZ4</f>
        <v>41.70321948171069</v>
      </c>
      <c r="AZ13" s="45">
        <f>AZ12*ttokg/Drivers!BA4</f>
        <v>42.148805143930545</v>
      </c>
      <c r="BA13" s="45">
        <f>BA12*ttokg/Drivers!BB4</f>
        <v>42.594768628471456</v>
      </c>
      <c r="BB13" s="45">
        <f>BB12*ttokg/Drivers!BC4</f>
        <v>43.140349531599547</v>
      </c>
      <c r="BC13" s="45">
        <f>BC12*ttokg/Drivers!BD4</f>
        <v>43.657643623234904</v>
      </c>
      <c r="BD13" s="45">
        <f>BD12*ttokg/Drivers!BE4</f>
        <v>44.182591804901556</v>
      </c>
      <c r="BE13" s="45">
        <f>BE12*ttokg/Drivers!BF4</f>
        <v>44.724479111223545</v>
      </c>
      <c r="BF13" s="45">
        <f>BF12*ttokg/Drivers!BG4</f>
        <v>45.286805888530871</v>
      </c>
      <c r="BG13" s="45">
        <f>BG12*ttokg/Drivers!BH4</f>
        <v>45.968032039091192</v>
      </c>
      <c r="BH13" s="45">
        <f>BH12*ttokg/Drivers!BI4</f>
        <v>46.410201780383986</v>
      </c>
      <c r="BI13" s="45">
        <f>BI12*ttokg/Drivers!BJ4</f>
        <v>46.835874911253697</v>
      </c>
      <c r="BJ13" s="45">
        <f>BJ12*ttokg/Drivers!BK4</f>
        <v>47.270645553596211</v>
      </c>
      <c r="BK13" s="45">
        <f>BK12*ttokg/Drivers!BL4</f>
        <v>47.703723167219465</v>
      </c>
    </row>
    <row r="14" spans="1:67" x14ac:dyDescent="0.2">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1.7769640324401065E-2</v>
      </c>
      <c r="Z14" s="22">
        <f>((Data!$AJ$6*LN('Intermediate calculations'!Z4))+Data!$AK$6)</f>
        <v>1.7771577678710408E-2</v>
      </c>
      <c r="AA14" s="22">
        <f>((Data!$AJ$6*LN('Intermediate calculations'!AA4))+Data!$AK$6)</f>
        <v>1.7774491584502127E-2</v>
      </c>
      <c r="AB14" s="22">
        <f>((Data!$AJ$6*LN('Intermediate calculations'!AB4))+Data!$AK$6)</f>
        <v>1.7775110489339274E-2</v>
      </c>
      <c r="AC14" s="22">
        <f>((Data!$AJ$6*LN('Intermediate calculations'!AC4))+Data!$AK$6)</f>
        <v>1.7774224035138435E-2</v>
      </c>
      <c r="AD14" s="22">
        <f>((Data!$AJ$6*LN('Intermediate calculations'!AD4))+Data!$AK$6)</f>
        <v>1.7771850196398646E-2</v>
      </c>
      <c r="AE14" s="22">
        <f>((Data!$AJ$6*LN('Intermediate calculations'!AE4))+Data!$AK$6)</f>
        <v>1.7770525031244967E-2</v>
      </c>
      <c r="AF14" s="22">
        <f>((Data!$AJ$6*LN('Intermediate calculations'!AF4))+Data!$AK$6)</f>
        <v>1.7769328570467383E-2</v>
      </c>
      <c r="AG14" s="22">
        <f>((Data!$AJ$6*LN('Intermediate calculations'!AG4))+Data!$AK$6)</f>
        <v>1.7747200928370878E-2</v>
      </c>
      <c r="AH14" s="22">
        <f>((Data!$AJ$6*LN('Intermediate calculations'!AH4))+Data!$AK$6)</f>
        <v>1.7752882840548063E-2</v>
      </c>
      <c r="AI14" s="22">
        <f>((Data!$AJ$6*LN('Intermediate calculations'!AI4))+Data!$AK$6)</f>
        <v>1.7756652482873406E-2</v>
      </c>
      <c r="AJ14" s="22">
        <f>((Data!$AJ$6*LN('Intermediate calculations'!AJ4))+Data!$AK$6)</f>
        <v>1.7759886890923757E-2</v>
      </c>
      <c r="AK14" s="22">
        <f>((Data!$AJ$6*LN('Intermediate calculations'!AK4))+Data!$AK$6)</f>
        <v>1.7763796083980519E-2</v>
      </c>
      <c r="AL14" s="22">
        <f>((Data!$AJ$6*LN('Intermediate calculations'!AL4))+Data!$AK$6)</f>
        <v>1.7767222086516255E-2</v>
      </c>
      <c r="AM14" s="22">
        <f>((Data!$AJ$6*LN('Intermediate calculations'!AM4))+Data!$AK$6)</f>
        <v>1.77703399456179E-2</v>
      </c>
      <c r="AN14" s="22">
        <f>((Data!$AJ$6*LN('Intermediate calculations'!AN4))+Data!$AK$6)</f>
        <v>1.7773158638512265E-2</v>
      </c>
      <c r="AO14" s="22">
        <f>((Data!$AJ$6*LN('Intermediate calculations'!AO4))+Data!$AK$6)</f>
        <v>1.77755915841145E-2</v>
      </c>
      <c r="AP14" s="22">
        <f>((Data!$AJ$6*LN('Intermediate calculations'!AP4))+Data!$AK$6)</f>
        <v>1.7779142592055364E-2</v>
      </c>
      <c r="AQ14" s="22">
        <f>((Data!$AJ$6*LN('Intermediate calculations'!AQ4))+Data!$AK$6)</f>
        <v>1.7782495596399564E-2</v>
      </c>
      <c r="AR14" s="22">
        <f>((Data!$AJ$6*LN('Intermediate calculations'!AR4))+Data!$AK$6)</f>
        <v>1.7786534827871906E-2</v>
      </c>
      <c r="AS14" s="22">
        <f>((Data!$AJ$6*LN('Intermediate calculations'!AS4))+Data!$AK$6)</f>
        <v>1.7791578015701668E-2</v>
      </c>
      <c r="AT14" s="22">
        <f>((Data!$AJ$6*LN('Intermediate calculations'!AT4))+Data!$AK$6)</f>
        <v>1.7797007400160141E-2</v>
      </c>
      <c r="AU14" s="22">
        <f>((Data!$AJ$6*LN('Intermediate calculations'!AU4))+Data!$AK$6)</f>
        <v>1.7803422050946482E-2</v>
      </c>
      <c r="AV14" s="22">
        <f>((Data!$AJ$6*LN('Intermediate calculations'!AV4))+Data!$AK$6)</f>
        <v>1.7807963142247873E-2</v>
      </c>
      <c r="AW14" s="22">
        <f>((Data!$AJ$6*LN('Intermediate calculations'!AW4))+Data!$AK$6)</f>
        <v>1.7812453844610703E-2</v>
      </c>
      <c r="AX14" s="22">
        <f>((Data!$AJ$6*LN('Intermediate calculations'!AX4))+Data!$AK$6)</f>
        <v>1.7817388797464452E-2</v>
      </c>
      <c r="AY14" s="22">
        <f>((Data!$AJ$6*LN('Intermediate calculations'!AY4))+Data!$AK$6)</f>
        <v>1.7821991611924798E-2</v>
      </c>
      <c r="AZ14" s="22">
        <f>((Data!$AJ$6*LN('Intermediate calculations'!AZ4))+Data!$AK$6)</f>
        <v>1.7826780445922466E-2</v>
      </c>
      <c r="BA14" s="22">
        <f>((Data!$AJ$6*LN('Intermediate calculations'!BA4))+Data!$AK$6)</f>
        <v>1.7831490465683945E-2</v>
      </c>
      <c r="BB14" s="22">
        <f>((Data!$AJ$6*LN('Intermediate calculations'!BB4))+Data!$AK$6)</f>
        <v>1.7837143938726742E-2</v>
      </c>
      <c r="BC14" s="22">
        <f>((Data!$AJ$6*LN('Intermediate calculations'!BC4))+Data!$AK$6)</f>
        <v>1.7842398010345203E-2</v>
      </c>
      <c r="BD14" s="22">
        <f>((Data!$AJ$6*LN('Intermediate calculations'!BD4))+Data!$AK$6)</f>
        <v>1.7847628156339796E-2</v>
      </c>
      <c r="BE14" s="22">
        <f>((Data!$AJ$6*LN('Intermediate calculations'!BE4))+Data!$AK$6)</f>
        <v>1.7852923716951435E-2</v>
      </c>
      <c r="BF14" s="22">
        <f>((Data!$AJ$6*LN('Intermediate calculations'!BF4))+Data!$AK$6)</f>
        <v>1.7858312254674099E-2</v>
      </c>
      <c r="BG14" s="22">
        <f>((Data!$AJ$6*LN('Intermediate calculations'!BG4))+Data!$AK$6)</f>
        <v>1.7864700456957393E-2</v>
      </c>
      <c r="BH14" s="22">
        <f>((Data!$AJ$6*LN('Intermediate calculations'!BH4))+Data!$AK$6)</f>
        <v>1.786876810862199E-2</v>
      </c>
      <c r="BI14" s="22">
        <f>((Data!$AJ$6*LN('Intermediate calculations'!BI4))+Data!$AK$6)</f>
        <v>1.78726274183191E-2</v>
      </c>
      <c r="BJ14" s="22">
        <f>((Data!$AJ$6*LN('Intermediate calculations'!BJ4))+Data!$AK$6)</f>
        <v>1.7876513541624037E-2</v>
      </c>
      <c r="BK14" s="22">
        <f>((Data!$AJ$6*LN('Intermediate calculations'!BK4))+Data!$AK$6)</f>
        <v>1.7880330164920532E-2</v>
      </c>
    </row>
    <row r="15" spans="1:67" x14ac:dyDescent="0.2">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2896085.5151347183</v>
      </c>
      <c r="AA15" s="22">
        <f>((Data!$AJ$17*'Intermediate calculations'!AA12)+Data!$AK$17)</f>
        <v>2942445.3105118945</v>
      </c>
      <c r="AB15" s="22">
        <f>((Data!$AJ$17*'Intermediate calculations'!AB12)+Data!$AK$17)</f>
        <v>2979877.5090505611</v>
      </c>
      <c r="AC15" s="22">
        <f>((Data!$AJ$17*'Intermediate calculations'!AC12)+Data!$AK$17)</f>
        <v>3011589.701515968</v>
      </c>
      <c r="AD15" s="22">
        <f>((Data!$AJ$17*'Intermediate calculations'!AD12)+Data!$AK$17)</f>
        <v>3037447.9061853234</v>
      </c>
      <c r="AE15" s="22">
        <f>((Data!$AJ$17*'Intermediate calculations'!AE12)+Data!$AK$17)</f>
        <v>3068558.1134720882</v>
      </c>
      <c r="AF15" s="22">
        <f>((Data!$AJ$17*'Intermediate calculations'!AF12)+Data!$AK$17)</f>
        <v>3100724.393602334</v>
      </c>
      <c r="AG15" s="22">
        <f>((Data!$AJ$17*'Intermediate calculations'!AG12)+Data!$AK$17)</f>
        <v>3034401.9213286387</v>
      </c>
      <c r="AH15" s="22">
        <f>((Data!$AJ$17*'Intermediate calculations'!AH12)+Data!$AK$17)</f>
        <v>3087466.3209653459</v>
      </c>
      <c r="AI15" s="22">
        <f>((Data!$AJ$17*'Intermediate calculations'!AI12)+Data!$AK$17)</f>
        <v>3132764.809112208</v>
      </c>
      <c r="AJ15" s="22">
        <f>((Data!$AJ$17*'Intermediate calculations'!AJ12)+Data!$AK$17)</f>
        <v>3176405.010215736</v>
      </c>
      <c r="AK15" s="22">
        <f>((Data!$AJ$17*'Intermediate calculations'!AK12)+Data!$AK$17)</f>
        <v>3224331.9717371343</v>
      </c>
      <c r="AL15" s="22">
        <f>((Data!$AJ$17*'Intermediate calculations'!AL12)+Data!$AK$17)</f>
        <v>3270817.5846532267</v>
      </c>
      <c r="AM15" s="22">
        <f>((Data!$AJ$17*'Intermediate calculations'!AM12)+Data!$AK$17)</f>
        <v>3312350.7459170595</v>
      </c>
      <c r="AN15" s="22">
        <f>((Data!$AJ$17*'Intermediate calculations'!AN12)+Data!$AK$17)</f>
        <v>3353028.3579714317</v>
      </c>
      <c r="AO15" s="22">
        <f>((Data!$AJ$17*'Intermediate calculations'!AO12)+Data!$AK$17)</f>
        <v>3392290.1150628617</v>
      </c>
      <c r="AP15" s="22">
        <f>((Data!$AJ$17*'Intermediate calculations'!AP12)+Data!$AK$17)</f>
        <v>3438473.8197192559</v>
      </c>
      <c r="AQ15" s="22">
        <f>((Data!$AJ$17*'Intermediate calculations'!AQ12)+Data!$AK$17)</f>
        <v>3484430.8836629651</v>
      </c>
      <c r="AR15" s="22">
        <f>((Data!$AJ$17*'Intermediate calculations'!AR12)+Data!$AK$17)</f>
        <v>3531654.9145949753</v>
      </c>
      <c r="AS15" s="22">
        <f>((Data!$AJ$17*'Intermediate calculations'!AS12)+Data!$AK$17)</f>
        <v>3585907.0564427841</v>
      </c>
      <c r="AT15" s="22">
        <f>((Data!$AJ$17*'Intermediate calculations'!AT12)+Data!$AK$17)</f>
        <v>3643854.7650045119</v>
      </c>
      <c r="AU15" s="22">
        <f>((Data!$AJ$17*'Intermediate calculations'!AU12)+Data!$AK$17)</f>
        <v>3709588.8483750653</v>
      </c>
      <c r="AV15" s="22">
        <f>((Data!$AJ$17*'Intermediate calculations'!AV12)+Data!$AK$17)</f>
        <v>3764811.48725098</v>
      </c>
      <c r="AW15" s="22">
        <f>((Data!$AJ$17*'Intermediate calculations'!AW12)+Data!$AK$17)</f>
        <v>3817191.4941945942</v>
      </c>
      <c r="AX15" s="22">
        <f>((Data!$AJ$17*'Intermediate calculations'!AX12)+Data!$AK$17)</f>
        <v>3873754.8155542351</v>
      </c>
      <c r="AY15" s="22">
        <f>((Data!$AJ$17*'Intermediate calculations'!AY12)+Data!$AK$17)</f>
        <v>3929245.4811158478</v>
      </c>
      <c r="AZ15" s="22">
        <f>((Data!$AJ$17*'Intermediate calculations'!AZ12)+Data!$AK$17)</f>
        <v>3987289.2375753894</v>
      </c>
      <c r="BA15" s="22">
        <f>((Data!$AJ$17*'Intermediate calculations'!BA12)+Data!$AK$17)</f>
        <v>4046040.3592734532</v>
      </c>
      <c r="BB15" s="22">
        <f>((Data!$AJ$17*'Intermediate calculations'!BB12)+Data!$AK$17)</f>
        <v>4109572.7838168042</v>
      </c>
      <c r="BC15" s="22">
        <f>((Data!$AJ$17*'Intermediate calculations'!BC12)+Data!$AK$17)</f>
        <v>4171529.4811842758</v>
      </c>
      <c r="BD15" s="22">
        <f>((Data!$AJ$17*'Intermediate calculations'!BD12)+Data!$AK$17)</f>
        <v>4234733.9816238265</v>
      </c>
      <c r="BE15" s="22">
        <f>((Data!$AJ$17*'Intermediate calculations'!BE12)+Data!$AK$17)</f>
        <v>4299946.4796262681</v>
      </c>
      <c r="BF15" s="22">
        <f>((Data!$AJ$17*'Intermediate calculations'!BF12)+Data!$AK$17)</f>
        <v>4367479.8587975753</v>
      </c>
      <c r="BG15" s="22">
        <f>((Data!$AJ$17*'Intermediate calculations'!BG12)+Data!$AK$17)</f>
        <v>4441255.3658394273</v>
      </c>
      <c r="BH15" s="22">
        <f>((Data!$AJ$17*'Intermediate calculations'!BH12)+Data!$AK$17)</f>
        <v>4496235.6989606926</v>
      </c>
      <c r="BI15" s="22">
        <f>((Data!$AJ$17*'Intermediate calculations'!BI12)+Data!$AK$17)</f>
        <v>4550331.1062883232</v>
      </c>
      <c r="BJ15" s="22">
        <f>((Data!$AJ$17*'Intermediate calculations'!BJ12)+Data!$AK$17)</f>
        <v>4605628.2853828976</v>
      </c>
      <c r="BK15" s="22">
        <f>((Data!$AJ$17*'Intermediate calculations'!BK12)+Data!$AK$17)</f>
        <v>4661250.312235144</v>
      </c>
    </row>
    <row r="16" spans="1:67" x14ac:dyDescent="0.2">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2">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2">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177637.09191728826</v>
      </c>
      <c r="AH18" s="22">
        <f t="shared" si="4"/>
        <v>179060.57292509661</v>
      </c>
      <c r="AI18" s="22">
        <f t="shared" si="4"/>
        <v>180491.14739755823</v>
      </c>
      <c r="AJ18" s="22">
        <f t="shared" si="4"/>
        <v>181935.77452635719</v>
      </c>
      <c r="AK18" s="22">
        <f t="shared" si="4"/>
        <v>183401.23515728026</v>
      </c>
      <c r="AL18" s="22">
        <f t="shared" si="4"/>
        <v>184881.35730144716</v>
      </c>
      <c r="AM18" s="22">
        <f t="shared" si="4"/>
        <v>186163.13916748544</v>
      </c>
      <c r="AN18" s="22">
        <f t="shared" si="4"/>
        <v>187456.13867834836</v>
      </c>
      <c r="AO18" s="22">
        <f t="shared" si="4"/>
        <v>188759.85380632215</v>
      </c>
      <c r="AP18" s="22">
        <f t="shared" si="4"/>
        <v>190083.65887926851</v>
      </c>
      <c r="AQ18" s="22">
        <f t="shared" si="4"/>
        <v>191419.74252341699</v>
      </c>
      <c r="AR18" s="22">
        <f t="shared" si="4"/>
        <v>192596.94464528965</v>
      </c>
      <c r="AS18" s="22">
        <f t="shared" si="4"/>
        <v>193791.54589400379</v>
      </c>
      <c r="AT18" s="22">
        <f t="shared" si="4"/>
        <v>194999.92971417823</v>
      </c>
      <c r="AU18" s="22">
        <f t="shared" si="4"/>
        <v>196226.718732156</v>
      </c>
      <c r="AV18" s="22">
        <f t="shared" si="4"/>
        <v>197451.68924139609</v>
      </c>
      <c r="AW18" s="22">
        <f t="shared" si="4"/>
        <v>198516.61109412447</v>
      </c>
      <c r="AX18" s="22">
        <f t="shared" si="4"/>
        <v>199593.54648374426</v>
      </c>
      <c r="AY18" s="22">
        <f t="shared" si="4"/>
        <v>200676.71626508725</v>
      </c>
      <c r="AZ18" s="22">
        <f t="shared" si="4"/>
        <v>201770.19867275364</v>
      </c>
      <c r="BA18" s="22">
        <f t="shared" si="4"/>
        <v>202872.00006524246</v>
      </c>
      <c r="BB18" s="22">
        <f t="shared" si="4"/>
        <v>203828.34952307199</v>
      </c>
      <c r="BC18" s="22">
        <f t="shared" si="4"/>
        <v>204788.45212371188</v>
      </c>
      <c r="BD18" s="22">
        <f t="shared" si="4"/>
        <v>205755.47561048091</v>
      </c>
      <c r="BE18" s="22">
        <f t="shared" si="4"/>
        <v>206730.29803607438</v>
      </c>
      <c r="BF18" s="22">
        <f t="shared" si="4"/>
        <v>207713.30123834149</v>
      </c>
      <c r="BG18" s="22">
        <f t="shared" si="4"/>
        <v>208546.15426372847</v>
      </c>
      <c r="BH18" s="22">
        <f t="shared" si="4"/>
        <v>209361.98190304814</v>
      </c>
      <c r="BI18" s="22">
        <f t="shared" si="4"/>
        <v>210180.6806311117</v>
      </c>
      <c r="BJ18" s="22">
        <f t="shared" si="4"/>
        <v>211004.58594774903</v>
      </c>
      <c r="BK18" s="22">
        <f t="shared" si="4"/>
        <v>211832.74440754173</v>
      </c>
    </row>
    <row r="19" spans="1:63" x14ac:dyDescent="0.2">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190794.16149087547</v>
      </c>
      <c r="AH19" s="22">
        <f>(((Data!$AJ$7*'Intermediate calculations'!AH4)+Data!$AK$7)*Drivers!AI4)</f>
        <v>193037.18494819524</v>
      </c>
      <c r="AI19" s="22">
        <f>(((Data!$AJ$7*'Intermediate calculations'!AI4)+Data!$AK$7)*Drivers!AJ4)</f>
        <v>195291.38579918843</v>
      </c>
      <c r="AJ19" s="22">
        <f>(((Data!$AJ$7*'Intermediate calculations'!AJ4)+Data!$AK$7)*Drivers!AK4)</f>
        <v>197567.72985941972</v>
      </c>
      <c r="AK19" s="22">
        <f>(((Data!$AJ$7*'Intermediate calculations'!AK4)+Data!$AK$7)*Drivers!AL4)</f>
        <v>199876.90191925634</v>
      </c>
      <c r="AL19" s="22">
        <f>(((Data!$AJ$7*'Intermediate calculations'!AL4)+Data!$AK$7)*Drivers!AM4)</f>
        <v>202209.17658316376</v>
      </c>
      <c r="AM19" s="22">
        <f>(((Data!$AJ$7*'Intermediate calculations'!AM4)+Data!$AK$7)*Drivers!AN4)</f>
        <v>204228.92027972176</v>
      </c>
      <c r="AN19" s="22">
        <f>(((Data!$AJ$7*'Intermediate calculations'!AN4)+Data!$AK$7)*Drivers!AO4)</f>
        <v>206266.33996938364</v>
      </c>
      <c r="AO19" s="22">
        <f>(((Data!$AJ$7*'Intermediate calculations'!AO4)+Data!$AK$7)*Drivers!AP4)</f>
        <v>208320.6445914103</v>
      </c>
      <c r="AP19" s="22">
        <f>(((Data!$AJ$7*'Intermediate calculations'!AP4)+Data!$AK$7)*Drivers!AQ4)</f>
        <v>210406.6055668288</v>
      </c>
      <c r="AQ19" s="22">
        <f>(((Data!$AJ$7*'Intermediate calculations'!AQ4)+Data!$AK$7)*Drivers!AR4)</f>
        <v>212511.91427016049</v>
      </c>
      <c r="AR19" s="22">
        <f>(((Data!$AJ$7*'Intermediate calculations'!AR4)+Data!$AK$7)*Drivers!AS4)</f>
        <v>214366.86839942733</v>
      </c>
      <c r="AS19" s="22">
        <f>(((Data!$AJ$7*'Intermediate calculations'!AS4)+Data!$AK$7)*Drivers!AT4)</f>
        <v>216249.23887596416</v>
      </c>
      <c r="AT19" s="22">
        <f>(((Data!$AJ$7*'Intermediate calculations'!AT4)+Data!$AK$7)*Drivers!AU4)</f>
        <v>218153.32698056771</v>
      </c>
      <c r="AU19" s="22">
        <f>(((Data!$AJ$7*'Intermediate calculations'!AU4)+Data!$AK$7)*Drivers!AV4)</f>
        <v>220086.41672985992</v>
      </c>
      <c r="AV19" s="22">
        <f>(((Data!$AJ$7*'Intermediate calculations'!AV4)+Data!$AK$7)*Drivers!AW4)</f>
        <v>222016.64099817013</v>
      </c>
      <c r="AW19" s="22">
        <f>(((Data!$AJ$7*'Intermediate calculations'!AW4)+Data!$AK$7)*Drivers!AX4)</f>
        <v>223694.6716025685</v>
      </c>
      <c r="AX19" s="22">
        <f>(((Data!$AJ$7*'Intermediate calculations'!AX4)+Data!$AK$7)*Drivers!AY4)</f>
        <v>225391.63231204374</v>
      </c>
      <c r="AY19" s="22">
        <f>(((Data!$AJ$7*'Intermediate calculations'!AY4)+Data!$AK$7)*Drivers!AZ4)</f>
        <v>227098.41674716098</v>
      </c>
      <c r="AZ19" s="22">
        <f>(((Data!$AJ$7*'Intermediate calculations'!AZ4)+Data!$AK$7)*Drivers!BA4)</f>
        <v>228821.45110947991</v>
      </c>
      <c r="BA19" s="22">
        <f>(((Data!$AJ$7*'Intermediate calculations'!BA4)+Data!$AK$7)*Drivers!BB4)</f>
        <v>230557.59395585698</v>
      </c>
      <c r="BB19" s="22">
        <f>(((Data!$AJ$7*'Intermediate calculations'!BB4)+Data!$AK$7)*Drivers!BC4)</f>
        <v>232064.54364857494</v>
      </c>
      <c r="BC19" s="22">
        <f>(((Data!$AJ$7*'Intermediate calculations'!BC4)+Data!$AK$7)*Drivers!BD4)</f>
        <v>233577.40728557183</v>
      </c>
      <c r="BD19" s="22">
        <f>(((Data!$AJ$7*'Intermediate calculations'!BD4)+Data!$AK$7)*Drivers!BE4)</f>
        <v>235101.17637887475</v>
      </c>
      <c r="BE19" s="22">
        <f>(((Data!$AJ$7*'Intermediate calculations'!BE4)+Data!$AK$7)*Drivers!BF4)</f>
        <v>236637.23450352377</v>
      </c>
      <c r="BF19" s="22">
        <f>(((Data!$AJ$7*'Intermediate calculations'!BF4)+Data!$AK$7)*Drivers!BG4)</f>
        <v>238186.18333333661</v>
      </c>
      <c r="BG19" s="22">
        <f>(((Data!$AJ$7*'Intermediate calculations'!BG4)+Data!$AK$7)*Drivers!BH4)</f>
        <v>239498.53584256954</v>
      </c>
      <c r="BH19" s="22">
        <f>(((Data!$AJ$7*'Intermediate calculations'!BH4)+Data!$AK$7)*Drivers!BI4)</f>
        <v>240784.06091953654</v>
      </c>
      <c r="BI19" s="22">
        <f>(((Data!$AJ$7*'Intermediate calculations'!BI4)+Data!$AK$7)*Drivers!BJ4)</f>
        <v>242074.11006065697</v>
      </c>
      <c r="BJ19" s="22">
        <f>(((Data!$AJ$7*'Intermediate calculations'!BJ4)+Data!$AK$7)*Drivers!BK4)</f>
        <v>243372.36338591439</v>
      </c>
      <c r="BK19" s="22">
        <f>(((Data!$AJ$7*'Intermediate calculations'!BK4)+Data!$AK$7)*Drivers!BL4)</f>
        <v>244677.31852160167</v>
      </c>
    </row>
    <row r="20" spans="1:63" x14ac:dyDescent="0.2">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3.2169680613561937E-3</v>
      </c>
      <c r="AH20" s="22">
        <f>AH19/Drivers!AI4</f>
        <v>3.2177379476048744E-3</v>
      </c>
      <c r="AI20" s="22">
        <f>AI19/Drivers!AJ4</f>
        <v>3.2182576627666059E-3</v>
      </c>
      <c r="AJ20" s="22">
        <f>AJ19/Drivers!AK4</f>
        <v>3.2187093573271459E-3</v>
      </c>
      <c r="AK20" s="22">
        <f>AK19/Drivers!AL4</f>
        <v>3.2192624977061628E-3</v>
      </c>
      <c r="AL20" s="22">
        <f>AL19/Drivers!AM4</f>
        <v>3.2197538408178759E-3</v>
      </c>
      <c r="AM20" s="22">
        <f>AM19/Drivers!AN4</f>
        <v>3.2202063963825676E-3</v>
      </c>
      <c r="AN20" s="22">
        <f>AN19/Drivers!AO4</f>
        <v>3.2206200122079274E-3</v>
      </c>
      <c r="AO20" s="22">
        <f>AO19/Drivers!AP4</f>
        <v>3.220980482491457E-3</v>
      </c>
      <c r="AP20" s="22">
        <f>AP19/Drivers!AQ4</f>
        <v>3.2215124223630414E-3</v>
      </c>
      <c r="AQ20" s="22">
        <f>AQ19/Drivers!AR4</f>
        <v>3.2220211093495761E-3</v>
      </c>
      <c r="AR20" s="22">
        <f>AR19/Drivers!AS4</f>
        <v>3.2226422812381673E-3</v>
      </c>
      <c r="AS20" s="22">
        <f>AS19/Drivers!AT4</f>
        <v>3.2234308937133943E-3</v>
      </c>
      <c r="AT20" s="22">
        <f>AT19/Drivers!AU4</f>
        <v>3.2242963835060969E-3</v>
      </c>
      <c r="AU20" s="22">
        <f>AU19/Drivers!AV4</f>
        <v>3.2253414233050031E-3</v>
      </c>
      <c r="AV20" s="22">
        <f>AV19/Drivers!AW4</f>
        <v>3.2260962586564798E-3</v>
      </c>
      <c r="AW20" s="22">
        <f>AW19/Drivers!AX4</f>
        <v>3.2268552013889613E-3</v>
      </c>
      <c r="AX20" s="22">
        <f>AX19/Drivers!AY4</f>
        <v>3.227703787105878E-3</v>
      </c>
      <c r="AY20" s="22">
        <f>AY19/Drivers!AZ4</f>
        <v>3.2285092430060741E-3</v>
      </c>
      <c r="AZ20" s="22">
        <f>AZ19/Drivers!BA4</f>
        <v>3.2293618292863961E-3</v>
      </c>
      <c r="BA20" s="22">
        <f>BA19/Drivers!BB4</f>
        <v>3.2302151384942151E-3</v>
      </c>
      <c r="BB20" s="22">
        <f>BB19/Drivers!BC4</f>
        <v>3.2312590562686232E-3</v>
      </c>
      <c r="BC20" s="22">
        <f>BC19/Drivers!BD4</f>
        <v>3.2322488498881551E-3</v>
      </c>
      <c r="BD20" s="22">
        <f>BD19/Drivers!BE4</f>
        <v>3.2332532888894893E-3</v>
      </c>
      <c r="BE20" s="22">
        <f>BE19/Drivers!BF4</f>
        <v>3.2342901393136014E-3</v>
      </c>
      <c r="BF20" s="22">
        <f>BF19/Drivers!BG4</f>
        <v>3.2353660987441664E-3</v>
      </c>
      <c r="BG20" s="22">
        <f>BG19/Drivers!BH4</f>
        <v>3.2366695609491011E-3</v>
      </c>
      <c r="BH20" s="22">
        <f>BH19/Drivers!BI4</f>
        <v>3.2375156111858205E-3</v>
      </c>
      <c r="BI20" s="22">
        <f>BI19/Drivers!BJ4</f>
        <v>3.23833009670915E-3</v>
      </c>
      <c r="BJ20" s="22">
        <f>BJ19/Drivers!BK4</f>
        <v>3.2391619894655316E-3</v>
      </c>
      <c r="BK20" s="22">
        <f>BK19/Drivers!BL4</f>
        <v>3.2399906427706005E-3</v>
      </c>
    </row>
    <row r="21" spans="1:63" x14ac:dyDescent="0.2">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3.216968061356194</v>
      </c>
      <c r="AH21" s="22">
        <f t="shared" si="7"/>
        <v>3.2177379476048742</v>
      </c>
      <c r="AI21" s="22">
        <f t="shared" si="7"/>
        <v>3.218257662766606</v>
      </c>
      <c r="AJ21" s="22">
        <f t="shared" si="7"/>
        <v>3.2187093573271457</v>
      </c>
      <c r="AK21" s="22">
        <f t="shared" si="7"/>
        <v>3.219262497706163</v>
      </c>
      <c r="AL21" s="22">
        <f t="shared" si="7"/>
        <v>3.2197538408178761</v>
      </c>
      <c r="AM21" s="22">
        <f t="shared" si="7"/>
        <v>3.2202063963825678</v>
      </c>
      <c r="AN21" s="22">
        <f t="shared" si="7"/>
        <v>3.2206200122079274</v>
      </c>
      <c r="AO21" s="22">
        <f t="shared" si="7"/>
        <v>3.220980482491457</v>
      </c>
      <c r="AP21" s="22">
        <f t="shared" si="7"/>
        <v>3.2215124223630416</v>
      </c>
      <c r="AQ21" s="22">
        <f t="shared" si="7"/>
        <v>3.2220211093495763</v>
      </c>
      <c r="AR21" s="22">
        <f t="shared" si="7"/>
        <v>3.2226422812381674</v>
      </c>
      <c r="AS21" s="22">
        <f t="shared" si="7"/>
        <v>3.2234308937133944</v>
      </c>
      <c r="AT21" s="22">
        <f t="shared" si="7"/>
        <v>3.2242963835060969</v>
      </c>
      <c r="AU21" s="22">
        <f t="shared" si="7"/>
        <v>3.2253414233050033</v>
      </c>
      <c r="AV21" s="22">
        <f t="shared" si="7"/>
        <v>3.2260962586564799</v>
      </c>
      <c r="AW21" s="22">
        <f t="shared" si="7"/>
        <v>3.2268552013889615</v>
      </c>
      <c r="AX21" s="22">
        <f t="shared" si="7"/>
        <v>3.2277037871058782</v>
      </c>
      <c r="AY21" s="22">
        <f t="shared" si="7"/>
        <v>3.2285092430060742</v>
      </c>
      <c r="AZ21" s="22">
        <f t="shared" si="7"/>
        <v>3.2293618292863959</v>
      </c>
      <c r="BA21" s="22">
        <f t="shared" si="7"/>
        <v>3.230215138494215</v>
      </c>
      <c r="BB21" s="22">
        <f t="shared" si="7"/>
        <v>3.2312590562686232</v>
      </c>
      <c r="BC21" s="22">
        <f t="shared" si="7"/>
        <v>3.2322488498881552</v>
      </c>
      <c r="BD21" s="22">
        <f t="shared" si="7"/>
        <v>3.2332532888894892</v>
      </c>
      <c r="BE21" s="22">
        <f t="shared" si="7"/>
        <v>3.2342901393136012</v>
      </c>
      <c r="BF21" s="22">
        <f t="shared" si="7"/>
        <v>3.2353660987441666</v>
      </c>
      <c r="BG21" s="22">
        <f t="shared" si="7"/>
        <v>3.236669560949101</v>
      </c>
      <c r="BH21" s="22">
        <f t="shared" si="7"/>
        <v>3.2375156111858203</v>
      </c>
      <c r="BI21" s="22">
        <f t="shared" si="7"/>
        <v>3.23833009670915</v>
      </c>
      <c r="BJ21" s="22">
        <f t="shared" si="7"/>
        <v>3.2391619894655315</v>
      </c>
      <c r="BK21" s="22">
        <f t="shared" si="7"/>
        <v>3.2399906427706004</v>
      </c>
    </row>
    <row r="22" spans="1:63" x14ac:dyDescent="0.2">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10754.895090045062</v>
      </c>
      <c r="Z22" s="22">
        <f>((Data!$AJ$8*'Intermediate calculations'!Z4)+Data!$AK$8)*Drivers!AA4</f>
        <v>10915.959705665911</v>
      </c>
      <c r="AA22" s="22">
        <f>((Data!$AJ$8*'Intermediate calculations'!AA4)+Data!$AK$8)*Drivers!AB4</f>
        <v>11083.523591817515</v>
      </c>
      <c r="AB22" s="22">
        <f>((Data!$AJ$8*'Intermediate calculations'!AB4)+Data!$AK$8)*Drivers!AC4</f>
        <v>11256.14985799816</v>
      </c>
      <c r="AC22" s="22">
        <f>((Data!$AJ$8*'Intermediate calculations'!AC4)+Data!$AK$8)*Drivers!AD4</f>
        <v>11434.433042269102</v>
      </c>
      <c r="AD22" s="22">
        <f>((Data!$AJ$8*'Intermediate calculations'!AD4)+Data!$AK$8)*Drivers!AE4</f>
        <v>11618.606464530285</v>
      </c>
      <c r="AE22" s="22">
        <f>((Data!$AJ$8*'Intermediate calculations'!AE4)+Data!$AK$8)*Drivers!AF4</f>
        <v>11805.786955654419</v>
      </c>
      <c r="AF22" s="22">
        <f>((Data!$AJ$8*'Intermediate calculations'!AF4)+Data!$AK$8)*Drivers!AG4</f>
        <v>11996.056186233092</v>
      </c>
      <c r="AG22" s="22">
        <f>((Data!$AJ$8*'Intermediate calculations'!AG4)+Data!$AK$8)*Drivers!AH4</f>
        <v>12178.350733460138</v>
      </c>
      <c r="AH22" s="22">
        <f>((Data!$AJ$8*'Intermediate calculations'!AH4)+Data!$AK$8)*Drivers!AI4</f>
        <v>12321.522443501826</v>
      </c>
      <c r="AI22" s="22">
        <f>((Data!$AJ$8*'Intermediate calculations'!AI4)+Data!$AK$8)*Drivers!AJ4</f>
        <v>12465.407604203518</v>
      </c>
      <c r="AJ22" s="22">
        <f>((Data!$AJ$8*'Intermediate calculations'!AJ4)+Data!$AK$8)*Drivers!AK4</f>
        <v>12610.706161239557</v>
      </c>
      <c r="AK22" s="22">
        <f>((Data!$AJ$8*'Intermediate calculations'!AK4)+Data!$AK$8)*Drivers!AL4</f>
        <v>12758.100122505724</v>
      </c>
      <c r="AL22" s="22">
        <f>((Data!$AJ$8*'Intermediate calculations'!AL4)+Data!$AK$8)*Drivers!AM4</f>
        <v>12906.968718074284</v>
      </c>
      <c r="AM22" s="22">
        <f>((Data!$AJ$8*'Intermediate calculations'!AM4)+Data!$AK$8)*Drivers!AN4</f>
        <v>13035.88852849288</v>
      </c>
      <c r="AN22" s="22">
        <f>((Data!$AJ$8*'Intermediate calculations'!AN4)+Data!$AK$8)*Drivers!AO4</f>
        <v>13165.936593790448</v>
      </c>
      <c r="AO22" s="22">
        <f>((Data!$AJ$8*'Intermediate calculations'!AO4)+Data!$AK$8)*Drivers!AP4</f>
        <v>13297.06242072832</v>
      </c>
      <c r="AP22" s="22">
        <f>((Data!$AJ$8*'Intermediate calculations'!AP4)+Data!$AK$8)*Drivers!AQ4</f>
        <v>13430.208865967799</v>
      </c>
      <c r="AQ22" s="22">
        <f>((Data!$AJ$8*'Intermediate calculations'!AQ4)+Data!$AK$8)*Drivers!AR4</f>
        <v>13564.590272563439</v>
      </c>
      <c r="AR22" s="22">
        <f>((Data!$AJ$8*'Intermediate calculations'!AR4)+Data!$AK$8)*Drivers!AS4</f>
        <v>13682.991599963449</v>
      </c>
      <c r="AS22" s="22">
        <f>((Data!$AJ$8*'Intermediate calculations'!AS4)+Data!$AK$8)*Drivers!AT4</f>
        <v>13803.14290697644</v>
      </c>
      <c r="AT22" s="22">
        <f>((Data!$AJ$8*'Intermediate calculations'!AT4)+Data!$AK$8)*Drivers!AU4</f>
        <v>13924.680445568154</v>
      </c>
      <c r="AU22" s="22">
        <f>((Data!$AJ$8*'Intermediate calculations'!AU4)+Data!$AK$8)*Drivers!AV4</f>
        <v>14048.069152969785</v>
      </c>
      <c r="AV22" s="22">
        <f>((Data!$AJ$8*'Intermediate calculations'!AV4)+Data!$AK$8)*Drivers!AW4</f>
        <v>14171.274957330012</v>
      </c>
      <c r="AW22" s="22">
        <f>((Data!$AJ$8*'Intermediate calculations'!AW4)+Data!$AK$8)*Drivers!AX4</f>
        <v>14278.383293780971</v>
      </c>
      <c r="AX22" s="22">
        <f>((Data!$AJ$8*'Intermediate calculations'!AX4)+Data!$AK$8)*Drivers!AY4</f>
        <v>14386.699934811308</v>
      </c>
      <c r="AY22" s="22">
        <f>((Data!$AJ$8*'Intermediate calculations'!AY4)+Data!$AK$8)*Drivers!AZ4</f>
        <v>14495.643622159214</v>
      </c>
      <c r="AZ22" s="22">
        <f>((Data!$AJ$8*'Intermediate calculations'!AZ4)+Data!$AK$8)*Drivers!BA4</f>
        <v>14605.624538902977</v>
      </c>
      <c r="BA22" s="22">
        <f>((Data!$AJ$8*'Intermediate calculations'!BA4)+Data!$AK$8)*Drivers!BB4</f>
        <v>14716.442167395129</v>
      </c>
      <c r="BB22" s="22">
        <f>((Data!$AJ$8*'Intermediate calculations'!BB4)+Data!$AK$8)*Drivers!BC4</f>
        <v>14812.630445653724</v>
      </c>
      <c r="BC22" s="22">
        <f>((Data!$AJ$8*'Intermediate calculations'!BC4)+Data!$AK$8)*Drivers!BD4</f>
        <v>14909.196209717355</v>
      </c>
      <c r="BD22" s="22">
        <f>((Data!$AJ$8*'Intermediate calculations'!BD4)+Data!$AK$8)*Drivers!BE4</f>
        <v>15006.45806673669</v>
      </c>
      <c r="BE22" s="22">
        <f>((Data!$AJ$8*'Intermediate calculations'!BE4)+Data!$AK$8)*Drivers!BF4</f>
        <v>15104.50433001216</v>
      </c>
      <c r="BF22" s="22">
        <f>((Data!$AJ$8*'Intermediate calculations'!BF4)+Data!$AK$8)*Drivers!BG4</f>
        <v>15203.373404255532</v>
      </c>
      <c r="BG22" s="22">
        <f>((Data!$AJ$8*'Intermediate calculations'!BG4)+Data!$AK$8)*Drivers!BH4</f>
        <v>15287.140585695934</v>
      </c>
      <c r="BH22" s="22">
        <f>((Data!$AJ$8*'Intermediate calculations'!BH4)+Data!$AK$8)*Drivers!BI4</f>
        <v>15369.195377842761</v>
      </c>
      <c r="BI22" s="22">
        <f>((Data!$AJ$8*'Intermediate calculations'!BI4)+Data!$AK$8)*Drivers!BJ4</f>
        <v>15451.538940041939</v>
      </c>
      <c r="BJ22" s="22">
        <f>((Data!$AJ$8*'Intermediate calculations'!BJ4)+Data!$AK$8)*Drivers!BK4</f>
        <v>15534.406173569007</v>
      </c>
      <c r="BK22" s="22">
        <f>((Data!$AJ$8*'Intermediate calculations'!BK4)+Data!$AK$8)*Drivers!BL4</f>
        <v>15617.701182229897</v>
      </c>
    </row>
    <row r="23" spans="1:63" x14ac:dyDescent="0.2">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2.0553857842483999E-4</v>
      </c>
      <c r="Z23" s="22">
        <f>Z22/Drivers!AA4</f>
        <v>2.0555664858706673E-4</v>
      </c>
      <c r="AA23" s="22">
        <f>AA22/Drivers!AB4</f>
        <v>2.0558407054987608E-4</v>
      </c>
      <c r="AB23" s="22">
        <f>AB22/Drivers!AC4</f>
        <v>2.0558993277297813E-4</v>
      </c>
      <c r="AC23" s="22">
        <f>AC22/Drivers!AD4</f>
        <v>2.0558154046339838E-4</v>
      </c>
      <c r="AD23" s="22">
        <f>AD22/Drivers!AE4</f>
        <v>2.0555920075453053E-4</v>
      </c>
      <c r="AE23" s="22">
        <f>AE22/Drivers!AF4</f>
        <v>2.0554681434588833E-4</v>
      </c>
      <c r="AF23" s="22">
        <f>AF22/Drivers!AG4</f>
        <v>2.0553568261268943E-4</v>
      </c>
      <c r="AG23" s="22">
        <f>AG22/Drivers!AH4</f>
        <v>2.0533838689507623E-4</v>
      </c>
      <c r="AH23" s="22">
        <f>AH22/Drivers!AI4</f>
        <v>2.0538752857052393E-4</v>
      </c>
      <c r="AI23" s="22">
        <f>AI22/Drivers!AJ4</f>
        <v>2.0542070187871955E-4</v>
      </c>
      <c r="AJ23" s="22">
        <f>AJ22/Drivers!AK4</f>
        <v>2.0544953344641358E-4</v>
      </c>
      <c r="AK23" s="22">
        <f>AK22/Drivers!AL4</f>
        <v>2.0548484027911679E-4</v>
      </c>
      <c r="AL23" s="22">
        <f>AL22/Drivers!AM4</f>
        <v>2.0551620260539637E-4</v>
      </c>
      <c r="AM23" s="22">
        <f>AM22/Drivers!AN4</f>
        <v>2.0554508913080222E-4</v>
      </c>
      <c r="AN23" s="22">
        <f>AN22/Drivers!AO4</f>
        <v>2.0557149014093157E-4</v>
      </c>
      <c r="AO23" s="22">
        <f>AO22/Drivers!AP4</f>
        <v>2.0559449888243346E-4</v>
      </c>
      <c r="AP23" s="22">
        <f>AP22/Drivers!AQ4</f>
        <v>2.0562845249125802E-4</v>
      </c>
      <c r="AQ23" s="22">
        <f>AQ22/Drivers!AR4</f>
        <v>2.0566092187337726E-4</v>
      </c>
      <c r="AR23" s="22">
        <f>AR22/Drivers!AS4</f>
        <v>2.0570057114286178E-4</v>
      </c>
      <c r="AS23" s="22">
        <f>AS22/Drivers!AT4</f>
        <v>2.0575090810936566E-4</v>
      </c>
      <c r="AT23" s="22">
        <f>AT22/Drivers!AU4</f>
        <v>2.0580615213868707E-4</v>
      </c>
      <c r="AU23" s="22">
        <f>AU22/Drivers!AV4</f>
        <v>2.0587285680670237E-4</v>
      </c>
      <c r="AV23" s="22">
        <f>AV22/Drivers!AW4</f>
        <v>2.0592103778658386E-4</v>
      </c>
      <c r="AW23" s="22">
        <f>AW22/Drivers!AX4</f>
        <v>2.0596948093972098E-4</v>
      </c>
      <c r="AX23" s="22">
        <f>AX22/Drivers!AY4</f>
        <v>2.0602364598548163E-4</v>
      </c>
      <c r="AY23" s="22">
        <f>AY22/Drivers!AZ4</f>
        <v>2.0607505806421753E-4</v>
      </c>
      <c r="AZ23" s="22">
        <f>AZ22/Drivers!BA4</f>
        <v>2.0612947846508918E-4</v>
      </c>
      <c r="BA23" s="22">
        <f>BA22/Drivers!BB4</f>
        <v>2.0618394501026909E-4</v>
      </c>
      <c r="BB23" s="22">
        <f>BB22/Drivers!BC4</f>
        <v>2.0625057805969942E-4</v>
      </c>
      <c r="BC23" s="22">
        <f>BC22/Drivers!BD4</f>
        <v>2.0631375637583974E-4</v>
      </c>
      <c r="BD23" s="22">
        <f>BD22/Drivers!BE4</f>
        <v>2.063778695035845E-4</v>
      </c>
      <c r="BE23" s="22">
        <f>BE22/Drivers!BF4</f>
        <v>2.0644405144554909E-4</v>
      </c>
      <c r="BF23" s="22">
        <f>BF22/Drivers!BG4</f>
        <v>2.065127297070745E-4</v>
      </c>
      <c r="BG23" s="22">
        <f>BG22/Drivers!BH4</f>
        <v>2.0659592942228312E-4</v>
      </c>
      <c r="BH23" s="22">
        <f>BH22/Drivers!BI4</f>
        <v>2.0664993262888221E-4</v>
      </c>
      <c r="BI23" s="22">
        <f>BI22/Drivers!BJ4</f>
        <v>2.0670192106654156E-4</v>
      </c>
      <c r="BJ23" s="22">
        <f>BJ22/Drivers!BK4</f>
        <v>2.0675502060418292E-4</v>
      </c>
      <c r="BK23" s="22">
        <f>BK22/Drivers!BL4</f>
        <v>2.0680791336833625E-4</v>
      </c>
    </row>
    <row r="24" spans="1:63" x14ac:dyDescent="0.2">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v>
      </c>
      <c r="Z24" s="22">
        <f t="shared" ref="Z24" si="10">Z23*1000</f>
        <v>0.20555664858706674</v>
      </c>
      <c r="AA24" s="22">
        <f t="shared" ref="AA24" si="11">AA23*1000</f>
        <v>0.2055840705498761</v>
      </c>
      <c r="AB24" s="22">
        <f t="shared" ref="AB24" si="12">AB23*1000</f>
        <v>0.20558993277297813</v>
      </c>
      <c r="AC24" s="22">
        <f t="shared" ref="AC24" si="13">AC23*1000</f>
        <v>0.20558154046339838</v>
      </c>
      <c r="AD24" s="22">
        <f t="shared" ref="AD24" si="14">AD23*1000</f>
        <v>0.20555920075453052</v>
      </c>
      <c r="AE24" s="22">
        <f t="shared" ref="AE24" si="15">AE23*1000</f>
        <v>0.20554681434588834</v>
      </c>
      <c r="AF24" s="22">
        <f t="shared" ref="AF24" si="16">AF23*1000</f>
        <v>0.20553568261268942</v>
      </c>
      <c r="AG24" s="22">
        <f t="shared" ref="AG24" si="17">AG23*1000</f>
        <v>0.20533838689507622</v>
      </c>
      <c r="AH24" s="22">
        <f t="shared" ref="AH24" si="18">AH23*1000</f>
        <v>0.20538752857052392</v>
      </c>
      <c r="AI24" s="22">
        <f t="shared" ref="AI24" si="19">AI23*1000</f>
        <v>0.20542070187871955</v>
      </c>
      <c r="AJ24" s="22">
        <f t="shared" ref="AJ24" si="20">AJ23*1000</f>
        <v>0.20544953344641359</v>
      </c>
      <c r="AK24" s="22">
        <f t="shared" ref="AK24" si="21">AK23*1000</f>
        <v>0.20548484027911679</v>
      </c>
      <c r="AL24" s="22">
        <f t="shared" ref="AL24" si="22">AL23*1000</f>
        <v>0.20551620260539638</v>
      </c>
      <c r="AM24" s="22">
        <f t="shared" ref="AM24" si="23">AM23*1000</f>
        <v>0.20554508913080222</v>
      </c>
      <c r="AN24" s="22">
        <f t="shared" ref="AN24" si="24">AN23*1000</f>
        <v>0.20557149014093157</v>
      </c>
      <c r="AO24" s="22">
        <f t="shared" ref="AO24" si="25">AO23*1000</f>
        <v>0.20559449888243347</v>
      </c>
      <c r="AP24" s="22">
        <f t="shared" ref="AP24" si="26">AP23*1000</f>
        <v>0.20562845249125802</v>
      </c>
      <c r="AQ24" s="22">
        <f t="shared" ref="AQ24" si="27">AQ23*1000</f>
        <v>0.20566092187337726</v>
      </c>
      <c r="AR24" s="22">
        <f t="shared" ref="AR24" si="28">AR23*1000</f>
        <v>0.20570057114286178</v>
      </c>
      <c r="AS24" s="22">
        <f t="shared" ref="AS24" si="29">AS23*1000</f>
        <v>0.20575090810936567</v>
      </c>
      <c r="AT24" s="22">
        <f t="shared" ref="AT24" si="30">AT23*1000</f>
        <v>0.20580615213868705</v>
      </c>
      <c r="AU24" s="22">
        <f t="shared" ref="AU24" si="31">AU23*1000</f>
        <v>0.20587285680670236</v>
      </c>
      <c r="AV24" s="22">
        <f t="shared" ref="AV24" si="32">AV23*1000</f>
        <v>0.20592103778658385</v>
      </c>
      <c r="AW24" s="22">
        <f t="shared" ref="AW24" si="33">AW23*1000</f>
        <v>0.20596948093972098</v>
      </c>
      <c r="AX24" s="22">
        <f t="shared" ref="AX24" si="34">AX23*1000</f>
        <v>0.20602364598548165</v>
      </c>
      <c r="AY24" s="22">
        <f t="shared" ref="AY24" si="35">AY23*1000</f>
        <v>0.20607505806421753</v>
      </c>
      <c r="AZ24" s="22">
        <f t="shared" ref="AZ24" si="36">AZ23*1000</f>
        <v>0.20612947846508919</v>
      </c>
      <c r="BA24" s="22">
        <f t="shared" ref="BA24" si="37">BA23*1000</f>
        <v>0.2061839450102691</v>
      </c>
      <c r="BB24" s="22">
        <f t="shared" ref="BB24" si="38">BB23*1000</f>
        <v>0.20625057805969943</v>
      </c>
      <c r="BC24" s="22">
        <f t="shared" ref="BC24" si="39">BC23*1000</f>
        <v>0.20631375637583974</v>
      </c>
      <c r="BD24" s="22">
        <f t="shared" ref="BD24" si="40">BD23*1000</f>
        <v>0.2063778695035845</v>
      </c>
      <c r="BE24" s="22">
        <f t="shared" ref="BE24" si="41">BE23*1000</f>
        <v>0.20644405144554909</v>
      </c>
      <c r="BF24" s="22">
        <f t="shared" ref="BF24" si="42">BF23*1000</f>
        <v>0.20651272970707449</v>
      </c>
      <c r="BG24" s="22">
        <f t="shared" ref="BG24" si="43">BG23*1000</f>
        <v>0.20659592942228314</v>
      </c>
      <c r="BH24" s="22">
        <f t="shared" ref="BH24" si="44">BH23*1000</f>
        <v>0.2066499326288822</v>
      </c>
      <c r="BI24" s="22">
        <f t="shared" ref="BI24" si="45">BI23*1000</f>
        <v>0.20670192106654156</v>
      </c>
      <c r="BJ24" s="22">
        <f t="shared" ref="BJ24" si="46">BJ23*1000</f>
        <v>0.20675502060418291</v>
      </c>
      <c r="BK24" s="22">
        <f t="shared" ref="BK24" si="47">BK23*1000</f>
        <v>0.20680791336833623</v>
      </c>
    </row>
    <row r="25" spans="1:63" x14ac:dyDescent="0.2">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2">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3.4223064482512697</v>
      </c>
      <c r="AH26" s="45">
        <f>(AH19+AH22)*ttokg/Drivers!AI4</f>
        <v>3.4231254761753984</v>
      </c>
      <c r="AI26" s="45">
        <f>(AI19+AI22)*ttokg/Drivers!AJ4</f>
        <v>3.4236783646453257</v>
      </c>
      <c r="AJ26" s="45">
        <f>(AJ19+AJ22)*ttokg/Drivers!AK4</f>
        <v>3.4241588907735592</v>
      </c>
      <c r="AK26" s="45">
        <f>(AK19+AK22)*ttokg/Drivers!AL4</f>
        <v>3.4247473379852797</v>
      </c>
      <c r="AL26" s="45">
        <f>(AL19+AL22)*ttokg/Drivers!AM4</f>
        <v>3.4252700434232728</v>
      </c>
      <c r="AM26" s="45">
        <f>(AM19+AM22)*ttokg/Drivers!AN4</f>
        <v>3.4257514855133699</v>
      </c>
      <c r="AN26" s="45">
        <f>(AN19+AN22)*ttokg/Drivers!AO4</f>
        <v>3.4261915023488587</v>
      </c>
      <c r="AO26" s="45">
        <f>(AO19+AO22)*ttokg/Drivers!AP4</f>
        <v>3.4265749813738906</v>
      </c>
      <c r="AP26" s="45">
        <f>(AP19+AP22)*ttokg/Drivers!AQ4</f>
        <v>3.4271408748542997</v>
      </c>
      <c r="AQ26" s="45">
        <f>(AQ19+AQ22)*ttokg/Drivers!AR4</f>
        <v>3.4276820312229535</v>
      </c>
      <c r="AR26" s="45">
        <f>(AR19+AR22)*ttokg/Drivers!AS4</f>
        <v>3.4283428523810291</v>
      </c>
      <c r="AS26" s="45">
        <f>(AS19+AS22)*ttokg/Drivers!AT4</f>
        <v>3.42918180182276</v>
      </c>
      <c r="AT26" s="45">
        <f>(AT19+AT22)*ttokg/Drivers!AU4</f>
        <v>3.4301025356447838</v>
      </c>
      <c r="AU26" s="45">
        <f>(AU19+AU22)*ttokg/Drivers!AV4</f>
        <v>3.4312142801117052</v>
      </c>
      <c r="AV26" s="45">
        <f>(AV19+AV22)*ttokg/Drivers!AW4</f>
        <v>3.432017296443064</v>
      </c>
      <c r="AW26" s="45">
        <f>(AW19+AW22)*ttokg/Drivers!AX4</f>
        <v>3.4328246823286821</v>
      </c>
      <c r="AX26" s="45">
        <f>(AX19+AX22)*ttokg/Drivers!AY4</f>
        <v>3.4337274330913594</v>
      </c>
      <c r="AY26" s="45">
        <f>(AY19+AY22)*ttokg/Drivers!AZ4</f>
        <v>3.4345843010702914</v>
      </c>
      <c r="AZ26" s="45">
        <f>(AZ19+AZ22)*ttokg/Drivers!BA4</f>
        <v>3.4354913077514855</v>
      </c>
      <c r="BA26" s="45">
        <f>(BA19+BA22)*ttokg/Drivers!BB4</f>
        <v>3.4363990835044844</v>
      </c>
      <c r="BB26" s="45">
        <f>(BB19+BB22)*ttokg/Drivers!BC4</f>
        <v>3.4375096343283227</v>
      </c>
      <c r="BC26" s="45">
        <f>(BC19+BC22)*ttokg/Drivers!BD4</f>
        <v>3.4385626062639956</v>
      </c>
      <c r="BD26" s="45">
        <f>(BD19+BD22)*ttokg/Drivers!BE4</f>
        <v>3.4396311583930741</v>
      </c>
      <c r="BE26" s="45">
        <f>(BE19+BE22)*ttokg/Drivers!BF4</f>
        <v>3.4407341907591507</v>
      </c>
      <c r="BF26" s="45">
        <f>(BF19+BF22)*ttokg/Drivers!BG4</f>
        <v>3.4418788284512414</v>
      </c>
      <c r="BG26" s="45">
        <f>(BG19+BG22)*ttokg/Drivers!BH4</f>
        <v>3.4432654903713842</v>
      </c>
      <c r="BH26" s="45">
        <f>(BH19+BH22)*ttokg/Drivers!BI4</f>
        <v>3.4441655438147025</v>
      </c>
      <c r="BI26" s="45">
        <f>(BI19+BI22)*ttokg/Drivers!BJ4</f>
        <v>3.4450320177756915</v>
      </c>
      <c r="BJ26" s="45">
        <f>(BJ19+BJ22)*ttokg/Drivers!BK4</f>
        <v>3.4459170100697141</v>
      </c>
      <c r="BK26" s="45">
        <f>(BK19+BK22)*ttokg/Drivers!BL4</f>
        <v>3.4467985561389369</v>
      </c>
    </row>
    <row r="27" spans="1:63" x14ac:dyDescent="0.2">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165458.74118382813</v>
      </c>
      <c r="AH27" s="22">
        <f>((Data!$AJ$23*'Intermediate calculations'!AH19)+Data!$AK$23)</f>
        <v>166739.05048159478</v>
      </c>
      <c r="AI27" s="22">
        <f>((Data!$AJ$23*'Intermediate calculations'!AI19)+Data!$AK$23)</f>
        <v>168025.7397933547</v>
      </c>
      <c r="AJ27" s="22">
        <f>((Data!$AJ$23*'Intermediate calculations'!AJ19)+Data!$AK$23)</f>
        <v>169325.06836511762</v>
      </c>
      <c r="AK27" s="22">
        <f>((Data!$AJ$23*'Intermediate calculations'!AK19)+Data!$AK$23)</f>
        <v>170643.13503477455</v>
      </c>
      <c r="AL27" s="22">
        <f>((Data!$AJ$23*'Intermediate calculations'!AL19)+Data!$AK$23)</f>
        <v>171974.38858337287</v>
      </c>
      <c r="AM27" s="22">
        <f>((Data!$AJ$23*'Intermediate calculations'!AM19)+Data!$AK$23)</f>
        <v>173127.25063899255</v>
      </c>
      <c r="AN27" s="22">
        <f>((Data!$AJ$23*'Intermediate calculations'!AN19)+Data!$AK$23)</f>
        <v>174290.20208455791</v>
      </c>
      <c r="AO27" s="22">
        <f>((Data!$AJ$23*'Intermediate calculations'!AO19)+Data!$AK$23)</f>
        <v>175462.79138559382</v>
      </c>
      <c r="AP27" s="22">
        <f>((Data!$AJ$23*'Intermediate calculations'!AP19)+Data!$AK$23)</f>
        <v>176653.45001330069</v>
      </c>
      <c r="AQ27" s="22">
        <f>((Data!$AJ$23*'Intermediate calculations'!AQ19)+Data!$AK$23)</f>
        <v>177855.15225085354</v>
      </c>
      <c r="AR27" s="22">
        <f>((Data!$AJ$23*'Intermediate calculations'!AR19)+Data!$AK$23)</f>
        <v>178913.9530453262</v>
      </c>
      <c r="AS27" s="22">
        <f>((Data!$AJ$23*'Intermediate calculations'!AS19)+Data!$AK$23)</f>
        <v>179988.40298702737</v>
      </c>
      <c r="AT27" s="22">
        <f>((Data!$AJ$23*'Intermediate calculations'!AT19)+Data!$AK$23)</f>
        <v>181075.24926861009</v>
      </c>
      <c r="AU27" s="22">
        <f>((Data!$AJ$23*'Intermediate calculations'!AU19)+Data!$AK$23)</f>
        <v>182178.64957918623</v>
      </c>
      <c r="AV27" s="22">
        <f>((Data!$AJ$23*'Intermediate calculations'!AV19)+Data!$AK$23)</f>
        <v>183280.41428406606</v>
      </c>
      <c r="AW27" s="22">
        <f>((Data!$AJ$23*'Intermediate calculations'!AW19)+Data!$AK$23)</f>
        <v>184238.22780034351</v>
      </c>
      <c r="AX27" s="22">
        <f>((Data!$AJ$23*'Intermediate calculations'!AX19)+Data!$AK$23)</f>
        <v>185206.84654893295</v>
      </c>
      <c r="AY27" s="22">
        <f>((Data!$AJ$23*'Intermediate calculations'!AY19)+Data!$AK$23)</f>
        <v>186181.07264292805</v>
      </c>
      <c r="AZ27" s="22">
        <f>((Data!$AJ$23*'Intermediate calculations'!AZ19)+Data!$AK$23)</f>
        <v>187164.57413385066</v>
      </c>
      <c r="BA27" s="22">
        <f>((Data!$AJ$23*'Intermediate calculations'!BA19)+Data!$AK$23)</f>
        <v>188155.55789784735</v>
      </c>
      <c r="BB27" s="22">
        <f>((Data!$AJ$23*'Intermediate calculations'!BB19)+Data!$AK$23)</f>
        <v>189015.71907741827</v>
      </c>
      <c r="BC27" s="22">
        <f>((Data!$AJ$23*'Intermediate calculations'!BC19)+Data!$AK$23)</f>
        <v>189879.25591399451</v>
      </c>
      <c r="BD27" s="22">
        <f>((Data!$AJ$23*'Intermediate calculations'!BD19)+Data!$AK$23)</f>
        <v>190749.01754374421</v>
      </c>
      <c r="BE27" s="22">
        <f>((Data!$AJ$23*'Intermediate calculations'!BE19)+Data!$AK$23)</f>
        <v>191625.79370606222</v>
      </c>
      <c r="BF27" s="22">
        <f>((Data!$AJ$23*'Intermediate calculations'!BF19)+Data!$AK$23)</f>
        <v>192509.92783408595</v>
      </c>
      <c r="BG27" s="22">
        <f>((Data!$AJ$23*'Intermediate calculations'!BG19)+Data!$AK$23)</f>
        <v>193259.01367803253</v>
      </c>
      <c r="BH27" s="22">
        <f>((Data!$AJ$23*'Intermediate calculations'!BH19)+Data!$AK$23)</f>
        <v>193992.78652520539</v>
      </c>
      <c r="BI27" s="22">
        <f>((Data!$AJ$23*'Intermediate calculations'!BI19)+Data!$AK$23)</f>
        <v>194729.14169106976</v>
      </c>
      <c r="BJ27" s="22">
        <f>((Data!$AJ$23*'Intermediate calculations'!BJ19)+Data!$AK$23)</f>
        <v>195470.17977418003</v>
      </c>
      <c r="BK27" s="22">
        <f>((Data!$AJ$23*'Intermediate calculations'!BK19)+Data!$AK$23)</f>
        <v>196215.04322531182</v>
      </c>
    </row>
    <row r="28" spans="1:63" x14ac:dyDescent="0.2">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2">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232803.07737192558</v>
      </c>
      <c r="Z29" s="22">
        <f>((Data!$AJ$9*'Intermediate calculations'!Z4)+Data!$AK$9)*Drivers!AA4</f>
        <v>238588.45125065109</v>
      </c>
      <c r="AA29" s="22">
        <f>((Data!$AJ$9*'Intermediate calculations'!AA4)+Data!$AK$9)*Drivers!AB4</f>
        <v>245792.32692559369</v>
      </c>
      <c r="AB29" s="22">
        <f>((Data!$AJ$9*'Intermediate calculations'!AB4)+Data!$AK$9)*Drivers!AC4</f>
        <v>250389.30527292381</v>
      </c>
      <c r="AC29" s="22">
        <f>((Data!$AJ$9*'Intermediate calculations'!AC4)+Data!$AK$9)*Drivers!AD4</f>
        <v>253237.16816784014</v>
      </c>
      <c r="AD29" s="22">
        <f>((Data!$AJ$9*'Intermediate calculations'!AD4)+Data!$AK$9)*Drivers!AE4</f>
        <v>254291.65168168268</v>
      </c>
      <c r="AE29" s="22">
        <f>((Data!$AJ$9*'Intermediate calculations'!AE4)+Data!$AK$9)*Drivers!AF4</f>
        <v>256684.19880970006</v>
      </c>
      <c r="AF29" s="22">
        <f>((Data!$AJ$9*'Intermediate calculations'!AF4)+Data!$AK$9)*Drivers!AG4</f>
        <v>259264.64593191384</v>
      </c>
      <c r="AG29" s="22">
        <f>((Data!$AJ$9*'Intermediate calculations'!AG4)+Data!$AK$9)*Drivers!AH4</f>
        <v>235171.10856560376</v>
      </c>
      <c r="AH29" s="22">
        <f>((Data!$AJ$9*'Intermediate calculations'!AH4)+Data!$AK$9)*Drivers!AI4</f>
        <v>245005.4697241254</v>
      </c>
      <c r="AI29" s="22">
        <f>((Data!$AJ$9*'Intermediate calculations'!AI4)+Data!$AK$9)*Drivers!AJ4</f>
        <v>252692.71404164954</v>
      </c>
      <c r="AJ29" s="22">
        <f>((Data!$AJ$9*'Intermediate calculations'!AJ4)+Data!$AK$9)*Drivers!AK4</f>
        <v>259880.27560182085</v>
      </c>
      <c r="AK29" s="22">
        <f>((Data!$AJ$9*'Intermediate calculations'!AK4)+Data!$AK$9)*Drivers!AL4</f>
        <v>268171.7132754756</v>
      </c>
      <c r="AL29" s="22">
        <f>((Data!$AJ$9*'Intermediate calculations'!AL4)+Data!$AK$9)*Drivers!AM4</f>
        <v>276020.79540671315</v>
      </c>
      <c r="AM29" s="22">
        <f>((Data!$AJ$9*'Intermediate calculations'!AM4)+Data!$AK$9)*Drivers!AN4</f>
        <v>283167.24125988182</v>
      </c>
      <c r="AN29" s="22">
        <f>((Data!$AJ$9*'Intermediate calculations'!AN4)+Data!$AK$9)*Drivers!AO4</f>
        <v>290042.85157882673</v>
      </c>
      <c r="AO29" s="22">
        <f>((Data!$AJ$9*'Intermediate calculations'!AO4)+Data!$AK$9)*Drivers!AP4</f>
        <v>296496.04462813865</v>
      </c>
      <c r="AP29" s="22">
        <f>((Data!$AJ$9*'Intermediate calculations'!AP4)+Data!$AK$9)*Drivers!AQ4</f>
        <v>304776.22338899062</v>
      </c>
      <c r="AQ29" s="22">
        <f>((Data!$AJ$9*'Intermediate calculations'!AQ4)+Data!$AK$9)*Drivers!AR4</f>
        <v>312954.07315056521</v>
      </c>
      <c r="AR29" s="22">
        <f>((Data!$AJ$9*'Intermediate calculations'!AR4)+Data!$AK$9)*Drivers!AS4</f>
        <v>322000.49958072725</v>
      </c>
      <c r="AS29" s="22">
        <f>((Data!$AJ$9*'Intermediate calculations'!AS4)+Data!$AK$9)*Drivers!AT4</f>
        <v>332911.78718332516</v>
      </c>
      <c r="AT29" s="22">
        <f>((Data!$AJ$9*'Intermediate calculations'!AT4)+Data!$AK$9)*Drivers!AU4</f>
        <v>344788.44184804661</v>
      </c>
      <c r="AU29" s="22">
        <f>((Data!$AJ$9*'Intermediate calculations'!AU4)+Data!$AK$9)*Drivers!AV4</f>
        <v>358734.020358001</v>
      </c>
      <c r="AV29" s="22">
        <f>((Data!$AJ$9*'Intermediate calculations'!AV4)+Data!$AK$9)*Drivers!AW4</f>
        <v>369810.92356614006</v>
      </c>
      <c r="AW29" s="22">
        <f>((Data!$AJ$9*'Intermediate calculations'!AW4)+Data!$AK$9)*Drivers!AX4</f>
        <v>380636.35294161475</v>
      </c>
      <c r="AX29" s="22">
        <f>((Data!$AJ$9*'Intermediate calculations'!AX4)+Data!$AK$9)*Drivers!AY4</f>
        <v>392566.35083868052</v>
      </c>
      <c r="AY29" s="22">
        <f>((Data!$AJ$9*'Intermediate calculations'!AY4)+Data!$AK$9)*Drivers!AZ4</f>
        <v>404182.51438065787</v>
      </c>
      <c r="AZ29" s="22">
        <f>((Data!$AJ$9*'Intermediate calculations'!AZ4)+Data!$AK$9)*Drivers!BA4</f>
        <v>416463.00507963117</v>
      </c>
      <c r="BA29" s="22">
        <f>((Data!$AJ$9*'Intermediate calculations'!BA4)+Data!$AK$9)*Drivers!BB4</f>
        <v>428909.60835375183</v>
      </c>
      <c r="BB29" s="22">
        <f>((Data!$AJ$9*'Intermediate calculations'!BB4)+Data!$AK$9)*Drivers!BC4</f>
        <v>443141.75258328475</v>
      </c>
      <c r="BC29" s="22">
        <f>((Data!$AJ$9*'Intermediate calculations'!BC4)+Data!$AK$9)*Drivers!BD4</f>
        <v>456930.63684890966</v>
      </c>
      <c r="BD29" s="22">
        <f>((Data!$AJ$9*'Intermediate calculations'!BD4)+Data!$AK$9)*Drivers!BE4</f>
        <v>471038.02584677469</v>
      </c>
      <c r="BE29" s="22">
        <f>((Data!$AJ$9*'Intermediate calculations'!BE4)+Data!$AK$9)*Drivers!BF4</f>
        <v>485668.93089744443</v>
      </c>
      <c r="BF29" s="22">
        <f>((Data!$AJ$9*'Intermediate calculations'!BF4)+Data!$AK$9)*Drivers!BG4</f>
        <v>500907.66411865299</v>
      </c>
      <c r="BG29" s="22">
        <f>((Data!$AJ$9*'Intermediate calculations'!BG4)+Data!$AK$9)*Drivers!BH4</f>
        <v>518346.88064654206</v>
      </c>
      <c r="BH29" s="22">
        <f>((Data!$AJ$9*'Intermediate calculations'!BH4)+Data!$AK$9)*Drivers!BI4</f>
        <v>530701.97261541546</v>
      </c>
      <c r="BI29" s="22">
        <f>((Data!$AJ$9*'Intermediate calculations'!BI4)+Data!$AK$9)*Drivers!BJ4</f>
        <v>542805.62219476001</v>
      </c>
      <c r="BJ29" s="22">
        <f>((Data!$AJ$9*'Intermediate calculations'!BJ4)+Data!$AK$9)*Drivers!BK4</f>
        <v>555220.82117397699</v>
      </c>
      <c r="BK29" s="22">
        <f>((Data!$AJ$9*'Intermediate calculations'!BK4)+Data!$AK$9)*Drivers!BL4</f>
        <v>567710.88299580966</v>
      </c>
    </row>
    <row r="30" spans="1:63" x14ac:dyDescent="0.2">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4.4491381064464788</v>
      </c>
      <c r="Z30" s="45">
        <f>Z29*ttokg/Drivers!AA4</f>
        <v>4.4928200316832125</v>
      </c>
      <c r="AA30" s="45">
        <f>AA29*ttokg/Drivers!AB4</f>
        <v>4.5591085416730017</v>
      </c>
      <c r="AB30" s="45">
        <f>AB29*ttokg/Drivers!AC4</f>
        <v>4.5732795927157346</v>
      </c>
      <c r="AC30" s="45">
        <f>AC29*ttokg/Drivers!AD4</f>
        <v>4.5529924345249428</v>
      </c>
      <c r="AD30" s="45">
        <f>AD29*ttokg/Drivers!AE4</f>
        <v>4.498989516325735</v>
      </c>
      <c r="AE30" s="45">
        <f>AE29*ttokg/Drivers!AF4</f>
        <v>4.4690472186600525</v>
      </c>
      <c r="AF30" s="45">
        <f>AF29*ttokg/Drivers!AG4</f>
        <v>4.4421379119670714</v>
      </c>
      <c r="AG30" s="45">
        <f>AG29*ttokg/Drivers!AH4</f>
        <v>3.9652049061546251</v>
      </c>
      <c r="AH30" s="45">
        <f>AH29*ttokg/Drivers!AI4</f>
        <v>4.0839975858208151</v>
      </c>
      <c r="AI30" s="45">
        <f>AI29*ttokg/Drivers!AJ4</f>
        <v>4.164189116493068</v>
      </c>
      <c r="AJ30" s="45">
        <f>AJ29*ttokg/Drivers!AK4</f>
        <v>4.2338851363000378</v>
      </c>
      <c r="AK30" s="45">
        <f>AK29*ttokg/Drivers!AL4</f>
        <v>4.3192341446341773</v>
      </c>
      <c r="AL30" s="45">
        <f>AL29*ttokg/Drivers!AM4</f>
        <v>4.3950478963097952</v>
      </c>
      <c r="AM30" s="45">
        <f>AM29*ttokg/Drivers!AN4</f>
        <v>4.4648767681979313</v>
      </c>
      <c r="AN30" s="45">
        <f>AN29*ttokg/Drivers!AO4</f>
        <v>4.5286972771770477</v>
      </c>
      <c r="AO30" s="45">
        <f>AO29*ttokg/Drivers!AP4</f>
        <v>4.5843174821019561</v>
      </c>
      <c r="AP30" s="45">
        <f>AP29*ttokg/Drivers!AQ4</f>
        <v>4.6663952733018021</v>
      </c>
      <c r="AQ30" s="45">
        <f>AQ29*ttokg/Drivers!AR4</f>
        <v>4.7448851675495805</v>
      </c>
      <c r="AR30" s="45">
        <f>AR29*ttokg/Drivers!AS4</f>
        <v>4.8407313699015466</v>
      </c>
      <c r="AS30" s="45">
        <f>AS29*ttokg/Drivers!AT4</f>
        <v>4.962413487631216</v>
      </c>
      <c r="AT30" s="45">
        <f>AT29*ttokg/Drivers!AU4</f>
        <v>5.0959576987078679</v>
      </c>
      <c r="AU30" s="45">
        <f>AU29*ttokg/Drivers!AV4</f>
        <v>5.2572062965138961</v>
      </c>
      <c r="AV30" s="45">
        <f>AV29*ttokg/Drivers!AW4</f>
        <v>5.3736766377654321</v>
      </c>
      <c r="AW30" s="45">
        <f>AW29*ttokg/Drivers!AX4</f>
        <v>5.4907807438059288</v>
      </c>
      <c r="AX30" s="45">
        <f>AX29*ttokg/Drivers!AY4</f>
        <v>5.6217166728626475</v>
      </c>
      <c r="AY30" s="45">
        <f>AY29*ttokg/Drivers!AZ4</f>
        <v>5.7459977142517991</v>
      </c>
      <c r="AZ30" s="45">
        <f>AZ29*ttokg/Drivers!BA4</f>
        <v>5.8775509262485777</v>
      </c>
      <c r="BA30" s="45">
        <f>BA29*ttokg/Drivers!BB4</f>
        <v>6.0092156852364571</v>
      </c>
      <c r="BB30" s="45">
        <f>BB29*ttokg/Drivers!BC4</f>
        <v>6.1702911557824329</v>
      </c>
      <c r="BC30" s="45">
        <f>BC29*ttokg/Drivers!BD4</f>
        <v>6.323015323258022</v>
      </c>
      <c r="BD30" s="45">
        <f>BD29*ttokg/Drivers!BE4</f>
        <v>6.4779992585266619</v>
      </c>
      <c r="BE30" s="45">
        <f>BE29*ttokg/Drivers!BF4</f>
        <v>6.6379842439765859</v>
      </c>
      <c r="BF30" s="45">
        <f>BF29*ttokg/Drivers!BG4</f>
        <v>6.8040037100833688</v>
      </c>
      <c r="BG30" s="45">
        <f>BG29*ttokg/Drivers!BH4</f>
        <v>7.0051266271807178</v>
      </c>
      <c r="BH30" s="45">
        <f>BH29*ttokg/Drivers!BI4</f>
        <v>7.1356713341738933</v>
      </c>
      <c r="BI30" s="45">
        <f>BI29*ttokg/Drivers!BJ4</f>
        <v>7.2613456373991259</v>
      </c>
      <c r="BJ30" s="45">
        <f>BJ29*ttokg/Drivers!BK4</f>
        <v>7.389705859308239</v>
      </c>
      <c r="BK30" s="45">
        <f>BK29*ttokg/Drivers!BL4</f>
        <v>7.5175662371135008</v>
      </c>
    </row>
    <row r="31" spans="1:63" x14ac:dyDescent="0.2">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0.15664691241943959</v>
      </c>
      <c r="AP31" s="45"/>
      <c r="AQ31" s="45">
        <f>(AQ32-AE32)/AE32</f>
        <v>0.207014378339612</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2">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210251.25025039678</v>
      </c>
      <c r="Z32" s="22">
        <f>((Data!$AJ$26*'Intermediate calculations'!Z29)+Data!$AK$26)</f>
        <v>215157.29984140501</v>
      </c>
      <c r="AA32" s="22">
        <f>((Data!$AJ$26*'Intermediate calculations'!AA29)+Data!$AK$26)</f>
        <v>221266.25183821388</v>
      </c>
      <c r="AB32" s="22">
        <f>((Data!$AJ$26*'Intermediate calculations'!AB29)+Data!$AK$26)</f>
        <v>225164.53122577883</v>
      </c>
      <c r="AC32" s="22">
        <f>((Data!$AJ$26*'Intermediate calculations'!AC29)+Data!$AK$26)</f>
        <v>227579.54482450749</v>
      </c>
      <c r="AD32" s="22">
        <f>((Data!$AJ$26*'Intermediate calculations'!AD29)+Data!$AK$26)</f>
        <v>228473.75642089819</v>
      </c>
      <c r="AE32" s="22">
        <f>((Data!$AJ$26*'Intermediate calculations'!AE29)+Data!$AK$26)</f>
        <v>230502.65811419088</v>
      </c>
      <c r="AF32" s="22">
        <f>((Data!$AJ$26*'Intermediate calculations'!AF29)+Data!$AK$26)</f>
        <v>232690.90070904011</v>
      </c>
      <c r="AG32" s="22">
        <f>((Data!$AJ$26*'Intermediate calculations'!AG29)+Data!$AK$26)</f>
        <v>212259.36220872001</v>
      </c>
      <c r="AH32" s="22">
        <f>((Data!$AJ$26*'Intermediate calculations'!AH29)+Data!$AK$26)</f>
        <v>220598.98978525633</v>
      </c>
      <c r="AI32" s="22">
        <f>((Data!$AJ$26*'Intermediate calculations'!AI29)+Data!$AK$26)</f>
        <v>227117.84278085176</v>
      </c>
      <c r="AJ32" s="22">
        <f>((Data!$AJ$26*'Intermediate calculations'!AJ29)+Data!$AK$26)</f>
        <v>233212.96026017237</v>
      </c>
      <c r="AK32" s="22">
        <f>((Data!$AJ$26*'Intermediate calculations'!AK29)+Data!$AK$26)</f>
        <v>240244.1747089549</v>
      </c>
      <c r="AL32" s="22">
        <f>((Data!$AJ$26*'Intermediate calculations'!AL29)+Data!$AK$26)</f>
        <v>246900.26764036471</v>
      </c>
      <c r="AM32" s="22">
        <f>((Data!$AJ$26*'Intermediate calculations'!AM29)+Data!$AK$26)</f>
        <v>252960.51862674076</v>
      </c>
      <c r="AN32" s="22">
        <f>((Data!$AJ$26*'Intermediate calculations'!AN29)+Data!$AK$26)</f>
        <v>258791.09862040961</v>
      </c>
      <c r="AO32" s="22">
        <f>((Data!$AJ$26*'Intermediate calculations'!AO29)+Data!$AK$26)</f>
        <v>264263.46493310301</v>
      </c>
      <c r="AP32" s="22">
        <f>((Data!$AJ$26*'Intermediate calculations'!AP29)+Data!$AK$26)</f>
        <v>271285.13172157714</v>
      </c>
      <c r="AQ32" s="22">
        <f>((Data!$AJ$26*'Intermediate calculations'!AQ29)+Data!$AK$26)</f>
        <v>278220.02258932823</v>
      </c>
      <c r="AR32" s="22">
        <f>((Data!$AJ$26*'Intermediate calculations'!AR29)+Data!$AK$26)</f>
        <v>285891.47436031722</v>
      </c>
      <c r="AS32" s="22">
        <f>((Data!$AJ$26*'Intermediate calculations'!AS29)+Data!$AK$26)</f>
        <v>295144.3453419056</v>
      </c>
      <c r="AT32" s="22">
        <f>((Data!$AJ$26*'Intermediate calculations'!AT29)+Data!$AK$26)</f>
        <v>305215.85635948542</v>
      </c>
      <c r="AU32" s="22">
        <f>((Data!$AJ$26*'Intermediate calculations'!AU29)+Data!$AK$26)</f>
        <v>317041.83358746127</v>
      </c>
      <c r="AV32" s="22">
        <f>((Data!$AJ$26*'Intermediate calculations'!AV29)+Data!$AK$26)</f>
        <v>326435.14810664323</v>
      </c>
      <c r="AW32" s="22">
        <f>((Data!$AJ$26*'Intermediate calculations'!AW29)+Data!$AK$26)</f>
        <v>335615.21053188015</v>
      </c>
      <c r="AX32" s="22">
        <f>((Data!$AJ$26*'Intermediate calculations'!AX29)+Data!$AK$26)</f>
        <v>345731.9570949428</v>
      </c>
      <c r="AY32" s="22">
        <f>((Data!$AJ$26*'Intermediate calculations'!AY29)+Data!$AK$26)</f>
        <v>355582.56927469641</v>
      </c>
      <c r="AZ32" s="22">
        <f>((Data!$AJ$26*'Intermediate calculations'!AZ29)+Data!$AK$26)</f>
        <v>365996.5369168967</v>
      </c>
      <c r="BA32" s="22">
        <f>((Data!$AJ$26*'Intermediate calculations'!BA29)+Data!$AK$26)</f>
        <v>376551.36953142995</v>
      </c>
      <c r="BB32" s="22">
        <f>((Data!$AJ$26*'Intermediate calculations'!BB29)+Data!$AK$26)</f>
        <v>388620.35709215293</v>
      </c>
      <c r="BC32" s="22">
        <f>((Data!$AJ$26*'Intermediate calculations'!BC29)+Data!$AK$26)</f>
        <v>400313.45617786516</v>
      </c>
      <c r="BD32" s="22">
        <f>((Data!$AJ$26*'Intermediate calculations'!BD29)+Data!$AK$26)</f>
        <v>412276.65016912646</v>
      </c>
      <c r="BE32" s="22">
        <f>((Data!$AJ$26*'Intermediate calculations'!BE29)+Data!$AK$26)</f>
        <v>424683.79052765609</v>
      </c>
      <c r="BF32" s="22">
        <f>((Data!$AJ$26*'Intermediate calculations'!BF29)+Data!$AK$26)</f>
        <v>437606.37469500175</v>
      </c>
      <c r="BG32" s="22">
        <f>((Data!$AJ$26*'Intermediate calculations'!BG29)+Data!$AK$26)</f>
        <v>452394.98869085324</v>
      </c>
      <c r="BH32" s="22">
        <f>((Data!$AJ$26*'Intermediate calculations'!BH29)+Data!$AK$26)</f>
        <v>462872.21888744563</v>
      </c>
      <c r="BI32" s="22">
        <f>((Data!$AJ$26*'Intermediate calculations'!BI29)+Data!$AK$26)</f>
        <v>473136.22365415771</v>
      </c>
      <c r="BJ32" s="22">
        <f>((Data!$AJ$26*'Intermediate calculations'!BJ29)+Data!$AK$26)</f>
        <v>483664.4251414038</v>
      </c>
      <c r="BK32" s="22">
        <f>((Data!$AJ$26*'Intermediate calculations'!BK29)+Data!$AK$26)</f>
        <v>494256.11099908059</v>
      </c>
    </row>
    <row r="33" spans="1:63" x14ac:dyDescent="0.2">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2">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419285.99149200955</v>
      </c>
      <c r="Z34" s="22">
        <f>((Data!$AJ$10*'Intermediate calculations'!Z4)+Data!$AK$10)*Drivers!AA4</f>
        <v>427660.19548096805</v>
      </c>
      <c r="AA34" s="22">
        <f>((Data!$AJ$10*'Intermediate calculations'!AA4)+Data!$AK$10)*Drivers!AB4</f>
        <v>437452.24598008749</v>
      </c>
      <c r="AB34" s="22">
        <f>((Data!$AJ$10*'Intermediate calculations'!AB4)+Data!$AK$10)*Drivers!AC4</f>
        <v>444966.14209508407</v>
      </c>
      <c r="AC34" s="22">
        <f>((Data!$AJ$10*'Intermediate calculations'!AC4)+Data!$AK$10)*Drivers!AD4</f>
        <v>450995.02687358501</v>
      </c>
      <c r="AD34" s="22">
        <f>((Data!$AJ$10*'Intermediate calculations'!AD4)+Data!$AK$10)*Drivers!AE4</f>
        <v>455503.05642644479</v>
      </c>
      <c r="AE34" s="22">
        <f>((Data!$AJ$10*'Intermediate calculations'!AE4)+Data!$AK$10)*Drivers!AF4</f>
        <v>461288.37157907075</v>
      </c>
      <c r="AF34" s="22">
        <f>((Data!$AJ$10*'Intermediate calculations'!AF4)+Data!$AK$10)*Drivers!AG4</f>
        <v>467304.40661090246</v>
      </c>
      <c r="AG34" s="22">
        <f>((Data!$AJ$10*'Intermediate calculations'!AG4)+Data!$AK$10)*Drivers!AH4</f>
        <v>448858.97782457224</v>
      </c>
      <c r="AH34" s="22">
        <f>((Data!$AJ$10*'Intermediate calculations'!AH4)+Data!$AK$10)*Drivers!AI4</f>
        <v>460578.39672613947</v>
      </c>
      <c r="AI34" s="22">
        <f>((Data!$AJ$10*'Intermediate calculations'!AI4)+Data!$AK$10)*Drivers!AJ4</f>
        <v>470354.89891734062</v>
      </c>
      <c r="AJ34" s="22">
        <f>((Data!$AJ$10*'Intermediate calculations'!AJ4)+Data!$AK$10)*Drivers!AK4</f>
        <v>479703.26385470585</v>
      </c>
      <c r="AK34" s="22">
        <f>((Data!$AJ$10*'Intermediate calculations'!AK4)+Data!$AK$10)*Drivers!AL4</f>
        <v>490097.94224913849</v>
      </c>
      <c r="AL34" s="22">
        <f>((Data!$AJ$10*'Intermediate calculations'!AL4)+Data!$AK$10)*Drivers!AM4</f>
        <v>500117.90482010652</v>
      </c>
      <c r="AM34" s="22">
        <f>((Data!$AJ$10*'Intermediate calculations'!AM4)+Data!$AK$10)*Drivers!AN4</f>
        <v>509113.35512051306</v>
      </c>
      <c r="AN34" s="22">
        <f>((Data!$AJ$10*'Intermediate calculations'!AN4)+Data!$AK$10)*Drivers!AO4</f>
        <v>517883.72388124414</v>
      </c>
      <c r="AO34" s="22">
        <f>((Data!$AJ$10*'Intermediate calculations'!AO4)+Data!$AK$10)*Drivers!AP4</f>
        <v>526289.90291219158</v>
      </c>
      <c r="AP34" s="22">
        <f>((Data!$AJ$10*'Intermediate calculations'!AP4)+Data!$AK$10)*Drivers!AQ4</f>
        <v>536399.92141046375</v>
      </c>
      <c r="AQ34" s="22">
        <f>((Data!$AJ$10*'Intermediate calculations'!AQ4)+Data!$AK$10)*Drivers!AR4</f>
        <v>546440.47268629388</v>
      </c>
      <c r="AR34" s="22">
        <f>((Data!$AJ$10*'Intermediate calculations'!AR4)+Data!$AK$10)*Drivers!AS4</f>
        <v>556964.78579965909</v>
      </c>
      <c r="AS34" s="22">
        <f>((Data!$AJ$10*'Intermediate calculations'!AS4)+Data!$AK$10)*Drivers!AT4</f>
        <v>569222.24174877245</v>
      </c>
      <c r="AT34" s="22">
        <f>((Data!$AJ$10*'Intermediate calculations'!AT4)+Data!$AK$10)*Drivers!AU4</f>
        <v>582386.13021906279</v>
      </c>
      <c r="AU34" s="22">
        <f>((Data!$AJ$10*'Intermediate calculations'!AU4)+Data!$AK$10)*Drivers!AV4</f>
        <v>597471.07172223891</v>
      </c>
      <c r="AV34" s="22">
        <f>((Data!$AJ$10*'Intermediate calculations'!AV4)+Data!$AK$10)*Drivers!AW4</f>
        <v>609938.28040777124</v>
      </c>
      <c r="AW34" s="22">
        <f>((Data!$AJ$10*'Intermediate calculations'!AW4)+Data!$AK$10)*Drivers!AX4</f>
        <v>621866.29337455134</v>
      </c>
      <c r="AX34" s="22">
        <f>((Data!$AJ$10*'Intermediate calculations'!AX4)+Data!$AK$10)*Drivers!AY4</f>
        <v>634824.16571161011</v>
      </c>
      <c r="AY34" s="22">
        <f>((Data!$AJ$10*'Intermediate calculations'!AY4)+Data!$AK$10)*Drivers!AZ4</f>
        <v>647508.11887282995</v>
      </c>
      <c r="AZ34" s="22">
        <f>((Data!$AJ$10*'Intermediate calculations'!AZ4)+Data!$AK$10)*Drivers!BA4</f>
        <v>660817.4467176639</v>
      </c>
      <c r="BA34" s="22">
        <f>((Data!$AJ$10*'Intermediate calculations'!BA4)+Data!$AK$10)*Drivers!BB4</f>
        <v>674294.26679499587</v>
      </c>
      <c r="BB34" s="22">
        <f>((Data!$AJ$10*'Intermediate calculations'!BB4)+Data!$AK$10)*Drivers!BC4</f>
        <v>689116.48824959388</v>
      </c>
      <c r="BC34" s="22">
        <f>((Data!$AJ$10*'Intermediate calculations'!BC4)+Data!$AK$10)*Drivers!BD4</f>
        <v>703542.03917983908</v>
      </c>
      <c r="BD34" s="22">
        <f>((Data!$AJ$10*'Intermediate calculations'!BD4)+Data!$AK$10)*Drivers!BE4</f>
        <v>718271.248348422</v>
      </c>
      <c r="BE34" s="22">
        <f>((Data!$AJ$10*'Intermediate calculations'!BE4)+Data!$AK$10)*Drivers!BF4</f>
        <v>733492.64246766467</v>
      </c>
      <c r="BF34" s="22">
        <f>((Data!$AJ$10*'Intermediate calculations'!BF4)+Data!$AK$10)*Drivers!BG4</f>
        <v>749283.79442534444</v>
      </c>
      <c r="BG34" s="22">
        <f>((Data!$AJ$10*'Intermediate calculations'!BG4)+Data!$AK$10)*Drivers!BH4</f>
        <v>766789.38183497731</v>
      </c>
      <c r="BH34" s="22">
        <f>((Data!$AJ$10*'Intermediate calculations'!BH4)+Data!$AK$10)*Drivers!BI4</f>
        <v>779628.85091861291</v>
      </c>
      <c r="BI34" s="22">
        <f>((Data!$AJ$10*'Intermediate calculations'!BI4)+Data!$AK$10)*Drivers!BJ4</f>
        <v>792244.74330496078</v>
      </c>
      <c r="BJ34" s="22">
        <f>((Data!$AJ$10*'Intermediate calculations'!BJ4)+Data!$AK$10)*Drivers!BK4</f>
        <v>805154.63481792284</v>
      </c>
      <c r="BK34" s="22">
        <f>((Data!$AJ$10*'Intermediate calculations'!BK4)+Data!$AK$10)*Drivers!BL4</f>
        <v>818140.98720960331</v>
      </c>
    </row>
    <row r="35" spans="1:63" x14ac:dyDescent="0.2">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8.0531990670072648</v>
      </c>
      <c r="AA35" s="45">
        <f>AA34*ttokg/Drivers!AB4</f>
        <v>8.114135604508105</v>
      </c>
      <c r="AB35" s="45">
        <f>AB34*ttokg/Drivers!AC4</f>
        <v>8.1271625194806223</v>
      </c>
      <c r="AC35" s="45">
        <f>AC34*ttokg/Drivers!AD4</f>
        <v>8.1085132969220055</v>
      </c>
      <c r="AD35" s="45">
        <f>AD34*ttokg/Drivers!AE4</f>
        <v>8.0588704425192166</v>
      </c>
      <c r="AE35" s="45">
        <f>AE34*ttokg/Drivers!AF4</f>
        <v>8.0313456128790985</v>
      </c>
      <c r="AF35" s="45">
        <f>AF34*ttokg/Drivers!AG4</f>
        <v>8.0066088979239574</v>
      </c>
      <c r="AG35" s="45">
        <f>AG34*ttokg/Drivers!AH4</f>
        <v>7.5681822988262306</v>
      </c>
      <c r="AH35" s="45">
        <f>AH34*ttokg/Drivers!AI4</f>
        <v>7.6773839475043975</v>
      </c>
      <c r="AI35" s="45">
        <f>AI34*ttokg/Drivers!AJ4</f>
        <v>7.7511010097345237</v>
      </c>
      <c r="AJ35" s="45">
        <f>AJ34*ttokg/Drivers!AK4</f>
        <v>7.8151699430275041</v>
      </c>
      <c r="AK35" s="45">
        <f>AK34*ttokg/Drivers!AL4</f>
        <v>7.8936280807622925</v>
      </c>
      <c r="AL35" s="45">
        <f>AL34*ttokg/Drivers!AM4</f>
        <v>7.9633208151859876</v>
      </c>
      <c r="AM35" s="45">
        <f>AM34*ttokg/Drivers!AN4</f>
        <v>8.0275118744073861</v>
      </c>
      <c r="AN35" s="45">
        <f>AN34*ttokg/Drivers!AO4</f>
        <v>8.086179671274861</v>
      </c>
      <c r="AO35" s="45">
        <f>AO34*ttokg/Drivers!AP4</f>
        <v>8.1373092366208528</v>
      </c>
      <c r="AP35" s="45">
        <f>AP34*ttokg/Drivers!AQ4</f>
        <v>8.2127602673078588</v>
      </c>
      <c r="AQ35" s="45">
        <f>AQ34*ttokg/Drivers!AR4</f>
        <v>8.2849130790847951</v>
      </c>
      <c r="AR35" s="45">
        <f>AR34*ttokg/Drivers!AS4</f>
        <v>8.3730208930156476</v>
      </c>
      <c r="AS35" s="45">
        <f>AS34*ttokg/Drivers!AT4</f>
        <v>8.4848786935810523</v>
      </c>
      <c r="AT35" s="45">
        <f>AT34*ttokg/Drivers!AU4</f>
        <v>8.6076408710315064</v>
      </c>
      <c r="AU35" s="45">
        <f>AU34*ttokg/Drivers!AV4</f>
        <v>8.7558706506521169</v>
      </c>
      <c r="AV35" s="45">
        <f>AV34*ttokg/Drivers!AW4</f>
        <v>8.8629374608504943</v>
      </c>
      <c r="AW35" s="45">
        <f>AW34*ttokg/Drivers!AX4</f>
        <v>8.9705868672157667</v>
      </c>
      <c r="AX35" s="45">
        <f>AX34*ttokg/Drivers!AY4</f>
        <v>9.0909513489698632</v>
      </c>
      <c r="AY35" s="45">
        <f>AY34*ttokg/Drivers!AZ4</f>
        <v>9.2051982424423535</v>
      </c>
      <c r="AZ35" s="45">
        <f>AZ34*ttokg/Drivers!BA4</f>
        <v>9.3261301692186915</v>
      </c>
      <c r="BA35" s="45">
        <f>BA34*ttokg/Drivers!BB4</f>
        <v>9.4471646369543532</v>
      </c>
      <c r="BB35" s="45">
        <f>BB34*ttokg/Drivers!BC4</f>
        <v>9.5952352671872898</v>
      </c>
      <c r="BC35" s="45">
        <f>BC34*ttokg/Drivers!BD4</f>
        <v>9.7356288581745467</v>
      </c>
      <c r="BD35" s="45">
        <f>BD34*ttokg/Drivers!BE4</f>
        <v>9.8780997688192436</v>
      </c>
      <c r="BE35" s="45">
        <f>BE34*ttokg/Drivers!BF4</f>
        <v>10.025167957060953</v>
      </c>
      <c r="BF35" s="45">
        <f>BF34*ttokg/Drivers!BG4</f>
        <v>10.177783416721217</v>
      </c>
      <c r="BG35" s="45">
        <f>BG34*ttokg/Drivers!BH4</f>
        <v>10.362668160425198</v>
      </c>
      <c r="BH35" s="45">
        <f>BH34*ttokg/Drivers!BI4</f>
        <v>10.482673006430208</v>
      </c>
      <c r="BI35" s="45">
        <f>BI34*ttokg/Drivers!BJ4</f>
        <v>10.598200673179029</v>
      </c>
      <c r="BJ35" s="45">
        <f>BJ34*ttokg/Drivers!BK4</f>
        <v>10.716197404093421</v>
      </c>
      <c r="BK35" s="45">
        <f>BK34*ttokg/Drivers!BL4</f>
        <v>10.833734647096803</v>
      </c>
    </row>
    <row r="36" spans="1:63" x14ac:dyDescent="0.2">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0.15765549436987883</v>
      </c>
      <c r="AP36" s="45"/>
      <c r="AQ36" s="45">
        <f>(AQ37-AE37)/AE37</f>
        <v>0.18723704797784366</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2">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448982.05019678234</v>
      </c>
      <c r="Z37" s="22">
        <f>((Data!$AJ$29*'Intermediate calculations'!Z34)+Data!$AK$29)</f>
        <v>458090.69820274448</v>
      </c>
      <c r="AA37" s="22">
        <f>((Data!$AJ$29*'Intermediate calculations'!AA34)+Data!$AK$29)</f>
        <v>468741.54231529374</v>
      </c>
      <c r="AB37" s="22">
        <f>((Data!$AJ$29*'Intermediate calculations'!AB34)+Data!$AK$29)</f>
        <v>476914.43074207567</v>
      </c>
      <c r="AC37" s="22">
        <f>((Data!$AJ$29*'Intermediate calculations'!AC34)+Data!$AK$29)</f>
        <v>483472.06766951072</v>
      </c>
      <c r="AD37" s="22">
        <f>((Data!$AJ$29*'Intermediate calculations'!AD34)+Data!$AK$29)</f>
        <v>488375.46558668773</v>
      </c>
      <c r="AE37" s="22">
        <f>((Data!$AJ$29*'Intermediate calculations'!AE34)+Data!$AK$29)</f>
        <v>494668.17106631421</v>
      </c>
      <c r="AF37" s="22">
        <f>((Data!$AJ$29*'Intermediate calculations'!AF34)+Data!$AK$29)</f>
        <v>501211.83128389955</v>
      </c>
      <c r="AG37" s="22">
        <f>((Data!$AJ$29*'Intermediate calculations'!AG34)+Data!$AK$29)</f>
        <v>481148.6804034994</v>
      </c>
      <c r="AH37" s="22">
        <f>((Data!$AJ$29*'Intermediate calculations'!AH34)+Data!$AK$29)</f>
        <v>493895.92918673228</v>
      </c>
      <c r="AI37" s="22">
        <f>((Data!$AJ$29*'Intermediate calculations'!AI34)+Data!$AK$29)</f>
        <v>504529.86135587736</v>
      </c>
      <c r="AJ37" s="22">
        <f>((Data!$AJ$29*'Intermediate calculations'!AJ34)+Data!$AK$29)</f>
        <v>514698.10728802934</v>
      </c>
      <c r="AK37" s="22">
        <f>((Data!$AJ$29*'Intermediate calculations'!AK34)+Data!$AK$29)</f>
        <v>526004.43165687751</v>
      </c>
      <c r="AL37" s="22">
        <f>((Data!$AJ$29*'Intermediate calculations'!AL34)+Data!$AK$29)</f>
        <v>536903.17644649581</v>
      </c>
      <c r="AM37" s="22">
        <f>((Data!$AJ$29*'Intermediate calculations'!AM34)+Data!$AK$29)</f>
        <v>546687.55601852015</v>
      </c>
      <c r="AN37" s="22">
        <f>((Data!$AJ$29*'Intermediate calculations'!AN34)+Data!$AK$29)</f>
        <v>556227.11369221867</v>
      </c>
      <c r="AO37" s="22">
        <f>((Data!$AJ$29*'Intermediate calculations'!AO34)+Data!$AK$29)</f>
        <v>565370.54105187673</v>
      </c>
      <c r="AP37" s="22">
        <f>((Data!$AJ$29*'Intermediate calculations'!AP34)+Data!$AK$29)</f>
        <v>576367.23995674541</v>
      </c>
      <c r="AQ37" s="22">
        <f>((Data!$AJ$29*'Intermediate calculations'!AQ34)+Data!$AK$29)</f>
        <v>587288.37914536987</v>
      </c>
      <c r="AR37" s="22">
        <f>((Data!$AJ$29*'Intermediate calculations'!AR34)+Data!$AK$29)</f>
        <v>598735.70760555216</v>
      </c>
      <c r="AS37" s="22">
        <f>((Data!$AJ$29*'Intermediate calculations'!AS34)+Data!$AK$29)</f>
        <v>612068.18097690423</v>
      </c>
      <c r="AT37" s="22">
        <f>((Data!$AJ$29*'Intermediate calculations'!AT34)+Data!$AK$29)</f>
        <v>626386.58385122102</v>
      </c>
      <c r="AU37" s="22">
        <f>((Data!$AJ$29*'Intermediate calculations'!AU34)+Data!$AK$29)</f>
        <v>642794.52214889415</v>
      </c>
      <c r="AV37" s="22">
        <f>((Data!$AJ$29*'Intermediate calculations'!AV34)+Data!$AK$29)</f>
        <v>656355.14423107868</v>
      </c>
      <c r="AW37" s="22">
        <f>((Data!$AJ$29*'Intermediate calculations'!AW34)+Data!$AK$29)</f>
        <v>669329.28143483051</v>
      </c>
      <c r="AX37" s="22">
        <f>((Data!$AJ$29*'Intermediate calculations'!AX34)+Data!$AK$29)</f>
        <v>683423.59991334914</v>
      </c>
      <c r="AY37" s="22">
        <f>((Data!$AJ$29*'Intermediate calculations'!AY34)+Data!$AK$29)</f>
        <v>697219.97564314911</v>
      </c>
      <c r="AZ37" s="22">
        <f>((Data!$AJ$29*'Intermediate calculations'!AZ34)+Data!$AK$29)</f>
        <v>711696.57338239532</v>
      </c>
      <c r="BA37" s="22">
        <f>((Data!$AJ$29*'Intermediate calculations'!BA34)+Data!$AK$29)</f>
        <v>726355.35294949869</v>
      </c>
      <c r="BB37" s="22">
        <f>((Data!$AJ$29*'Intermediate calculations'!BB34)+Data!$AK$29)</f>
        <v>742477.52982438332</v>
      </c>
      <c r="BC37" s="22">
        <f>((Data!$AJ$29*'Intermediate calculations'!BC34)+Data!$AK$29)</f>
        <v>758168.24692286015</v>
      </c>
      <c r="BD37" s="22">
        <f>((Data!$AJ$29*'Intermediate calculations'!BD34)+Data!$AK$29)</f>
        <v>774189.25404183031</v>
      </c>
      <c r="BE37" s="22">
        <f>((Data!$AJ$29*'Intermediate calculations'!BE34)+Data!$AK$29)</f>
        <v>790745.61227898463</v>
      </c>
      <c r="BF37" s="22">
        <f>((Data!$AJ$29*'Intermediate calculations'!BF34)+Data!$AK$29)</f>
        <v>807921.69790823548</v>
      </c>
      <c r="BG37" s="22">
        <f>((Data!$AJ$29*'Intermediate calculations'!BG34)+Data!$AK$29)</f>
        <v>826962.58036848926</v>
      </c>
      <c r="BH37" s="22">
        <f>((Data!$AJ$29*'Intermediate calculations'!BH34)+Data!$AK$29)</f>
        <v>840928.11125601851</v>
      </c>
      <c r="BI37" s="22">
        <f>((Data!$AJ$29*'Intermediate calculations'!BI34)+Data!$AK$29)</f>
        <v>854650.45706701814</v>
      </c>
      <c r="BJ37" s="22">
        <f>((Data!$AJ$29*'Intermediate calculations'!BJ34)+Data!$AK$29)</f>
        <v>868692.58665232267</v>
      </c>
      <c r="BK37" s="22">
        <f>((Data!$AJ$29*'Intermediate calculations'!BK34)+Data!$AK$29)</f>
        <v>882817.88297578995</v>
      </c>
    </row>
    <row r="38" spans="1:63" x14ac:dyDescent="0.2">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2">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1780536.5679391939</v>
      </c>
      <c r="Z39" s="22">
        <f>((Data!$AJ$11*'Intermediate calculations'!Z4)+Data!$AK$11)*Drivers!AA4</f>
        <v>1834642.5186756088</v>
      </c>
      <c r="AA39" s="22">
        <f>((Data!$AJ$11*'Intermediate calculations'!AA4)+Data!$AK$11)*Drivers!AB4</f>
        <v>1905076.8868757137</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1968044.8895064972</v>
      </c>
      <c r="AF39" s="22">
        <f>((Data!$AJ$11*'Intermediate calculations'!AF4)+Data!$AK$11)*Drivers!AG4</f>
        <v>1981185.0437649256</v>
      </c>
      <c r="AG39" s="22">
        <f>((Data!$AJ$11*'Intermediate calculations'!AG4)+Data!$AK$11)*Drivers!AH4</f>
        <v>1676676.3623939066</v>
      </c>
      <c r="AH39" s="22">
        <f>((Data!$AJ$11*'Intermediate calculations'!AH4)+Data!$AK$11)*Drivers!AI4</f>
        <v>1780773.123120843</v>
      </c>
      <c r="AI39" s="22">
        <f>((Data!$AJ$11*'Intermediate calculations'!AI4)+Data!$AK$11)*Drivers!AJ4</f>
        <v>1859175.0006661813</v>
      </c>
      <c r="AJ39" s="22">
        <f>((Data!$AJ$11*'Intermediate calculations'!AJ4)+Data!$AK$11)*Drivers!AK4</f>
        <v>1931481.3159590387</v>
      </c>
      <c r="AK39" s="22">
        <f>((Data!$AJ$11*'Intermediate calculations'!AK4)+Data!$AK$11)*Drivers!AL4</f>
        <v>2016769.3466127219</v>
      </c>
      <c r="AL39" s="22">
        <f>((Data!$AJ$11*'Intermediate calculations'!AL4)+Data!$AK$11)*Drivers!AM4</f>
        <v>2096640.4065060604</v>
      </c>
      <c r="AM39" s="22">
        <f>((Data!$AJ$11*'Intermediate calculations'!AM4)+Data!$AK$11)*Drivers!AN4</f>
        <v>2169976.2341685388</v>
      </c>
      <c r="AN39" s="22">
        <f>((Data!$AJ$11*'Intermediate calculations'!AN4)+Data!$AK$11)*Drivers!AO4</f>
        <v>2239974.5587997087</v>
      </c>
      <c r="AO39" s="22">
        <f>((Data!$AJ$11*'Intermediate calculations'!AO4)+Data!$AK$11)*Drivers!AP4</f>
        <v>2304830.7400434264</v>
      </c>
      <c r="AP39" s="22">
        <f>((Data!$AJ$11*'Intermediate calculations'!AP4)+Data!$AK$11)*Drivers!AQ4</f>
        <v>2391306.8413854679</v>
      </c>
      <c r="AQ39" s="22">
        <f>((Data!$AJ$11*'Intermediate calculations'!AQ4)+Data!$AK$11)*Drivers!AR4</f>
        <v>2476446.8820335143</v>
      </c>
      <c r="AR39" s="22">
        <f>((Data!$AJ$11*'Intermediate calculations'!AR4)+Data!$AK$11)*Drivers!AS4</f>
        <v>2573437.8042263528</v>
      </c>
      <c r="AS39" s="22">
        <f>((Data!$AJ$11*'Intermediate calculations'!AS4)+Data!$AK$11)*Drivers!AT4</f>
        <v>2692525.8607043684</v>
      </c>
      <c r="AT39" s="22">
        <f>((Data!$AJ$11*'Intermediate calculations'!AT4)+Data!$AK$11)*Drivers!AU4</f>
        <v>2823008.1707543051</v>
      </c>
      <c r="AU39" s="22">
        <f>((Data!$AJ$11*'Intermediate calculations'!AU4)+Data!$AK$11)*Drivers!AV4</f>
        <v>2978013.9787620269</v>
      </c>
      <c r="AV39" s="22">
        <f>((Data!$AJ$11*'Intermediate calculations'!AV4)+Data!$AK$11)*Drivers!AW4</f>
        <v>3098795.3553122878</v>
      </c>
      <c r="AW39" s="22">
        <f>((Data!$AJ$11*'Intermediate calculations'!AW4)+Data!$AK$11)*Drivers!AX4</f>
        <v>3218069.2352221441</v>
      </c>
      <c r="AX39" s="22">
        <f>((Data!$AJ$11*'Intermediate calculations'!AX4)+Data!$AK$11)*Drivers!AY4</f>
        <v>3350415.4362668381</v>
      </c>
      <c r="AY39" s="22">
        <f>((Data!$AJ$11*'Intermediate calculations'!AY4)+Data!$AK$11)*Drivers!AZ4</f>
        <v>3478957.4092569095</v>
      </c>
      <c r="AZ39" s="22">
        <f>((Data!$AJ$11*'Intermediate calculations'!AZ4)+Data!$AK$11)*Drivers!BA4</f>
        <v>3615332.7235782202</v>
      </c>
      <c r="BA39" s="22">
        <f>((Data!$AJ$11*'Intermediate calculations'!BA4)+Data!$AK$11)*Drivers!BB4</f>
        <v>3753613.1457761996</v>
      </c>
      <c r="BB39" s="22">
        <f>((Data!$AJ$11*'Intermediate calculations'!BB4)+Data!$AK$11)*Drivers!BC4</f>
        <v>3914564.247744313</v>
      </c>
      <c r="BC39" s="22">
        <f>((Data!$AJ$11*'Intermediate calculations'!BC4)+Data!$AK$11)*Drivers!BD4</f>
        <v>4070189.4212917821</v>
      </c>
      <c r="BD39" s="22">
        <f>((Data!$AJ$11*'Intermediate calculations'!BD4)+Data!$AK$11)*Drivers!BE4</f>
        <v>4229551.7556210635</v>
      </c>
      <c r="BE39" s="22">
        <f>((Data!$AJ$11*'Intermediate calculations'!BE4)+Data!$AK$11)*Drivers!BF4</f>
        <v>4395090.1329084923</v>
      </c>
      <c r="BF39" s="22">
        <f>((Data!$AJ$11*'Intermediate calculations'!BF4)+Data!$AK$11)*Drivers!BG4</f>
        <v>4567807.3643066399</v>
      </c>
      <c r="BG39" s="22">
        <f>((Data!$AJ$11*'Intermediate calculations'!BG4)+Data!$AK$11)*Drivers!BH4</f>
        <v>4768192.0191949988</v>
      </c>
      <c r="BH39" s="22">
        <f>((Data!$AJ$11*'Intermediate calculations'!BH4)+Data!$AK$11)*Drivers!BI4</f>
        <v>4908049.9126567375</v>
      </c>
      <c r="BI39" s="22">
        <f>((Data!$AJ$11*'Intermediate calculations'!BI4)+Data!$AK$11)*Drivers!BJ4</f>
        <v>5044879.7070928179</v>
      </c>
      <c r="BJ39" s="22">
        <f>((Data!$AJ$11*'Intermediate calculations'!BJ4)+Data!$AK$11)*Drivers!BK4</f>
        <v>5185379.645531103</v>
      </c>
      <c r="BK39" s="22">
        <f>((Data!$AJ$11*'Intermediate calculations'!BK4)+Data!$AK$11)*Drivers!BL4</f>
        <v>5326733.464077834</v>
      </c>
    </row>
    <row r="40" spans="1:63" x14ac:dyDescent="0.2">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34.547852654544712</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33.944841040307097</v>
      </c>
      <c r="AG40" s="45">
        <f>AG39*ttokg/Drivers!AH4</f>
        <v>28.270332094570065</v>
      </c>
      <c r="AH40" s="45">
        <f>AH39*ttokg/Drivers!AI4</f>
        <v>29.683717444794592</v>
      </c>
      <c r="AI40" s="45">
        <f>AI39*ttokg/Drivers!AJ4</f>
        <v>30.637829558291315</v>
      </c>
      <c r="AJ40" s="45">
        <f>AJ39*ttokg/Drivers!AK4</f>
        <v>31.467066962826149</v>
      </c>
      <c r="AK40" s="45">
        <f>AK39*ttokg/Drivers!AL4</f>
        <v>32.482542313450793</v>
      </c>
      <c r="AL40" s="45">
        <f>AL39*ttokg/Drivers!AM4</f>
        <v>33.384567979215596</v>
      </c>
      <c r="AM40" s="45">
        <f>AM39*ttokg/Drivers!AN4</f>
        <v>34.215386046681822</v>
      </c>
      <c r="AN40" s="45">
        <f>AN39*ttokg/Drivers!AO4</f>
        <v>34.974717115636814</v>
      </c>
      <c r="AO40" s="45">
        <f>AO39*ttokg/Drivers!AP4</f>
        <v>35.636481653975856</v>
      </c>
      <c r="AP40" s="45">
        <f>AP39*ttokg/Drivers!AQ4</f>
        <v>36.613036337199055</v>
      </c>
      <c r="AQ40" s="45">
        <f>AQ39*ttokg/Drivers!AR4</f>
        <v>37.546902523080348</v>
      </c>
      <c r="AR40" s="45">
        <f>AR39*ttokg/Drivers!AS4</f>
        <v>38.687272608674768</v>
      </c>
      <c r="AS40" s="45">
        <f>AS39*ttokg/Drivers!AT4</f>
        <v>40.135036250901642</v>
      </c>
      <c r="AT40" s="45">
        <f>AT39*ttokg/Drivers!AU4</f>
        <v>41.723934085965411</v>
      </c>
      <c r="AU40" s="45">
        <f>AU39*ttokg/Drivers!AV4</f>
        <v>43.642456393263416</v>
      </c>
      <c r="AV40" s="45">
        <f>AV39*ttokg/Drivers!AW4</f>
        <v>45.028210755595772</v>
      </c>
      <c r="AW40" s="45">
        <f>AW39*ttokg/Drivers!AX4</f>
        <v>46.42150559829043</v>
      </c>
      <c r="AX40" s="45">
        <f>AX39*ttokg/Drivers!AY4</f>
        <v>47.979370312402736</v>
      </c>
      <c r="AY40" s="45">
        <f>AY39*ttokg/Drivers!AZ4</f>
        <v>49.458055730592449</v>
      </c>
      <c r="AZ40" s="45">
        <f>AZ39*ttokg/Drivers!BA4</f>
        <v>51.023264825409697</v>
      </c>
      <c r="BA40" s="45">
        <f>BA39*ttokg/Drivers!BB4</f>
        <v>52.589801096981631</v>
      </c>
      <c r="BB40" s="45">
        <f>BB39*ttokg/Drivers!BC4</f>
        <v>54.506263550644121</v>
      </c>
      <c r="BC40" s="45">
        <f>BC39*ttokg/Drivers!BD4</f>
        <v>56.323362900046803</v>
      </c>
      <c r="BD40" s="45">
        <f>BD39*ttokg/Drivers!BE4</f>
        <v>58.167348777328016</v>
      </c>
      <c r="BE40" s="45">
        <f>BE39*ttokg/Drivers!BF4</f>
        <v>60.070836730678437</v>
      </c>
      <c r="BF40" s="45">
        <f>BF39*ttokg/Drivers!BG4</f>
        <v>62.046122429315737</v>
      </c>
      <c r="BG40" s="45">
        <f>BG39*ttokg/Drivers!BH4</f>
        <v>64.439066046873691</v>
      </c>
      <c r="BH40" s="45">
        <f>BH39*ttokg/Drivers!BI4</f>
        <v>65.992276033650569</v>
      </c>
      <c r="BI40" s="45">
        <f>BI39*ttokg/Drivers!BJ4</f>
        <v>67.487538364438578</v>
      </c>
      <c r="BJ40" s="45">
        <f>BJ39*ttokg/Drivers!BK4</f>
        <v>69.014757530701274</v>
      </c>
      <c r="BK40" s="45">
        <f>BK39*ttokg/Drivers!BL4</f>
        <v>70.536029593693272</v>
      </c>
    </row>
    <row r="41" spans="1:63" x14ac:dyDescent="0.2">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0.1578425037255908</v>
      </c>
      <c r="AP41" s="45"/>
      <c r="AQ41" s="45">
        <f>(AQ42-AE42)/AE42</f>
        <v>0.22945201756048306</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2">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1461929.6645871287</v>
      </c>
      <c r="Z42" s="22">
        <f>((Data!$AJ$33*'Intermediate calculations'!Z39)+Data!$AK$33)</f>
        <v>1500929.0445244412</v>
      </c>
      <c r="AA42" s="22">
        <f>((Data!$AJ$33*'Intermediate calculations'!AA39)+Data!$AK$33)</f>
        <v>1551697.8906253513</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1597085.0065537822</v>
      </c>
      <c r="AF42" s="22">
        <f>((Data!$AJ$33*'Intermediate calculations'!AF39)+Data!$AK$33)</f>
        <v>1606556.3837569267</v>
      </c>
      <c r="AG42" s="22">
        <f>((Data!$AJ$33*'Intermediate calculations'!AG39)+Data!$AK$33)</f>
        <v>1387067.591907534</v>
      </c>
      <c r="AH42" s="22">
        <f>((Data!$AJ$33*'Intermediate calculations'!AH39)+Data!$AK$33)</f>
        <v>1462100.172734194</v>
      </c>
      <c r="AI42" s="22">
        <f>((Data!$AJ$33*'Intermediate calculations'!AI39)+Data!$AK$33)</f>
        <v>1518611.9716874177</v>
      </c>
      <c r="AJ42" s="22">
        <f>((Data!$AJ$33*'Intermediate calculations'!AJ39)+Data!$AK$33)</f>
        <v>1570730.1107015687</v>
      </c>
      <c r="AK42" s="22">
        <f>((Data!$AJ$33*'Intermediate calculations'!AK39)+Data!$AK$33)</f>
        <v>1632205.4247159574</v>
      </c>
      <c r="AL42" s="22">
        <f>((Data!$AJ$33*'Intermediate calculations'!AL39)+Data!$AK$33)</f>
        <v>1689776.2051639522</v>
      </c>
      <c r="AM42" s="22">
        <f>((Data!$AJ$33*'Intermediate calculations'!AM39)+Data!$AK$33)</f>
        <v>1742636.4130911625</v>
      </c>
      <c r="AN42" s="22">
        <f>((Data!$AJ$33*'Intermediate calculations'!AN39)+Data!$AK$33)</f>
        <v>1793090.9605135969</v>
      </c>
      <c r="AO42" s="22">
        <f>((Data!$AJ$33*'Intermediate calculations'!AO39)+Data!$AK$33)</f>
        <v>1839839.0689782104</v>
      </c>
      <c r="AP42" s="22">
        <f>((Data!$AJ$33*'Intermediate calculations'!AP39)+Data!$AK$33)</f>
        <v>1902170.7401869011</v>
      </c>
      <c r="AQ42" s="22">
        <f>((Data!$AJ$33*'Intermediate calculations'!AQ39)+Data!$AK$33)</f>
        <v>1963539.3835231448</v>
      </c>
      <c r="AR42" s="22">
        <f>((Data!$AJ$33*'Intermediate calculations'!AR39)+Data!$AK$33)</f>
        <v>2033450.1008025852</v>
      </c>
      <c r="AS42" s="22">
        <f>((Data!$AJ$33*'Intermediate calculations'!AS39)+Data!$AK$33)</f>
        <v>2119288.3551418902</v>
      </c>
      <c r="AT42" s="22">
        <f>((Data!$AJ$33*'Intermediate calculations'!AT39)+Data!$AK$33)</f>
        <v>2213339.5475795981</v>
      </c>
      <c r="AU42" s="22">
        <f>((Data!$AJ$33*'Intermediate calculations'!AU39)+Data!$AK$33)</f>
        <v>2325067.1915208907</v>
      </c>
      <c r="AV42" s="22">
        <f>((Data!$AJ$33*'Intermediate calculations'!AV39)+Data!$AK$33)</f>
        <v>2412125.9850421925</v>
      </c>
      <c r="AW42" s="22">
        <f>((Data!$AJ$33*'Intermediate calculations'!AW39)+Data!$AK$33)</f>
        <v>2498098.1802608455</v>
      </c>
      <c r="AX42" s="22">
        <f>((Data!$AJ$33*'Intermediate calculations'!AX39)+Data!$AK$33)</f>
        <v>2593492.8588045533</v>
      </c>
      <c r="AY42" s="22">
        <f>((Data!$AJ$33*'Intermediate calculations'!AY39)+Data!$AK$33)</f>
        <v>2686145.4630800686</v>
      </c>
      <c r="AZ42" s="22">
        <f>((Data!$AJ$33*'Intermediate calculations'!AZ39)+Data!$AK$33)</f>
        <v>2784444.312372956</v>
      </c>
      <c r="BA42" s="22">
        <f>((Data!$AJ$33*'Intermediate calculations'!BA39)+Data!$AK$33)</f>
        <v>2884116.356756079</v>
      </c>
      <c r="BB42" s="22">
        <f>((Data!$AJ$33*'Intermediate calculations'!BB39)+Data!$AK$33)</f>
        <v>3000129.3477773978</v>
      </c>
      <c r="BC42" s="22">
        <f>((Data!$AJ$33*'Intermediate calculations'!BC39)+Data!$AK$33)</f>
        <v>3112303.428232159</v>
      </c>
      <c r="BD42" s="22">
        <f>((Data!$AJ$33*'Intermediate calculations'!BD39)+Data!$AK$33)</f>
        <v>3227171.2410995853</v>
      </c>
      <c r="BE42" s="22">
        <f>((Data!$AJ$33*'Intermediate calculations'!BE39)+Data!$AK$33)</f>
        <v>3346490.7241170728</v>
      </c>
      <c r="BF42" s="22">
        <f>((Data!$AJ$33*'Intermediate calculations'!BF39)+Data!$AK$33)</f>
        <v>3470984.7000538763</v>
      </c>
      <c r="BG42" s="22">
        <f>((Data!$AJ$33*'Intermediate calculations'!BG39)+Data!$AK$33)</f>
        <v>3615421.2580153048</v>
      </c>
      <c r="BH42" s="22">
        <f>((Data!$AJ$33*'Intermediate calculations'!BH39)+Data!$AK$33)</f>
        <v>3716230.3381647011</v>
      </c>
      <c r="BI42" s="22">
        <f>((Data!$AJ$33*'Intermediate calculations'!BI39)+Data!$AK$33)</f>
        <v>3814856.7751337797</v>
      </c>
      <c r="BJ42" s="22">
        <f>((Data!$AJ$33*'Intermediate calculations'!BJ39)+Data!$AK$33)</f>
        <v>3916128.6390553191</v>
      </c>
      <c r="BK42" s="22">
        <f>((Data!$AJ$33*'Intermediate calculations'!BK39)+Data!$AK$33)</f>
        <v>4018015.9767707195</v>
      </c>
    </row>
    <row r="43" spans="1:63" x14ac:dyDescent="0.2">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2">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2">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2">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2">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170863.40739787833</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186216.93108293595</v>
      </c>
      <c r="AF47" s="22">
        <f>((Data!$AJ$12*((Drivers!AG5*1000000)/Drivers!AG4))+Data!$AK$12)*Drivers!AG4</f>
        <v>190857.7404512353</v>
      </c>
      <c r="AG47" s="22">
        <f>((Data!$AJ$12*((Drivers!AH5*1000000)/Drivers!AH4))+Data!$AK$12)*Drivers!AH4</f>
        <v>223289.84547077812</v>
      </c>
      <c r="AH47" s="22">
        <f>((Data!$AJ$12*((Drivers!AI5*1000000)/Drivers!AI4))+Data!$AK$12)*Drivers!AI4</f>
        <v>218467.38533726786</v>
      </c>
      <c r="AI47" s="22">
        <f>((Data!$AJ$12*((Drivers!AJ5*1000000)/Drivers!AJ4))+Data!$AK$12)*Drivers!AJ4</f>
        <v>215934.40247017657</v>
      </c>
      <c r="AJ47" s="22">
        <f>((Data!$AJ$12*((Drivers!AK5*1000000)/Drivers!AK4))+Data!$AK$12)*Drivers!AK4</f>
        <v>213982.4779342399</v>
      </c>
      <c r="AK47" s="22">
        <f>((Data!$AJ$12*((Drivers!AL5*1000000)/Drivers!AL4))+Data!$AK$12)*Drivers!AL4</f>
        <v>210948.71939277428</v>
      </c>
      <c r="AL47" s="22">
        <f>((Data!$AJ$12*((Drivers!AM5*1000000)/Drivers!AM4))+Data!$AK$12)*Drivers!AM4</f>
        <v>208437.99631095846</v>
      </c>
      <c r="AM47" s="22">
        <f>((Data!$AJ$12*((Drivers!AN5*1000000)/Drivers!AN4))+Data!$AK$12)*Drivers!AN4</f>
        <v>205895.89222373322</v>
      </c>
      <c r="AN47" s="22">
        <f>((Data!$AJ$12*((Drivers!AO5*1000000)/Drivers!AO4))+Data!$AK$12)*Drivers!AO4</f>
        <v>203682.73848021158</v>
      </c>
      <c r="AO47" s="22">
        <f>((Data!$AJ$12*((Drivers!AP5*1000000)/Drivers!AP4))+Data!$AK$12)*Drivers!AP4</f>
        <v>201956.26606238502</v>
      </c>
      <c r="AP47" s="22">
        <f>((Data!$AJ$12*((Drivers!AQ5*1000000)/Drivers!AQ4))+Data!$AK$12)*Drivers!AQ4</f>
        <v>198383.30648405539</v>
      </c>
      <c r="AQ47" s="22">
        <f>((Data!$AJ$12*((Drivers!AR5*1000000)/Drivers!AR4))+Data!$AK$12)*Drivers!AR4</f>
        <v>194965.91101983085</v>
      </c>
      <c r="AR47" s="22">
        <f>((Data!$AJ$12*((Drivers!AS5*1000000)/Drivers!AS4))+Data!$AK$12)*Drivers!AS4</f>
        <v>190015.43912303174</v>
      </c>
      <c r="AS47" s="22">
        <f>((Data!$AJ$12*((Drivers!AT5*1000000)/Drivers!AT4))+Data!$AK$12)*Drivers!AT4</f>
        <v>183168.11242623688</v>
      </c>
      <c r="AT47" s="22">
        <f>((Data!$AJ$12*((Drivers!AU5*1000000)/Drivers!AU4))+Data!$AK$12)*Drivers!AU4</f>
        <v>175357.43503998849</v>
      </c>
      <c r="AU47" s="22">
        <f>((Data!$AJ$12*((Drivers!AV5*1000000)/Drivers!AV4))+Data!$AK$12)*Drivers!AV4</f>
        <v>165438.84657554375</v>
      </c>
      <c r="AV47" s="22">
        <f>((Data!$AJ$12*((Drivers!AW5*1000000)/Drivers!AW4))+Data!$AK$12)*Drivers!AW4</f>
        <v>158535.19299707032</v>
      </c>
      <c r="AW47" s="22">
        <f>((Data!$AJ$12*((Drivers!AX5*1000000)/Drivers!AX4))+Data!$AK$12)*Drivers!AX4</f>
        <v>151273.8410922871</v>
      </c>
      <c r="AX47" s="22">
        <f>((Data!$AJ$12*((Drivers!AY5*1000000)/Drivers!AY4))+Data!$AK$12)*Drivers!AY4</f>
        <v>142895.61475234776</v>
      </c>
      <c r="AY47" s="22">
        <f>((Data!$AJ$12*((Drivers!AZ5*1000000)/Drivers!AZ4))+Data!$AK$12)*Drivers!AZ4</f>
        <v>134872.25029591145</v>
      </c>
      <c r="AZ47" s="22">
        <f>((Data!$AJ$12*((Drivers!BA5*1000000)/Drivers!BA4))+Data!$AK$12)*Drivers!BA4</f>
        <v>126189.1673538793</v>
      </c>
      <c r="BA47" s="22">
        <f>((Data!$AJ$12*((Drivers!BB5*1000000)/Drivers!BB4))+Data!$AK$12)*Drivers!BB4</f>
        <v>117363.45505747978</v>
      </c>
      <c r="BB47" s="22">
        <f>((Data!$AJ$12*((Drivers!BC5*1000000)/Drivers!BC4))+Data!$AK$12)*Drivers!BC4</f>
        <v>106090.93243505669</v>
      </c>
      <c r="BC47" s="22">
        <f>((Data!$AJ$12*((Drivers!BD5*1000000)/Drivers!BD4))+Data!$AK$12)*Drivers!BD4</f>
        <v>95299.962809433637</v>
      </c>
      <c r="BD47" s="22">
        <f>((Data!$AJ$12*((Drivers!BE5*1000000)/Drivers!BE4))+Data!$AK$12)*Drivers!BE4</f>
        <v>84200.387325966542</v>
      </c>
      <c r="BE47" s="22">
        <f>((Data!$AJ$12*((Drivers!BF5*1000000)/Drivers!BF4))+Data!$AK$12)*Drivers!BF4</f>
        <v>72579.652341812165</v>
      </c>
      <c r="BF47" s="22">
        <f>((Data!$AJ$12*((Drivers!BG5*1000000)/Drivers!BG4))+Data!$AK$12)*Drivers!BG4</f>
        <v>60350.424571033116</v>
      </c>
      <c r="BG47" s="22">
        <f>((Data!$AJ$12*((Drivers!BH5*1000000)/Drivers!BH4))+Data!$AK$12)*Drivers!BH4</f>
        <v>45218.988116696943</v>
      </c>
      <c r="BH47" s="22">
        <f>((Data!$AJ$12*((Drivers!BI5*1000000)/Drivers!BI4))+Data!$AK$12)*Drivers!BI4</f>
        <v>35377.196938493413</v>
      </c>
      <c r="BI47" s="22">
        <f>((Data!$AJ$12*((Drivers!BJ5*1000000)/Drivers!BJ4))+Data!$AK$12)*Drivers!BJ4</f>
        <v>25811.456996659239</v>
      </c>
      <c r="BJ47" s="22">
        <f>((Data!$AJ$12*((Drivers!BK5*1000000)/Drivers!BK4))+Data!$AK$12)*Drivers!BK4</f>
        <v>15937.769420280418</v>
      </c>
      <c r="BK47" s="22">
        <f>((Data!$AJ$12*((Drivers!BL5*1000000)/Drivers!BL4))+Data!$AK$12)*Drivers!BL4</f>
        <v>6001.7628760464158</v>
      </c>
    </row>
    <row r="48" spans="1:63" x14ac:dyDescent="0.2">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2">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178443.63035186307</v>
      </c>
      <c r="Z49" s="22">
        <f>((Data!$AJ$44*'Intermediate calculations'!Z47)+Data!$AK$44)</f>
        <v>178577.37849101148</v>
      </c>
      <c r="AA49" s="22">
        <f>((Data!$AJ$44*'Intermediate calculations'!AA47)+Data!$AK$44)</f>
        <v>177479.77276790631</v>
      </c>
      <c r="AB49" s="22">
        <f>((Data!$AJ$44*'Intermediate calculations'!AB47)+Data!$AK$44)</f>
        <v>179296.77081024175</v>
      </c>
      <c r="AC49" s="22">
        <f>((Data!$AJ$44*'Intermediate calculations'!AC47)+Data!$AK$44)</f>
        <v>183155.94927440817</v>
      </c>
      <c r="AD49" s="22">
        <f>((Data!$AJ$44*'Intermediate calculations'!AD47)+Data!$AK$44)</f>
        <v>189112.44331875222</v>
      </c>
      <c r="AE49" s="22">
        <f>((Data!$AJ$44*'Intermediate calculations'!AE47)+Data!$AK$44)</f>
        <v>193787.72010440068</v>
      </c>
      <c r="AF49" s="22">
        <f>((Data!$AJ$44*'Intermediate calculations'!AF47)+Data!$AK$44)</f>
        <v>198385.25076266567</v>
      </c>
      <c r="AG49" s="22">
        <f>((Data!$AJ$44*'Intermediate calculations'!AG47)+Data!$AK$44)</f>
        <v>230514.90430067762</v>
      </c>
      <c r="AH49" s="22">
        <f>((Data!$AJ$44*'Intermediate calculations'!AH47)+Data!$AK$44)</f>
        <v>225737.41689438088</v>
      </c>
      <c r="AI49" s="22">
        <f>((Data!$AJ$44*'Intermediate calculations'!AI47)+Data!$AK$44)</f>
        <v>223228.05581873306</v>
      </c>
      <c r="AJ49" s="22">
        <f>((Data!$AJ$44*'Intermediate calculations'!AJ47)+Data!$AK$44)</f>
        <v>221294.33430931516</v>
      </c>
      <c r="AK49" s="22">
        <f>((Data!$AJ$44*'Intermediate calculations'!AK47)+Data!$AK$44)</f>
        <v>218288.86763373119</v>
      </c>
      <c r="AL49" s="22">
        <f>((Data!$AJ$44*'Intermediate calculations'!AL47)+Data!$AK$44)</f>
        <v>215801.55875569128</v>
      </c>
      <c r="AM49" s="22">
        <f>((Data!$AJ$44*'Intermediate calculations'!AM47)+Data!$AK$44)</f>
        <v>213283.16152150329</v>
      </c>
      <c r="AN49" s="22">
        <f>((Data!$AJ$44*'Intermediate calculations'!AN47)+Data!$AK$44)</f>
        <v>211090.6469448868</v>
      </c>
      <c r="AO49" s="22">
        <f>((Data!$AJ$44*'Intermediate calculations'!AO47)+Data!$AK$44)</f>
        <v>209380.27505893382</v>
      </c>
      <c r="AP49" s="22">
        <f>((Data!$AJ$44*'Intermediate calculations'!AP47)+Data!$AK$44)</f>
        <v>205840.63576361586</v>
      </c>
      <c r="AQ49" s="22">
        <f>((Data!$AJ$44*'Intermediate calculations'!AQ47)+Data!$AK$44)</f>
        <v>202455.10984102325</v>
      </c>
      <c r="AR49" s="22">
        <f>((Data!$AJ$44*'Intermediate calculations'!AR47)+Data!$AK$44)</f>
        <v>197550.80446836934</v>
      </c>
      <c r="AS49" s="22">
        <f>((Data!$AJ$44*'Intermediate calculations'!AS47)+Data!$AK$44)</f>
        <v>190767.33375942119</v>
      </c>
      <c r="AT49" s="22">
        <f>((Data!$AJ$44*'Intermediate calculations'!AT47)+Data!$AK$44)</f>
        <v>183029.49626271459</v>
      </c>
      <c r="AU49" s="22">
        <f>((Data!$AJ$44*'Intermediate calculations'!AU47)+Data!$AK$44)</f>
        <v>173203.40539514055</v>
      </c>
      <c r="AV49" s="22">
        <f>((Data!$AJ$44*'Intermediate calculations'!AV47)+Data!$AK$44)</f>
        <v>166364.13309107182</v>
      </c>
      <c r="AW49" s="22">
        <f>((Data!$AJ$44*'Intermediate calculations'!AW47)+Data!$AK$44)</f>
        <v>159170.49824135474</v>
      </c>
      <c r="AX49" s="22">
        <f>((Data!$AJ$44*'Intermediate calculations'!AX47)+Data!$AK$44)</f>
        <v>150870.40457173047</v>
      </c>
      <c r="AY49" s="22">
        <f>((Data!$AJ$44*'Intermediate calculations'!AY47)+Data!$AK$44)</f>
        <v>142921.86345670998</v>
      </c>
      <c r="AZ49" s="22">
        <f>((Data!$AJ$44*'Intermediate calculations'!AZ47)+Data!$AK$44)</f>
        <v>134319.75618056481</v>
      </c>
      <c r="BA49" s="22">
        <f>((Data!$AJ$44*'Intermediate calculations'!BA47)+Data!$AK$44)</f>
        <v>125576.34966598249</v>
      </c>
      <c r="BB49" s="22">
        <f>((Data!$AJ$44*'Intermediate calculations'!BB47)+Data!$AK$44)</f>
        <v>114408.95099914871</v>
      </c>
      <c r="BC49" s="22">
        <f>((Data!$AJ$44*'Intermediate calculations'!BC47)+Data!$AK$44)</f>
        <v>103718.61451924524</v>
      </c>
      <c r="BD49" s="22">
        <f>((Data!$AJ$44*'Intermediate calculations'!BD47)+Data!$AK$44)</f>
        <v>92722.550141434578</v>
      </c>
      <c r="BE49" s="22">
        <f>((Data!$AJ$44*'Intermediate calculations'!BE47)+Data!$AK$44)</f>
        <v>81210.186430446643</v>
      </c>
      <c r="BF49" s="22">
        <f>((Data!$AJ$44*'Intermediate calculations'!BF47)+Data!$AK$44)</f>
        <v>69095.004542752329</v>
      </c>
      <c r="BG49" s="22">
        <f>((Data!$AJ$44*'Intermediate calculations'!BG47)+Data!$AK$44)</f>
        <v>54104.679045307377</v>
      </c>
      <c r="BH49" s="22">
        <f>((Data!$AJ$44*'Intermediate calculations'!BH47)+Data!$AK$44)</f>
        <v>44354.669276943627</v>
      </c>
      <c r="BI49" s="22">
        <f>((Data!$AJ$44*'Intermediate calculations'!BI47)+Data!$AK$44)</f>
        <v>34878.136379043339</v>
      </c>
      <c r="BJ49" s="22">
        <f>((Data!$AJ$44*'Intermediate calculations'!BJ47)+Data!$AK$44)</f>
        <v>25096.527668154424</v>
      </c>
      <c r="BK49" s="22">
        <f>((Data!$AJ$44*'Intermediate calculations'!BK47)+Data!$AK$44)</f>
        <v>15253.181156255458</v>
      </c>
    </row>
    <row r="50" spans="1:63" x14ac:dyDescent="0.2">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2606476.9636212462</v>
      </c>
      <c r="AA50" s="22">
        <f>AA15*Constants!$H$29*Constants!$H$35</f>
        <v>2648200.7794607049</v>
      </c>
      <c r="AB50" s="22">
        <f>AB15*Constants!$H$29*Constants!$H$35</f>
        <v>2681889.7581455051</v>
      </c>
      <c r="AC50" s="22">
        <f>AC15*Constants!$H$29*Constants!$H$35</f>
        <v>2710430.7313643708</v>
      </c>
      <c r="AD50" s="22">
        <f>AD15*Constants!$H$29*Constants!$H$35</f>
        <v>2733703.115566791</v>
      </c>
      <c r="AE50" s="22">
        <f>AE15*Constants!$H$29*Constants!$H$35</f>
        <v>2761702.3021248789</v>
      </c>
      <c r="AF50" s="22">
        <f>AF15*Constants!$H$29*Constants!$H$35</f>
        <v>2790651.9542421005</v>
      </c>
      <c r="AG50" s="22">
        <f>AG15*Constants!$H$29*Constants!$H$35</f>
        <v>2730961.729195775</v>
      </c>
      <c r="AH50" s="22">
        <f>AH15*Constants!$H$29*Constants!$H$35</f>
        <v>2778719.6888688114</v>
      </c>
      <c r="AI50" s="22">
        <f>AI15*Constants!$H$29*Constants!$H$35</f>
        <v>2819488.3282009871</v>
      </c>
      <c r="AJ50" s="22">
        <f>AJ15*Constants!$H$29*Constants!$H$35</f>
        <v>2858764.5091941622</v>
      </c>
      <c r="AK50" s="22">
        <f>AK15*Constants!$H$29*Constants!$H$35</f>
        <v>2901898.7745634206</v>
      </c>
      <c r="AL50" s="22">
        <f>AL15*Constants!$H$29*Constants!$H$35</f>
        <v>2943735.826187904</v>
      </c>
      <c r="AM50" s="22">
        <f>AM15*Constants!$H$29*Constants!$H$35</f>
        <v>2981115.6713253534</v>
      </c>
      <c r="AN50" s="22">
        <f>AN15*Constants!$H$29*Constants!$H$35</f>
        <v>3017725.5221742885</v>
      </c>
      <c r="AO50" s="22">
        <f>AO15*Constants!$H$29*Constants!$H$35</f>
        <v>3053061.1035565753</v>
      </c>
      <c r="AP50" s="22">
        <f>AP15*Constants!$H$29*Constants!$H$35</f>
        <v>3094626.4377473304</v>
      </c>
      <c r="AQ50" s="22">
        <f>AQ15*Constants!$H$29*Constants!$H$35</f>
        <v>3135987.7952966685</v>
      </c>
      <c r="AR50" s="22">
        <f>AR15*Constants!$H$29*Constants!$H$35</f>
        <v>3178489.423135478</v>
      </c>
      <c r="AS50" s="22">
        <f>AS15*Constants!$H$29*Constants!$H$35</f>
        <v>3227316.3507985058</v>
      </c>
      <c r="AT50" s="22">
        <f>AT15*Constants!$H$29*Constants!$H$35</f>
        <v>3279469.2885040608</v>
      </c>
      <c r="AU50" s="22">
        <f>AU15*Constants!$H$29*Constants!$H$35</f>
        <v>3338629.9635375584</v>
      </c>
      <c r="AV50" s="22">
        <f>AV15*Constants!$H$29*Constants!$H$35</f>
        <v>3388330.338525882</v>
      </c>
      <c r="AW50" s="22">
        <f>AW15*Constants!$H$29*Constants!$H$35</f>
        <v>3435472.3447751352</v>
      </c>
      <c r="AX50" s="22">
        <f>AX15*Constants!$H$29*Constants!$H$35</f>
        <v>3486379.3339988114</v>
      </c>
      <c r="AY50" s="22">
        <f>AY15*Constants!$H$29*Constants!$H$35</f>
        <v>3536320.9330042629</v>
      </c>
      <c r="AZ50" s="22">
        <f>AZ15*Constants!$H$29*Constants!$H$35</f>
        <v>3588560.3138178503</v>
      </c>
      <c r="BA50" s="22">
        <f>BA15*Constants!$H$29*Constants!$H$35</f>
        <v>3641436.3233461082</v>
      </c>
      <c r="BB50" s="22">
        <f>BB15*Constants!$H$29*Constants!$H$35</f>
        <v>3698615.505435124</v>
      </c>
      <c r="BC50" s="22">
        <f>BC15*Constants!$H$29*Constants!$H$35</f>
        <v>3754376.5330658481</v>
      </c>
      <c r="BD50" s="22">
        <f>BD15*Constants!$H$29*Constants!$H$35</f>
        <v>3811260.5834614439</v>
      </c>
      <c r="BE50" s="22">
        <f>BE15*Constants!$H$29*Constants!$H$35</f>
        <v>3869951.8316636411</v>
      </c>
      <c r="BF50" s="22">
        <f>BF15*Constants!$H$29*Constants!$H$35</f>
        <v>3930731.8729178174</v>
      </c>
      <c r="BG50" s="22">
        <f>BG15*Constants!$H$29*Constants!$H$35</f>
        <v>3997129.8292554845</v>
      </c>
      <c r="BH50" s="22">
        <f>BH15*Constants!$H$29*Constants!$H$35</f>
        <v>4046612.1290646233</v>
      </c>
      <c r="BI50" s="22">
        <f>BI15*Constants!$H$29*Constants!$H$35</f>
        <v>4095297.9956594906</v>
      </c>
      <c r="BJ50" s="22">
        <f>BJ15*Constants!$H$29*Constants!$H$35</f>
        <v>4145065.4568446078</v>
      </c>
      <c r="BK50" s="22">
        <f>BK15*Constants!$H$29*Constants!$H$35</f>
        <v>4195125.2810116298</v>
      </c>
    </row>
    <row r="51" spans="1:63" x14ac:dyDescent="0.2">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3635202.1454829946</v>
      </c>
      <c r="AA51" s="22">
        <f>AA8*Constants!$H$30*Constants!$H$36</f>
        <v>3749346.479849041</v>
      </c>
      <c r="AB51" s="22">
        <f>AB8*Constants!$H$30*Constants!$H$36</f>
        <v>3826616.741798467</v>
      </c>
      <c r="AC51" s="22">
        <f>AC8*Constants!$H$30*Constants!$H$36</f>
        <v>3879298.5642415807</v>
      </c>
      <c r="AD51" s="22">
        <f>AD8*Constants!$H$30*Constants!$H$36</f>
        <v>3906775.7827615775</v>
      </c>
      <c r="AE51" s="22">
        <f>AE8*Constants!$H$30*Constants!$H$36</f>
        <v>3953557.7830203278</v>
      </c>
      <c r="AF51" s="22">
        <f>AF8*Constants!$H$30*Constants!$H$36</f>
        <v>4003230.5614012098</v>
      </c>
      <c r="AG51" s="22">
        <f>AG8*Constants!$H$30*Constants!$H$36</f>
        <v>3671572.7691088938</v>
      </c>
      <c r="AH51" s="22">
        <f>AH8*Constants!$H$30*Constants!$H$36</f>
        <v>3821624.0036386424</v>
      </c>
      <c r="AI51" s="22">
        <f>AI8*Constants!$H$30*Constants!$H$36</f>
        <v>3941071.541106157</v>
      </c>
      <c r="AJ51" s="22">
        <f>AJ8*Constants!$H$30*Constants!$H$36</f>
        <v>4053481.0466008061</v>
      </c>
      <c r="AK51" s="22">
        <f>AK8*Constants!$H$30*Constants!$H$36</f>
        <v>4181790.6211702186</v>
      </c>
      <c r="AL51" s="22">
        <f>AL8*Constants!$H$30*Constants!$H$36</f>
        <v>4303884.6868430758</v>
      </c>
      <c r="AM51" s="22">
        <f>AM8*Constants!$H$30*Constants!$H$36</f>
        <v>4414602.3865015404</v>
      </c>
      <c r="AN51" s="22">
        <f>AN8*Constants!$H$30*Constants!$H$36</f>
        <v>4521529.7982418342</v>
      </c>
      <c r="AO51" s="22">
        <f>AO8*Constants!$H$30*Constants!$H$36</f>
        <v>4622499.5645288816</v>
      </c>
      <c r="AP51" s="22">
        <f>AP8*Constants!$H$30*Constants!$H$36</f>
        <v>4749687.3275188189</v>
      </c>
      <c r="AQ51" s="22">
        <f>AQ8*Constants!$H$30*Constants!$H$36</f>
        <v>4875497.5672062198</v>
      </c>
      <c r="AR51" s="22">
        <f>AR8*Constants!$H$30*Constants!$H$36</f>
        <v>5012629.4855398918</v>
      </c>
      <c r="AS51" s="22">
        <f>AS8*Constants!$H$30*Constants!$H$36</f>
        <v>5176501.8470872929</v>
      </c>
      <c r="AT51" s="22">
        <f>AT8*Constants!$H$30*Constants!$H$36</f>
        <v>5354249.1113482406</v>
      </c>
      <c r="AU51" s="22">
        <f>AU8*Constants!$H$30*Constants!$H$36</f>
        <v>5561656.8037932348</v>
      </c>
      <c r="AV51" s="22">
        <f>AV8*Constants!$H$30*Constants!$H$36</f>
        <v>5728099.506013616</v>
      </c>
      <c r="AW51" s="22">
        <f>AW8*Constants!$H$30*Constants!$H$36</f>
        <v>5889866.3445473081</v>
      </c>
      <c r="AX51" s="22">
        <f>AX8*Constants!$H$30*Constants!$H$36</f>
        <v>6067483.2965781828</v>
      </c>
      <c r="AY51" s="22">
        <f>AY8*Constants!$H$30*Constants!$H$36</f>
        <v>6240662.3082999373</v>
      </c>
      <c r="AZ51" s="22">
        <f>AZ8*Constants!$H$30*Constants!$H$36</f>
        <v>6423395.0931107951</v>
      </c>
      <c r="BA51" s="22">
        <f>BA8*Constants!$H$30*Constants!$H$36</f>
        <v>6608555.710122481</v>
      </c>
      <c r="BB51" s="22">
        <f>BB8*Constants!$H$30*Constants!$H$36</f>
        <v>6818219.5249930844</v>
      </c>
      <c r="BC51" s="22">
        <f>BC8*Constants!$H$30*Constants!$H$36</f>
        <v>7021580.9102889188</v>
      </c>
      <c r="BD51" s="22">
        <f>BD8*Constants!$H$30*Constants!$H$36</f>
        <v>7229536.1630757498</v>
      </c>
      <c r="BE51" s="22">
        <f>BE8*Constants!$H$30*Constants!$H$36</f>
        <v>7445017.9424780058</v>
      </c>
      <c r="BF51" s="22">
        <f>BF8*Constants!$H$30*Constants!$H$36</f>
        <v>7669232.4625694528</v>
      </c>
      <c r="BG51" s="22">
        <f>BG8*Constants!$H$30*Constants!$H$36</f>
        <v>7923841.9411916891</v>
      </c>
      <c r="BH51" s="22">
        <f>BH8*Constants!$H$30*Constants!$H$36</f>
        <v>8105755.9324819027</v>
      </c>
      <c r="BI51" s="22">
        <f>BI8*Constants!$H$30*Constants!$H$36</f>
        <v>8284099.8602745617</v>
      </c>
      <c r="BJ51" s="22">
        <f>BJ8*Constants!$H$30*Constants!$H$36</f>
        <v>8466926.7316957135</v>
      </c>
      <c r="BK51" s="22">
        <f>BK8*Constants!$H$30*Constants!$H$36</f>
        <v>8650851.186572263</v>
      </c>
    </row>
    <row r="52" spans="1:63" x14ac:dyDescent="0.2">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683902.80388155975</v>
      </c>
      <c r="AH52" s="22">
        <f>AH18*Constants!$H$31*Constants!$H$37</f>
        <v>689383.20576162194</v>
      </c>
      <c r="AI52" s="22">
        <f>AI18*Constants!$H$31*Constants!$H$37</f>
        <v>694890.91748059914</v>
      </c>
      <c r="AJ52" s="22">
        <f>AJ18*Constants!$H$31*Constants!$H$37</f>
        <v>700452.73192647507</v>
      </c>
      <c r="AK52" s="22">
        <f>AK18*Constants!$H$31*Constants!$H$37</f>
        <v>706094.75535552891</v>
      </c>
      <c r="AL52" s="22">
        <f>AL18*Constants!$H$31*Constants!$H$37</f>
        <v>711793.22561057156</v>
      </c>
      <c r="AM52" s="22">
        <f>AM18*Constants!$H$31*Constants!$H$37</f>
        <v>716728.08579481894</v>
      </c>
      <c r="AN52" s="22">
        <f>AN18*Constants!$H$31*Constants!$H$37</f>
        <v>721706.1339116412</v>
      </c>
      <c r="AO52" s="22">
        <f>AO18*Constants!$H$31*Constants!$H$37</f>
        <v>726725.43715434021</v>
      </c>
      <c r="AP52" s="22">
        <f>AP18*Constants!$H$31*Constants!$H$37</f>
        <v>731822.08668518369</v>
      </c>
      <c r="AQ52" s="22">
        <f>AQ18*Constants!$H$31*Constants!$H$37</f>
        <v>736966.00871515542</v>
      </c>
      <c r="AR52" s="22">
        <f>AR18*Constants!$H$31*Constants!$H$37</f>
        <v>741498.23688436521</v>
      </c>
      <c r="AS52" s="22">
        <f>AS18*Constants!$H$31*Constants!$H$37</f>
        <v>746097.45169191458</v>
      </c>
      <c r="AT52" s="22">
        <f>AT18*Constants!$H$31*Constants!$H$37</f>
        <v>750749.72939958621</v>
      </c>
      <c r="AU52" s="22">
        <f>AU18*Constants!$H$31*Constants!$H$37</f>
        <v>755472.86711880052</v>
      </c>
      <c r="AV52" s="22">
        <f>AV18*Constants!$H$31*Constants!$H$37</f>
        <v>760189.00357937487</v>
      </c>
      <c r="AW52" s="22">
        <f>AW18*Constants!$H$31*Constants!$H$37</f>
        <v>764288.95271237928</v>
      </c>
      <c r="AX52" s="22">
        <f>AX18*Constants!$H$31*Constants!$H$37</f>
        <v>768435.15396241541</v>
      </c>
      <c r="AY52" s="22">
        <f>AY18*Constants!$H$31*Constants!$H$37</f>
        <v>772605.35762058594</v>
      </c>
      <c r="AZ52" s="22">
        <f>AZ18*Constants!$H$31*Constants!$H$37</f>
        <v>776815.26489010139</v>
      </c>
      <c r="BA52" s="22">
        <f>BA18*Constants!$H$31*Constants!$H$37</f>
        <v>781057.20025118336</v>
      </c>
      <c r="BB52" s="22">
        <f>BB18*Constants!$H$31*Constants!$H$37</f>
        <v>784739.14566382719</v>
      </c>
      <c r="BC52" s="22">
        <f>BC18*Constants!$H$31*Constants!$H$37</f>
        <v>788435.54067629064</v>
      </c>
      <c r="BD52" s="22">
        <f>BD18*Constants!$H$31*Constants!$H$37</f>
        <v>792158.58110035141</v>
      </c>
      <c r="BE52" s="22">
        <f>BE18*Constants!$H$31*Constants!$H$37</f>
        <v>795911.64743888634</v>
      </c>
      <c r="BF52" s="22">
        <f>BF18*Constants!$H$31*Constants!$H$37</f>
        <v>799696.20976761472</v>
      </c>
      <c r="BG52" s="22">
        <f>BG18*Constants!$H$31*Constants!$H$37</f>
        <v>802902.69391535455</v>
      </c>
      <c r="BH52" s="22">
        <f>BH18*Constants!$H$31*Constants!$H$37</f>
        <v>806043.63032673532</v>
      </c>
      <c r="BI52" s="22">
        <f>BI18*Constants!$H$31*Constants!$H$37</f>
        <v>809195.6204297801</v>
      </c>
      <c r="BJ52" s="22">
        <f>BJ18*Constants!$H$31*Constants!$H$37</f>
        <v>812367.65589883376</v>
      </c>
      <c r="BK52" s="22">
        <f>BK18*Constants!$H$31*Constants!$H$37</f>
        <v>815556.0659690355</v>
      </c>
    </row>
    <row r="53" spans="1:63" x14ac:dyDescent="0.2">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105125.62512519839</v>
      </c>
      <c r="Z53" s="22">
        <f>Z32*Constants!$H$32*Constants!$H$38</f>
        <v>107578.6499207025</v>
      </c>
      <c r="AA53" s="22">
        <f>AA32*Constants!$H$32*Constants!$H$38</f>
        <v>110633.12591910694</v>
      </c>
      <c r="AB53" s="22">
        <f>AB32*Constants!$H$32*Constants!$H$38</f>
        <v>112582.26561288942</v>
      </c>
      <c r="AC53" s="22">
        <f>AC32*Constants!$H$32*Constants!$H$38</f>
        <v>113789.77241225375</v>
      </c>
      <c r="AD53" s="22">
        <f>AD32*Constants!$H$32*Constants!$H$38</f>
        <v>114236.8782104491</v>
      </c>
      <c r="AE53" s="22">
        <f>AE32*Constants!$H$32*Constants!$H$38</f>
        <v>115251.32905709544</v>
      </c>
      <c r="AF53" s="22">
        <f>AF32*Constants!$H$32*Constants!$H$38</f>
        <v>116345.45035452006</v>
      </c>
      <c r="AG53" s="22">
        <f>AG32*Constants!$H$32*Constants!$H$38</f>
        <v>106129.68110436</v>
      </c>
      <c r="AH53" s="22">
        <f>AH32*Constants!$H$32*Constants!$H$38</f>
        <v>110299.49489262816</v>
      </c>
      <c r="AI53" s="22">
        <f>AI32*Constants!$H$32*Constants!$H$38</f>
        <v>113558.92139042588</v>
      </c>
      <c r="AJ53" s="22">
        <f>AJ32*Constants!$H$32*Constants!$H$38</f>
        <v>116606.48013008619</v>
      </c>
      <c r="AK53" s="22">
        <f>AK32*Constants!$H$32*Constants!$H$38</f>
        <v>120122.08735447745</v>
      </c>
      <c r="AL53" s="22">
        <f>AL32*Constants!$H$32*Constants!$H$38</f>
        <v>123450.13382018235</v>
      </c>
      <c r="AM53" s="22">
        <f>AM32*Constants!$H$32*Constants!$H$38</f>
        <v>126480.25931337038</v>
      </c>
      <c r="AN53" s="22">
        <f>AN32*Constants!$H$32*Constants!$H$38</f>
        <v>129395.54931020481</v>
      </c>
      <c r="AO53" s="22">
        <f>AO32*Constants!$H$32*Constants!$H$38</f>
        <v>132131.7324665515</v>
      </c>
      <c r="AP53" s="22">
        <f>AP32*Constants!$H$32*Constants!$H$38</f>
        <v>135642.56586078857</v>
      </c>
      <c r="AQ53" s="22">
        <f>AQ32*Constants!$H$32*Constants!$H$38</f>
        <v>139110.01129466412</v>
      </c>
      <c r="AR53" s="22">
        <f>AR32*Constants!$H$32*Constants!$H$38</f>
        <v>142945.73718015861</v>
      </c>
      <c r="AS53" s="22">
        <f>AS32*Constants!$H$32*Constants!$H$38</f>
        <v>147572.1726709528</v>
      </c>
      <c r="AT53" s="22">
        <f>AT32*Constants!$H$32*Constants!$H$38</f>
        <v>152607.92817974271</v>
      </c>
      <c r="AU53" s="22">
        <f>AU32*Constants!$H$32*Constants!$H$38</f>
        <v>158520.91679373063</v>
      </c>
      <c r="AV53" s="22">
        <f>AV32*Constants!$H$32*Constants!$H$38</f>
        <v>163217.57405332162</v>
      </c>
      <c r="AW53" s="22">
        <f>AW32*Constants!$H$32*Constants!$H$38</f>
        <v>167807.60526594007</v>
      </c>
      <c r="AX53" s="22">
        <f>AX32*Constants!$H$32*Constants!$H$38</f>
        <v>172865.9785474714</v>
      </c>
      <c r="AY53" s="22">
        <f>AY32*Constants!$H$32*Constants!$H$38</f>
        <v>177791.2846373482</v>
      </c>
      <c r="AZ53" s="22">
        <f>AZ32*Constants!$H$32*Constants!$H$38</f>
        <v>182998.26845844835</v>
      </c>
      <c r="BA53" s="22">
        <f>BA32*Constants!$H$32*Constants!$H$38</f>
        <v>188275.68476571498</v>
      </c>
      <c r="BB53" s="22">
        <f>BB32*Constants!$H$32*Constants!$H$38</f>
        <v>194310.17854607647</v>
      </c>
      <c r="BC53" s="22">
        <f>BC32*Constants!$H$32*Constants!$H$38</f>
        <v>200156.72808893258</v>
      </c>
      <c r="BD53" s="22">
        <f>BD32*Constants!$H$32*Constants!$H$38</f>
        <v>206138.32508456323</v>
      </c>
      <c r="BE53" s="22">
        <f>BE32*Constants!$H$32*Constants!$H$38</f>
        <v>212341.89526382805</v>
      </c>
      <c r="BF53" s="22">
        <f>BF32*Constants!$H$32*Constants!$H$38</f>
        <v>218803.18734750088</v>
      </c>
      <c r="BG53" s="22">
        <f>BG32*Constants!$H$32*Constants!$H$38</f>
        <v>226197.49434542662</v>
      </c>
      <c r="BH53" s="22">
        <f>BH32*Constants!$H$32*Constants!$H$38</f>
        <v>231436.10944372282</v>
      </c>
      <c r="BI53" s="22">
        <f>BI32*Constants!$H$32*Constants!$H$38</f>
        <v>236568.11182707886</v>
      </c>
      <c r="BJ53" s="22">
        <f>BJ32*Constants!$H$32*Constants!$H$38</f>
        <v>241832.2125707019</v>
      </c>
      <c r="BK53" s="22">
        <f>BK32*Constants!$H$32*Constants!$H$38</f>
        <v>247128.05549954029</v>
      </c>
    </row>
    <row r="54" spans="1:63" x14ac:dyDescent="0.2">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580166.48120341287</v>
      </c>
      <c r="AD54" s="22">
        <f>AD37*Constants!$H$33*Constants!$H$39</f>
        <v>586050.55870402523</v>
      </c>
      <c r="AE54" s="22">
        <f>AE37*Constants!$H$33*Constants!$H$39</f>
        <v>593601.80527957703</v>
      </c>
      <c r="AF54" s="22">
        <f>AF37*Constants!$H$33*Constants!$H$39</f>
        <v>601454.19754067948</v>
      </c>
      <c r="AG54" s="22">
        <f>AG37*Constants!$H$33*Constants!$H$39</f>
        <v>577378.41648419923</v>
      </c>
      <c r="AH54" s="22">
        <f>AH37*Constants!$H$33*Constants!$H$39</f>
        <v>592675.11502407875</v>
      </c>
      <c r="AI54" s="22">
        <f>AI37*Constants!$H$33*Constants!$H$39</f>
        <v>605435.83362705284</v>
      </c>
      <c r="AJ54" s="22">
        <f>AJ37*Constants!$H$33*Constants!$H$39</f>
        <v>617637.72874563513</v>
      </c>
      <c r="AK54" s="22">
        <f>AK37*Constants!$H$33*Constants!$H$39</f>
        <v>631205.31798825297</v>
      </c>
      <c r="AL54" s="22">
        <f>AL37*Constants!$H$33*Constants!$H$39</f>
        <v>644283.811735795</v>
      </c>
      <c r="AM54" s="22">
        <f>AM37*Constants!$H$33*Constants!$H$39</f>
        <v>656025.0672222242</v>
      </c>
      <c r="AN54" s="22">
        <f>AN37*Constants!$H$33*Constants!$H$39</f>
        <v>667472.53643066238</v>
      </c>
      <c r="AO54" s="22">
        <f>AO37*Constants!$H$33*Constants!$H$39</f>
        <v>678444.64926225203</v>
      </c>
      <c r="AP54" s="22">
        <f>AP37*Constants!$H$33*Constants!$H$39</f>
        <v>691640.68794809445</v>
      </c>
      <c r="AQ54" s="22">
        <f>AQ37*Constants!$H$33*Constants!$H$39</f>
        <v>704746.05497444386</v>
      </c>
      <c r="AR54" s="22">
        <f>AR37*Constants!$H$33*Constants!$H$39</f>
        <v>718482.84912666259</v>
      </c>
      <c r="AS54" s="22">
        <f>AS37*Constants!$H$33*Constants!$H$39</f>
        <v>734481.81717228505</v>
      </c>
      <c r="AT54" s="22">
        <f>AT37*Constants!$H$33*Constants!$H$39</f>
        <v>751663.90062146517</v>
      </c>
      <c r="AU54" s="22">
        <f>AU37*Constants!$H$33*Constants!$H$39</f>
        <v>771353.42657867295</v>
      </c>
      <c r="AV54" s="22">
        <f>AV37*Constants!$H$33*Constants!$H$39</f>
        <v>787626.17307729437</v>
      </c>
      <c r="AW54" s="22">
        <f>AW37*Constants!$H$33*Constants!$H$39</f>
        <v>803195.13772179664</v>
      </c>
      <c r="AX54" s="22">
        <f>AX37*Constants!$H$33*Constants!$H$39</f>
        <v>820108.31989601895</v>
      </c>
      <c r="AY54" s="22">
        <f>AY37*Constants!$H$33*Constants!$H$39</f>
        <v>836663.97077177896</v>
      </c>
      <c r="AZ54" s="22">
        <f>AZ37*Constants!$H$33*Constants!$H$39</f>
        <v>854035.88805887441</v>
      </c>
      <c r="BA54" s="22">
        <f>BA37*Constants!$H$33*Constants!$H$39</f>
        <v>871626.42353939835</v>
      </c>
      <c r="BB54" s="22">
        <f>BB37*Constants!$H$33*Constants!$H$39</f>
        <v>890973.03578925994</v>
      </c>
      <c r="BC54" s="22">
        <f>BC37*Constants!$H$33*Constants!$H$39</f>
        <v>909801.89630743221</v>
      </c>
      <c r="BD54" s="22">
        <f>BD37*Constants!$H$33*Constants!$H$39</f>
        <v>929027.1048501964</v>
      </c>
      <c r="BE54" s="22">
        <f>BE37*Constants!$H$33*Constants!$H$39</f>
        <v>948894.73473478155</v>
      </c>
      <c r="BF54" s="22">
        <f>BF37*Constants!$H$33*Constants!$H$39</f>
        <v>969506.03748988255</v>
      </c>
      <c r="BG54" s="22">
        <f>BG37*Constants!$H$33*Constants!$H$39</f>
        <v>992355.09644218709</v>
      </c>
      <c r="BH54" s="22">
        <f>BH37*Constants!$H$33*Constants!$H$39</f>
        <v>1009113.7335072221</v>
      </c>
      <c r="BI54" s="22">
        <f>BI37*Constants!$H$33*Constants!$H$39</f>
        <v>1025580.5484804218</v>
      </c>
      <c r="BJ54" s="22">
        <f>BJ37*Constants!$H$33*Constants!$H$39</f>
        <v>1042431.1039827871</v>
      </c>
      <c r="BK54" s="22">
        <f>BK37*Constants!$H$33*Constants!$H$39</f>
        <v>1059381.4595709478</v>
      </c>
    </row>
    <row r="55" spans="1:63" x14ac:dyDescent="0.2">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1560966.2063054191</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v>
      </c>
      <c r="AG55" s="22">
        <f>AG42*Constants!$H$34*Constants!$H$40</f>
        <v>1442550.2955838356</v>
      </c>
      <c r="AH55" s="22">
        <f>AH42*Constants!$H$34*Constants!$H$40</f>
        <v>1520584.1796435618</v>
      </c>
      <c r="AI55" s="22">
        <f>AI42*Constants!$H$34*Constants!$H$40</f>
        <v>1579356.4505549145</v>
      </c>
      <c r="AJ55" s="22">
        <f>AJ42*Constants!$H$34*Constants!$H$40</f>
        <v>1633559.3151296317</v>
      </c>
      <c r="AK55" s="22">
        <f>AK42*Constants!$H$34*Constants!$H$40</f>
        <v>1697493.6417045959</v>
      </c>
      <c r="AL55" s="22">
        <f>AL42*Constants!$H$34*Constants!$H$40</f>
        <v>1757367.2533705104</v>
      </c>
      <c r="AM55" s="22">
        <f>AM42*Constants!$H$34*Constants!$H$40</f>
        <v>1812341.8696148093</v>
      </c>
      <c r="AN55" s="22">
        <f>AN42*Constants!$H$34*Constants!$H$40</f>
        <v>1864814.598934141</v>
      </c>
      <c r="AO55" s="22">
        <f>AO42*Constants!$H$34*Constants!$H$40</f>
        <v>1913432.6317373391</v>
      </c>
      <c r="AP55" s="22">
        <f>AP42*Constants!$H$34*Constants!$H$40</f>
        <v>1978257.5697943773</v>
      </c>
      <c r="AQ55" s="22">
        <f>AQ42*Constants!$H$34*Constants!$H$40</f>
        <v>2042080.9588640707</v>
      </c>
      <c r="AR55" s="22">
        <f>AR42*Constants!$H$34*Constants!$H$40</f>
        <v>2114788.1048346888</v>
      </c>
      <c r="AS55" s="22">
        <f>AS42*Constants!$H$34*Constants!$H$40</f>
        <v>2204059.8893475658</v>
      </c>
      <c r="AT55" s="22">
        <f>AT42*Constants!$H$34*Constants!$H$40</f>
        <v>2301873.129482782</v>
      </c>
      <c r="AU55" s="22">
        <f>AU42*Constants!$H$34*Constants!$H$40</f>
        <v>2418069.8791817268</v>
      </c>
      <c r="AV55" s="22">
        <f>AV42*Constants!$H$34*Constants!$H$40</f>
        <v>2508611.0244438802</v>
      </c>
      <c r="AW55" s="22">
        <f>AW42*Constants!$H$34*Constants!$H$40</f>
        <v>2598022.1074712798</v>
      </c>
      <c r="AX55" s="22">
        <f>AX42*Constants!$H$34*Constants!$H$40</f>
        <v>2697232.5731567354</v>
      </c>
      <c r="AY55" s="22">
        <f>AY42*Constants!$H$34*Constants!$H$40</f>
        <v>2793591.2816032716</v>
      </c>
      <c r="AZ55" s="22">
        <f>AZ42*Constants!$H$34*Constants!$H$40</f>
        <v>2895822.0848678746</v>
      </c>
      <c r="BA55" s="22">
        <f>BA42*Constants!$H$34*Constants!$H$40</f>
        <v>2999481.0110263224</v>
      </c>
      <c r="BB55" s="22">
        <f>BB42*Constants!$H$34*Constants!$H$40</f>
        <v>3120134.5216884939</v>
      </c>
      <c r="BC55" s="22">
        <f>BC42*Constants!$H$34*Constants!$H$40</f>
        <v>3236795.5653614458</v>
      </c>
      <c r="BD55" s="22">
        <f>BD42*Constants!$H$34*Constants!$H$40</f>
        <v>3356258.0907435687</v>
      </c>
      <c r="BE55" s="22">
        <f>BE42*Constants!$H$34*Constants!$H$40</f>
        <v>3480350.3530817563</v>
      </c>
      <c r="BF55" s="22">
        <f>BF42*Constants!$H$34*Constants!$H$40</f>
        <v>3609824.0880560321</v>
      </c>
      <c r="BG55" s="22">
        <f>BG42*Constants!$H$34*Constants!$H$40</f>
        <v>3760038.1083359173</v>
      </c>
      <c r="BH55" s="22">
        <f>BH42*Constants!$H$34*Constants!$H$40</f>
        <v>3864879.5516912895</v>
      </c>
      <c r="BI55" s="22">
        <f>BI42*Constants!$H$34*Constants!$H$40</f>
        <v>3967451.0461391308</v>
      </c>
      <c r="BJ55" s="22">
        <f>BJ42*Constants!$H$34*Constants!$H$40</f>
        <v>4072773.784617532</v>
      </c>
      <c r="BK55" s="22">
        <f>BK42*Constants!$H$34*Constants!$H$40</f>
        <v>4178736.6158415489</v>
      </c>
    </row>
    <row r="56" spans="1:63" x14ac:dyDescent="0.2">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8905592.5862857662</v>
      </c>
      <c r="Z56" s="22">
        <f t="shared" si="48"/>
        <v>9095513.1405561939</v>
      </c>
      <c r="AA56" s="22">
        <f t="shared" si="48"/>
        <v>9326430.4780428484</v>
      </c>
      <c r="AB56" s="22">
        <f t="shared" si="48"/>
        <v>9484875.5644762423</v>
      </c>
      <c r="AC56" s="22">
        <f t="shared" si="48"/>
        <v>9595076.4625779279</v>
      </c>
      <c r="AD56" s="22">
        <f t="shared" si="48"/>
        <v>9655827.5030585341</v>
      </c>
      <c r="AE56" s="22">
        <f t="shared" si="48"/>
        <v>9754723.2383019067</v>
      </c>
      <c r="AF56" s="22">
        <f t="shared" si="48"/>
        <v>9859425.6401465051</v>
      </c>
      <c r="AG56" s="22">
        <f t="shared" si="48"/>
        <v>9212495.6953586228</v>
      </c>
      <c r="AH56" s="22">
        <f t="shared" si="48"/>
        <v>9513285.6878293436</v>
      </c>
      <c r="AI56" s="22">
        <f t="shared" si="48"/>
        <v>9753801.9923601355</v>
      </c>
      <c r="AJ56" s="22">
        <f t="shared" si="48"/>
        <v>9980501.8117267974</v>
      </c>
      <c r="AK56" s="22">
        <f t="shared" si="48"/>
        <v>10238605.198136495</v>
      </c>
      <c r="AL56" s="22">
        <f t="shared" si="48"/>
        <v>10484514.937568041</v>
      </c>
      <c r="AM56" s="22">
        <f t="shared" si="48"/>
        <v>10707293.339772116</v>
      </c>
      <c r="AN56" s="22">
        <f t="shared" si="48"/>
        <v>10922644.139002774</v>
      </c>
      <c r="AO56" s="22">
        <f t="shared" si="48"/>
        <v>11126295.11870594</v>
      </c>
      <c r="AP56" s="22">
        <f t="shared" si="48"/>
        <v>11381676.675554594</v>
      </c>
      <c r="AQ56" s="22">
        <f t="shared" si="48"/>
        <v>11634388.396351222</v>
      </c>
      <c r="AR56" s="22">
        <f t="shared" si="48"/>
        <v>11908833.836701246</v>
      </c>
      <c r="AS56" s="22">
        <f t="shared" si="48"/>
        <v>12236029.528768517</v>
      </c>
      <c r="AT56" s="22">
        <f t="shared" si="48"/>
        <v>12590613.087535877</v>
      </c>
      <c r="AU56" s="22">
        <f t="shared" si="48"/>
        <v>13003703.857003722</v>
      </c>
      <c r="AV56" s="22">
        <f t="shared" si="48"/>
        <v>13336073.619693367</v>
      </c>
      <c r="AW56" s="22">
        <f t="shared" si="48"/>
        <v>13658652.49249384</v>
      </c>
      <c r="AX56" s="22">
        <f t="shared" si="48"/>
        <v>14012504.656139633</v>
      </c>
      <c r="AY56" s="22">
        <f t="shared" si="48"/>
        <v>14357635.135937184</v>
      </c>
      <c r="AZ56" s="22">
        <f t="shared" si="48"/>
        <v>14721626.913203944</v>
      </c>
      <c r="BA56" s="22">
        <f t="shared" si="48"/>
        <v>15090432.353051208</v>
      </c>
      <c r="BB56" s="22">
        <f t="shared" si="48"/>
        <v>15506991.912115868</v>
      </c>
      <c r="BC56" s="22">
        <f t="shared" si="48"/>
        <v>15911147.173788868</v>
      </c>
      <c r="BD56" s="22">
        <f t="shared" si="48"/>
        <v>16324378.848315876</v>
      </c>
      <c r="BE56" s="22">
        <f t="shared" si="48"/>
        <v>16752468.404660899</v>
      </c>
      <c r="BF56" s="22">
        <f t="shared" si="48"/>
        <v>17197793.858148303</v>
      </c>
      <c r="BG56" s="22">
        <f t="shared" si="48"/>
        <v>17702465.16348606</v>
      </c>
      <c r="BH56" s="22">
        <f t="shared" si="48"/>
        <v>18063841.086515494</v>
      </c>
      <c r="BI56" s="22">
        <f t="shared" si="48"/>
        <v>18418193.182810463</v>
      </c>
      <c r="BJ56" s="22">
        <f t="shared" si="48"/>
        <v>18781396.945610177</v>
      </c>
      <c r="BK56" s="22">
        <f t="shared" si="48"/>
        <v>19146778.664464965</v>
      </c>
    </row>
    <row r="57" spans="1:63" x14ac:dyDescent="0.2">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2">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7537936.8788555842</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7303180.8999845404</v>
      </c>
      <c r="AH58" s="22">
        <f>((Data!$AJ$37*'Intermediate calculations'!AH56)+Data!$AK$37)</f>
        <v>7487749.114509033</v>
      </c>
      <c r="AI58" s="22">
        <f>((Data!$AJ$37*'Intermediate calculations'!AI56)+Data!$AK$37)</f>
        <v>7635332.6977480892</v>
      </c>
      <c r="AJ58" s="22">
        <f>((Data!$AJ$37*'Intermediate calculations'!AJ56)+Data!$AK$37)</f>
        <v>7774438.3260631766</v>
      </c>
      <c r="AK58" s="22">
        <f>((Data!$AJ$37*'Intermediate calculations'!AK56)+Data!$AK$37)</f>
        <v>7932813.545933567</v>
      </c>
      <c r="AL58" s="22">
        <f>((Data!$AJ$37*'Intermediate calculations'!AL56)+Data!$AK$37)</f>
        <v>8083706.6031401884</v>
      </c>
      <c r="AM58" s="22">
        <f>((Data!$AJ$37*'Intermediate calculations'!AM56)+Data!$AK$37)</f>
        <v>8220406.0045786463</v>
      </c>
      <c r="AN58" s="22">
        <f>((Data!$AJ$37*'Intermediate calculations'!AN56)+Data!$AK$37)</f>
        <v>8352547.7430186123</v>
      </c>
      <c r="AO58" s="22">
        <f>((Data!$AJ$37*'Intermediate calculations'!AO56)+Data!$AK$37)</f>
        <v>8477510.3370239157</v>
      </c>
      <c r="AP58" s="22">
        <f>((Data!$AJ$37*'Intermediate calculations'!AP56)+Data!$AK$37)</f>
        <v>8634215.410829287</v>
      </c>
      <c r="AQ58" s="22">
        <f>((Data!$AJ$37*'Intermediate calculations'!AQ56)+Data!$AK$37)</f>
        <v>8789282.2423874754</v>
      </c>
      <c r="AR58" s="22">
        <f>((Data!$AJ$37*'Intermediate calculations'!AR56)+Data!$AK$37)</f>
        <v>8957685.1353617925</v>
      </c>
      <c r="AS58" s="22">
        <f>((Data!$AJ$37*'Intermediate calculations'!AS56)+Data!$AK$37)</f>
        <v>9158456.1922341064</v>
      </c>
      <c r="AT58" s="22">
        <f>((Data!$AJ$37*'Intermediate calculations'!AT56)+Data!$AK$37)</f>
        <v>9376032.7605363354</v>
      </c>
      <c r="AU58" s="22">
        <f>((Data!$AJ$37*'Intermediate calculations'!AU56)+Data!$AK$37)</f>
        <v>9629510.029281076</v>
      </c>
      <c r="AV58" s="22">
        <f>((Data!$AJ$37*'Intermediate calculations'!AV56)+Data!$AK$37)</f>
        <v>9833455.9556653406</v>
      </c>
      <c r="AW58" s="22">
        <f>((Data!$AJ$37*'Intermediate calculations'!AW56)+Data!$AK$37)</f>
        <v>10031394.07889563</v>
      </c>
      <c r="AX58" s="22">
        <f>((Data!$AJ$37*'Intermediate calculations'!AX56)+Data!$AK$37)</f>
        <v>10248521.854701169</v>
      </c>
      <c r="AY58" s="22">
        <f>((Data!$AJ$37*'Intermediate calculations'!AY56)+Data!$AK$37)</f>
        <v>10460297.904532403</v>
      </c>
      <c r="AZ58" s="22">
        <f>((Data!$AJ$37*'Intermediate calculations'!AZ56)+Data!$AK$37)</f>
        <v>10683647.464402692</v>
      </c>
      <c r="BA58" s="22">
        <f>((Data!$AJ$37*'Intermediate calculations'!BA56)+Data!$AK$37)</f>
        <v>10909950.743246505</v>
      </c>
      <c r="BB58" s="22">
        <f>((Data!$AJ$37*'Intermediate calculations'!BB56)+Data!$AK$37)</f>
        <v>11165556.501364134</v>
      </c>
      <c r="BC58" s="22">
        <f>((Data!$AJ$37*'Intermediate calculations'!BC56)+Data!$AK$37)</f>
        <v>11413550.839290541</v>
      </c>
      <c r="BD58" s="22">
        <f>((Data!$AJ$37*'Intermediate calculations'!BD56)+Data!$AK$37)</f>
        <v>11667114.569007516</v>
      </c>
      <c r="BE58" s="22">
        <f>((Data!$AJ$37*'Intermediate calculations'!BE56)+Data!$AK$37)</f>
        <v>11929795.266666945</v>
      </c>
      <c r="BF58" s="22">
        <f>((Data!$AJ$37*'Intermediate calculations'!BF56)+Data!$AK$37)</f>
        <v>12203052.109946001</v>
      </c>
      <c r="BG58" s="22">
        <f>((Data!$AJ$37*'Intermediate calculations'!BG56)+Data!$AK$37)</f>
        <v>12512724.25356628</v>
      </c>
      <c r="BH58" s="22">
        <f>((Data!$AJ$37*'Intermediate calculations'!BH56)+Data!$AK$37)</f>
        <v>12734468.695054557</v>
      </c>
      <c r="BI58" s="22">
        <f>((Data!$AJ$37*'Intermediate calculations'!BI56)+Data!$AK$37)</f>
        <v>12951903.235309551</v>
      </c>
      <c r="BJ58" s="22">
        <f>((Data!$AJ$37*'Intermediate calculations'!BJ56)+Data!$AK$37)</f>
        <v>13174769.260398621</v>
      </c>
      <c r="BK58" s="22">
        <f>((Data!$AJ$37*'Intermediate calculations'!BK56)+Data!$AK$37)</f>
        <v>13398971.704485863</v>
      </c>
    </row>
    <row r="59" spans="1:63" x14ac:dyDescent="0.2">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16020454.192771515</v>
      </c>
      <c r="Z59" s="22">
        <f t="shared" si="49"/>
        <v>16326912.19336874</v>
      </c>
      <c r="AA59" s="22">
        <f t="shared" si="49"/>
        <v>16699523.077015547</v>
      </c>
      <c r="AB59" s="22">
        <f t="shared" si="49"/>
        <v>16955191.899062544</v>
      </c>
      <c r="AC59" s="22">
        <f t="shared" si="49"/>
        <v>17133013.34143351</v>
      </c>
      <c r="AD59" s="22">
        <f t="shared" si="49"/>
        <v>17231041.922233555</v>
      </c>
      <c r="AE59" s="22">
        <f t="shared" si="49"/>
        <v>17390621.223203383</v>
      </c>
      <c r="AF59" s="22">
        <f t="shared" si="49"/>
        <v>17559570.228487637</v>
      </c>
      <c r="AG59" s="22">
        <f t="shared" si="49"/>
        <v>16515676.595343163</v>
      </c>
      <c r="AH59" s="22">
        <f t="shared" si="49"/>
        <v>17001034.802338377</v>
      </c>
      <c r="AI59" s="22">
        <f t="shared" si="49"/>
        <v>17389134.690108225</v>
      </c>
      <c r="AJ59" s="22">
        <f t="shared" si="49"/>
        <v>17754940.137789972</v>
      </c>
      <c r="AK59" s="22">
        <f t="shared" si="49"/>
        <v>18171418.744070061</v>
      </c>
      <c r="AL59" s="22">
        <f t="shared" si="49"/>
        <v>18568221.540708229</v>
      </c>
      <c r="AM59" s="22">
        <f t="shared" si="49"/>
        <v>18927699.344350763</v>
      </c>
      <c r="AN59" s="22">
        <f t="shared" si="49"/>
        <v>19275191.882021386</v>
      </c>
      <c r="AO59" s="22">
        <f t="shared" si="49"/>
        <v>19603805.455729857</v>
      </c>
      <c r="AP59" s="22">
        <f t="shared" si="49"/>
        <v>20015892.086383879</v>
      </c>
      <c r="AQ59" s="22">
        <f t="shared" si="49"/>
        <v>20423670.638738699</v>
      </c>
      <c r="AR59" s="22">
        <f t="shared" si="49"/>
        <v>20866518.972063038</v>
      </c>
      <c r="AS59" s="22">
        <f t="shared" si="49"/>
        <v>21394485.721002623</v>
      </c>
      <c r="AT59" s="22">
        <f t="shared" si="49"/>
        <v>21966645.848072212</v>
      </c>
      <c r="AU59" s="22">
        <f t="shared" si="49"/>
        <v>22633213.886284798</v>
      </c>
      <c r="AV59" s="22">
        <f t="shared" si="49"/>
        <v>23169529.575358707</v>
      </c>
      <c r="AW59" s="22">
        <f t="shared" si="49"/>
        <v>23690046.57138947</v>
      </c>
      <c r="AX59" s="22">
        <f t="shared" si="49"/>
        <v>24261026.510840803</v>
      </c>
      <c r="AY59" s="22">
        <f t="shared" si="49"/>
        <v>24817933.040469587</v>
      </c>
      <c r="AZ59" s="22">
        <f t="shared" si="49"/>
        <v>25405274.377606638</v>
      </c>
      <c r="BA59" s="22">
        <f t="shared" si="49"/>
        <v>26000383.096297711</v>
      </c>
      <c r="BB59" s="22">
        <f t="shared" si="49"/>
        <v>26672548.413480002</v>
      </c>
      <c r="BC59" s="22">
        <f t="shared" si="49"/>
        <v>27324698.013079409</v>
      </c>
      <c r="BD59" s="22">
        <f t="shared" si="49"/>
        <v>27991493.417323392</v>
      </c>
      <c r="BE59" s="22">
        <f t="shared" si="49"/>
        <v>28682263.671327844</v>
      </c>
      <c r="BF59" s="22">
        <f t="shared" si="49"/>
        <v>29400845.968094304</v>
      </c>
      <c r="BG59" s="22">
        <f t="shared" si="49"/>
        <v>30215189.41705234</v>
      </c>
      <c r="BH59" s="22">
        <f t="shared" si="49"/>
        <v>30798309.781570051</v>
      </c>
      <c r="BI59" s="22">
        <f t="shared" si="49"/>
        <v>31370096.418120012</v>
      </c>
      <c r="BJ59" s="22">
        <f t="shared" si="49"/>
        <v>31956166.206008799</v>
      </c>
      <c r="BK59" s="22">
        <f t="shared" si="49"/>
        <v>32545750.368950829</v>
      </c>
    </row>
    <row r="60" spans="1:63" x14ac:dyDescent="0.2">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19917222.898001812</v>
      </c>
      <c r="AG60" s="22">
        <f>((Data!$AJ$41*'Intermediate calculations'!AG59)+Data!$AK$41)</f>
        <v>18930098.937487088</v>
      </c>
      <c r="AH60" s="22">
        <f>((Data!$AJ$41*'Intermediate calculations'!AH59)+Data!$AK$41)</f>
        <v>19389062.092683509</v>
      </c>
      <c r="AI60" s="22">
        <f>((Data!$AJ$41*'Intermediate calculations'!AI59)+Data!$AK$41)</f>
        <v>19756056.091043945</v>
      </c>
      <c r="AJ60" s="22">
        <f>((Data!$AJ$41*'Intermediate calculations'!AJ59)+Data!$AK$41)</f>
        <v>20101968.079419382</v>
      </c>
      <c r="AK60" s="22">
        <f>((Data!$AJ$41*'Intermediate calculations'!AK59)+Data!$AK$41)</f>
        <v>20495797.48717472</v>
      </c>
      <c r="AL60" s="22">
        <f>((Data!$AJ$41*'Intermediate calculations'!AL59)+Data!$AK$41)</f>
        <v>20871021.107402109</v>
      </c>
      <c r="AM60" s="22">
        <f>((Data!$AJ$41*'Intermediate calculations'!AM59)+Data!$AK$41)</f>
        <v>21210949.565610878</v>
      </c>
      <c r="AN60" s="22">
        <f>((Data!$AJ$41*'Intermediate calculations'!AN59)+Data!$AK$41)</f>
        <v>21539544.54803402</v>
      </c>
      <c r="AO60" s="22">
        <f>((Data!$AJ$41*'Intermediate calculations'!AO59)+Data!$AK$41)</f>
        <v>21850287.254051752</v>
      </c>
      <c r="AP60" s="22">
        <f>((Data!$AJ$41*'Intermediate calculations'!AP59)+Data!$AK$41)</f>
        <v>22239963.533330366</v>
      </c>
      <c r="AQ60" s="22">
        <f>((Data!$AJ$41*'Intermediate calculations'!AQ59)+Data!$AK$41)</f>
        <v>22625566.01890251</v>
      </c>
      <c r="AR60" s="22">
        <f>((Data!$AJ$41*'Intermediate calculations'!AR59)+Data!$AK$41)</f>
        <v>23044331.098809808</v>
      </c>
      <c r="AS60" s="22">
        <f>((Data!$AJ$41*'Intermediate calculations'!AS59)+Data!$AK$41)</f>
        <v>23543585.631729446</v>
      </c>
      <c r="AT60" s="22">
        <f>((Data!$AJ$41*'Intermediate calculations'!AT59)+Data!$AK$41)</f>
        <v>24084630.191011064</v>
      </c>
      <c r="AU60" s="22">
        <f>((Data!$AJ$41*'Intermediate calculations'!AU59)+Data!$AK$41)</f>
        <v>24714948.511710964</v>
      </c>
      <c r="AV60" s="22">
        <f>((Data!$AJ$41*'Intermediate calculations'!AV59)+Data!$AK$41)</f>
        <v>25222097.94751133</v>
      </c>
      <c r="AW60" s="22">
        <f>((Data!$AJ$41*'Intermediate calculations'!AW59)+Data!$AK$41)</f>
        <v>25714307.864616945</v>
      </c>
      <c r="AX60" s="22">
        <f>((Data!$AJ$41*'Intermediate calculations'!AX59)+Data!$AK$41)</f>
        <v>26254236.417977177</v>
      </c>
      <c r="AY60" s="22">
        <f>((Data!$AJ$41*'Intermediate calculations'!AY59)+Data!$AK$41)</f>
        <v>26780856.910438396</v>
      </c>
      <c r="AZ60" s="22">
        <f>((Data!$AJ$41*'Intermediate calculations'!AZ59)+Data!$AK$41)</f>
        <v>27336257.085782222</v>
      </c>
      <c r="BA60" s="22">
        <f>((Data!$AJ$41*'Intermediate calculations'!BA59)+Data!$AK$41)</f>
        <v>27899002.23210679</v>
      </c>
      <c r="BB60" s="22">
        <f>((Data!$AJ$41*'Intermediate calculations'!BB59)+Data!$AK$41)</f>
        <v>28534613.437071182</v>
      </c>
      <c r="BC60" s="22">
        <f>((Data!$AJ$41*'Intermediate calculations'!BC59)+Data!$AK$41)</f>
        <v>29151297.431651659</v>
      </c>
      <c r="BD60" s="22">
        <f>((Data!$AJ$41*'Intermediate calculations'!BD59)+Data!$AK$41)</f>
        <v>29781830.753622063</v>
      </c>
      <c r="BE60" s="22">
        <f>((Data!$AJ$41*'Intermediate calculations'!BE59)+Data!$AK$41)</f>
        <v>30435035.110166177</v>
      </c>
      <c r="BF60" s="22">
        <f>((Data!$AJ$41*'Intermediate calculations'!BF59)+Data!$AK$41)</f>
        <v>31114539.017669849</v>
      </c>
      <c r="BG60" s="22">
        <f>((Data!$AJ$41*'Intermediate calculations'!BG59)+Data!$AK$41)</f>
        <v>31884596.334844254</v>
      </c>
      <c r="BH60" s="22">
        <f>((Data!$AJ$41*'Intermediate calculations'!BH59)+Data!$AK$41)</f>
        <v>32436005.085126236</v>
      </c>
      <c r="BI60" s="22">
        <f>((Data!$AJ$41*'Intermediate calculations'!BI59)+Data!$AK$41)</f>
        <v>32976696.465281896</v>
      </c>
      <c r="BJ60" s="22">
        <f>((Data!$AJ$41*'Intermediate calculations'!BJ59)+Data!$AK$41)</f>
        <v>33530894.241559297</v>
      </c>
      <c r="BK60" s="22">
        <f>((Data!$AJ$41*'Intermediate calculations'!BK59)+Data!$AK$41)</f>
        <v>34088415.271960624</v>
      </c>
    </row>
    <row r="61" spans="1:63" x14ac:dyDescent="0.2">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3533134.1936058402</v>
      </c>
      <c r="AH61" s="22">
        <f>((Data!$AJ$42*LN('Intermediate calculations'!AH60))+Data!$AK$42)</f>
        <v>3551592.8057409506</v>
      </c>
      <c r="AI61" s="22">
        <f>((Data!$AJ$42*LN('Intermediate calculations'!AI60))+Data!$AK$42)</f>
        <v>3566040.8985523209</v>
      </c>
      <c r="AJ61" s="22">
        <f>((Data!$AJ$42*LN('Intermediate calculations'!AJ60))+Data!$AK$42)</f>
        <v>3579415.3874971271</v>
      </c>
      <c r="AK61" s="22">
        <f>((Data!$AJ$42*LN('Intermediate calculations'!AK60))+Data!$AK$42)</f>
        <v>3594365.2114793099</v>
      </c>
      <c r="AL61" s="22">
        <f>((Data!$AJ$42*LN('Intermediate calculations'!AL60))+Data!$AK$42)</f>
        <v>3608343.8992133755</v>
      </c>
      <c r="AM61" s="22">
        <f>((Data!$AJ$42*LN('Intermediate calculations'!AM60))+Data!$AK$42)</f>
        <v>3620792.4084558729</v>
      </c>
      <c r="AN61" s="22">
        <f>((Data!$AJ$42*LN('Intermediate calculations'!AN60))+Data!$AK$42)</f>
        <v>3632637.6736033764</v>
      </c>
      <c r="AO61" s="22">
        <f>((Data!$AJ$42*LN('Intermediate calculations'!AO60))+Data!$AK$42)</f>
        <v>3643674.3128369395</v>
      </c>
      <c r="AP61" s="22">
        <f>((Data!$AJ$42*LN('Intermediate calculations'!AP60))+Data!$AK$42)</f>
        <v>3657294.6906282641</v>
      </c>
      <c r="AQ61" s="22">
        <f>((Data!$AJ$42*LN('Intermediate calculations'!AQ60))+Data!$AK$42)</f>
        <v>3670539.7577979695</v>
      </c>
      <c r="AR61" s="22">
        <f>((Data!$AJ$42*LN('Intermediate calculations'!AR60))+Data!$AK$42)</f>
        <v>3684670.6324141324</v>
      </c>
      <c r="AS61" s="22">
        <f>((Data!$AJ$42*LN('Intermediate calculations'!AS60))+Data!$AK$42)</f>
        <v>3701185.7548105363</v>
      </c>
      <c r="AT61" s="22">
        <f>((Data!$AJ$42*LN('Intermediate calculations'!AT60))+Data!$AK$42)</f>
        <v>3718692.4370110072</v>
      </c>
      <c r="AU61" s="22">
        <f>((Data!$AJ$42*LN('Intermediate calculations'!AU60))+Data!$AK$42)</f>
        <v>3738598.4579304736</v>
      </c>
      <c r="AV61" s="22">
        <f>((Data!$AJ$42*LN('Intermediate calculations'!AV60))+Data!$AK$42)</f>
        <v>3754249.5436777677</v>
      </c>
      <c r="AW61" s="22">
        <f>((Data!$AJ$42*LN('Intermediate calculations'!AW60))+Data!$AK$42)</f>
        <v>3769141.5093315784</v>
      </c>
      <c r="AX61" s="22">
        <f>((Data!$AJ$42*LN('Intermediate calculations'!AX60))+Data!$AK$42)</f>
        <v>3785152.8543187492</v>
      </c>
      <c r="AY61" s="22">
        <f>((Data!$AJ$42*LN('Intermediate calculations'!AY60))+Data!$AK$42)</f>
        <v>3800455.451151805</v>
      </c>
      <c r="AZ61" s="22">
        <f>((Data!$AJ$42*LN('Intermediate calculations'!AZ60))+Data!$AK$42)</f>
        <v>3816271.6850029007</v>
      </c>
      <c r="BA61" s="22">
        <f>((Data!$AJ$42*LN('Intermediate calculations'!BA60))+Data!$AK$42)</f>
        <v>3831972.6676072143</v>
      </c>
      <c r="BB61" s="22">
        <f>((Data!$AJ$42*LN('Intermediate calculations'!BB60))+Data!$AK$42)</f>
        <v>3849330.2197420876</v>
      </c>
      <c r="BC61" s="22">
        <f>((Data!$AJ$42*LN('Intermediate calculations'!BC60))+Data!$AK$42)</f>
        <v>3865805.2382898442</v>
      </c>
      <c r="BD61" s="22">
        <f>((Data!$AJ$42*LN('Intermediate calculations'!BD60))+Data!$AK$42)</f>
        <v>3882293.7541240845</v>
      </c>
      <c r="BE61" s="22">
        <f>((Data!$AJ$42*LN('Intermediate calculations'!BE60))+Data!$AK$42)</f>
        <v>3899010.9874762483</v>
      </c>
      <c r="BF61" s="22">
        <f>((Data!$AJ$42*LN('Intermediate calculations'!BF60))+Data!$AK$42)</f>
        <v>3916024.7746488545</v>
      </c>
      <c r="BG61" s="22">
        <f>((Data!$AJ$42*LN('Intermediate calculations'!BG60))+Data!$AK$42)</f>
        <v>3934862.4166172836</v>
      </c>
      <c r="BH61" s="22">
        <f>((Data!$AJ$42*LN('Intermediate calculations'!BH60))+Data!$AK$42)</f>
        <v>3948073.8713603262</v>
      </c>
      <c r="BI61" s="22">
        <f>((Data!$AJ$42*LN('Intermediate calculations'!BI60))+Data!$AK$42)</f>
        <v>3960812.2365733348</v>
      </c>
      <c r="BJ61" s="22">
        <f>((Data!$AJ$42*LN('Intermediate calculations'!BJ60))+Data!$AK$42)</f>
        <v>3973653.8638464957</v>
      </c>
      <c r="BK61" s="22">
        <f>((Data!$AJ$42*LN('Intermediate calculations'!BK60))+Data!$AK$42)</f>
        <v>3986360.0966620483</v>
      </c>
    </row>
    <row r="62" spans="1:63" s="44" customFormat="1" x14ac:dyDescent="0.2">
      <c r="A62" s="36" t="s">
        <v>875</v>
      </c>
    </row>
    <row r="63" spans="1:63" x14ac:dyDescent="0.2">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2">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2">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baseColWidth="10" defaultColWidth="8.83203125" defaultRowHeight="15" outlineLevelCol="1" x14ac:dyDescent="0.2"/>
  <cols>
    <col min="1" max="1" width="29.5" customWidth="1"/>
    <col min="2" max="2" width="12.83203125" customWidth="1"/>
    <col min="3" max="22" width="12.6640625" customWidth="1" outlineLevel="1"/>
    <col min="23" max="29" width="12.6640625" customWidth="1"/>
    <col min="30" max="34" width="13.83203125" customWidth="1"/>
    <col min="36" max="36" width="12.6640625" bestFit="1" customWidth="1"/>
    <col min="37" max="37" width="11.6640625" bestFit="1" customWidth="1"/>
  </cols>
  <sheetData>
    <row r="1" spans="1:37" ht="19" x14ac:dyDescent="0.25">
      <c r="A1" s="1" t="s">
        <v>806</v>
      </c>
    </row>
    <row r="2" spans="1:37" x14ac:dyDescent="0.2">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2">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2">
      <c r="A4" t="str">
        <f>'Intermediate calculations'!A4</f>
        <v>Wealth (GDP)</v>
      </c>
      <c r="B4" t="str">
        <f>'Intermediate calculations'!B4</f>
        <v>GDP/capita</v>
      </c>
      <c r="C4">
        <f>'Intermediate calculations'!C4</f>
        <v>53.622810793906829</v>
      </c>
      <c r="D4">
        <f>'Intermediate calculations'!D4</f>
        <v>53.886630809268532</v>
      </c>
      <c r="E4">
        <f>'Intermediate calculations'!E4</f>
        <v>54.134533706459393</v>
      </c>
      <c r="F4">
        <f>'Intermediate calculations'!F4</f>
        <v>54.406389846353214</v>
      </c>
      <c r="G4">
        <f>'Intermediate calculations'!G4</f>
        <v>54.753374931736715</v>
      </c>
      <c r="H4">
        <f>'Intermediate calculations'!H4</f>
        <v>55.209553668970941</v>
      </c>
      <c r="I4">
        <f>'Intermediate calculations'!I4</f>
        <v>56.431674723181764</v>
      </c>
      <c r="J4">
        <f>'Intermediate calculations'!J4</f>
        <v>56.893520613867651</v>
      </c>
      <c r="K4">
        <f>'Intermediate calculations'!K4</f>
        <v>56.380506744182213</v>
      </c>
      <c r="L4">
        <f>'Intermediate calculations'!L4</f>
        <v>57.045724513398213</v>
      </c>
      <c r="M4">
        <f>'Intermediate calculations'!M4</f>
        <v>58.722463215443696</v>
      </c>
      <c r="N4">
        <f>'Intermediate calculations'!N4</f>
        <v>59.625113875492801</v>
      </c>
      <c r="O4">
        <f>'Intermediate calculations'!O4</f>
        <v>61.113788430182993</v>
      </c>
      <c r="P4">
        <f>'Intermediate calculations'!P4</f>
        <v>62.170337979533471</v>
      </c>
      <c r="Q4">
        <f>'Intermediate calculations'!Q4</f>
        <v>64.180209010666076</v>
      </c>
      <c r="R4">
        <f>'Intermediate calculations'!R4</f>
        <v>66.758299397044382</v>
      </c>
      <c r="S4">
        <f>'Intermediate calculations'!S4</f>
        <v>69.562904957948831</v>
      </c>
      <c r="T4">
        <f>'Intermediate calculations'!T4</f>
        <v>72.505988712433634</v>
      </c>
      <c r="U4">
        <f>'Intermediate calculations'!U4</f>
        <v>74.236547378686069</v>
      </c>
      <c r="V4">
        <f>'Intermediate calculations'!V4</f>
        <v>72.227995799185251</v>
      </c>
      <c r="W4">
        <f>'Intermediate calculations'!W4</f>
        <v>73.376760198385327</v>
      </c>
      <c r="X4">
        <f>'Intermediate calculations'!X4</f>
        <v>74.745825380001122</v>
      </c>
      <c r="Y4">
        <f>'Intermediate calculations'!Y4</f>
        <v>76.098573381601653</v>
      </c>
      <c r="Z4">
        <f>'Intermediate calculations'!Z4</f>
        <v>76.641958163342665</v>
      </c>
      <c r="AA4">
        <f>'Intermediate calculations'!AA4</f>
        <v>77.466559353366392</v>
      </c>
      <c r="AB4">
        <f>'Intermediate calculations'!AB4</f>
        <v>77.64284126942583</v>
      </c>
      <c r="AC4">
        <f>'Intermediate calculations'!AC4</f>
        <v>77.390477552261203</v>
      </c>
      <c r="AD4">
        <f>'Intermediate calculations'!AD4</f>
        <v>76.718703958033785</v>
      </c>
      <c r="AE4">
        <f>'Intermediate calculations'!AG4</f>
        <v>70.078647863376531</v>
      </c>
      <c r="AF4">
        <f>'Intermediate calculations'!AQ4</f>
        <v>79.777542460393789</v>
      </c>
      <c r="AG4">
        <f>'Intermediate calculations'!BA4</f>
        <v>95.505282450755701</v>
      </c>
      <c r="AH4">
        <f>'Intermediate calculations'!BK4</f>
        <v>114.26852905627365</v>
      </c>
    </row>
    <row r="5" spans="1:37" x14ac:dyDescent="0.2">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2.6139706304201846E-4</v>
      </c>
      <c r="AK5">
        <f>INTERCEPT(M5:AD5,$M$4:$AD$4)</f>
        <v>-2.301142863220515E-3</v>
      </c>
    </row>
    <row r="6" spans="1:37" x14ac:dyDescent="0.2">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2.7228520981254661E-4</v>
      </c>
      <c r="AK6">
        <f>INTERCEPT(M6:AD6,$M$4:$AD$4)</f>
        <v>1.6590092758160913E-2</v>
      </c>
    </row>
    <row r="7" spans="1:37" x14ac:dyDescent="0.2">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5.2099215460455355E-7</v>
      </c>
      <c r="AK7">
        <f>INTERCEPT(M7:AD7,$M$4:$AD$4)</f>
        <v>3.1804576356140794E-3</v>
      </c>
    </row>
    <row r="8" spans="1:37" x14ac:dyDescent="0.2">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3.3254818379014604E-8</v>
      </c>
      <c r="AK8">
        <f>INTERCEPT(M8:AD8,$M$4:$AD$4)</f>
        <v>2.0300793418813272E-4</v>
      </c>
    </row>
    <row r="9" spans="1:37" x14ac:dyDescent="0.2">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8.0388569397870803E-5</v>
      </c>
      <c r="AK9">
        <f>INTERCEPT(R9:AD9,$R$4:$AD$4)</f>
        <v>-1.6683173409193699E-3</v>
      </c>
    </row>
    <row r="10" spans="1:37" x14ac:dyDescent="0.2">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7.3898192530000802E-5</v>
      </c>
      <c r="AK10">
        <f>INTERCEPT(M10:AD10,$M$4:$AD$4)</f>
        <v>2.3894968867763013E-3</v>
      </c>
    </row>
    <row r="11" spans="1:37" x14ac:dyDescent="0.2">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9.5645646374620263E-4</v>
      </c>
      <c r="AK11">
        <f>INTERCEPT(M11:AD11,$M$4:$AD$4)</f>
        <v>-3.8756843624950431E-2</v>
      </c>
    </row>
    <row r="12" spans="1:37" x14ac:dyDescent="0.2">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-8.339920586103123E-5</v>
      </c>
      <c r="AK12">
        <f>INTERCEPT(R12:AB12,$R$4:$AB$4)</f>
        <v>9.6093792744095016E-3</v>
      </c>
    </row>
    <row r="13" spans="1:37" x14ac:dyDescent="0.2">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2">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2">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41.560458796157903</v>
      </c>
      <c r="AA15">
        <f>SUM(AA54:AA55)/'Intermediate calculations'!AA10</f>
        <v>41.398998366070714</v>
      </c>
      <c r="AB15">
        <f>SUM(AB54:AB55)/'Intermediate calculations'!AB10</f>
        <v>40.503756933107503</v>
      </c>
      <c r="AC15">
        <f>SUM(AC54:AC55)/'Intermediate calculations'!AC10</f>
        <v>39.312134004260393</v>
      </c>
      <c r="AD15">
        <f>SUM(AD54:AD55)/'Intermediate calculations'!AD10</f>
        <v>37.700128748081923</v>
      </c>
      <c r="AJ15">
        <f>SLOPE(K15:AD15,LN(K2:AD2))</f>
        <v>-11.220913259965306</v>
      </c>
      <c r="AK15">
        <f>INTERCEPT(K15:AD15,LN(K2:AD2))</f>
        <v>71.098489130017768</v>
      </c>
    </row>
    <row r="16" spans="1:37" x14ac:dyDescent="0.2">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2">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2">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2">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2">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2">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2">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2">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2">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2">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2">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2">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2">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2">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2">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2">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2">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2">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2">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2">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2">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2">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2">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2">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2">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2">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2">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2">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2">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2">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2">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2">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2">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2">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2">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2">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2">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2">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2">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2">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2">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2">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2">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2">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2">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2">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2750.4646029066707</v>
      </c>
      <c r="AK61">
        <f>INTERCEPT(M61:AD61,M4:AD4)</f>
        <v>99172.538697586075</v>
      </c>
    </row>
    <row r="62" spans="1:37" x14ac:dyDescent="0.2">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2">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2">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2">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2">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2">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2">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2">
      <c r="C69">
        <f>SUM(C51:C56)</f>
        <v>13300372.9</v>
      </c>
    </row>
    <row r="70" spans="1:37" x14ac:dyDescent="0.2">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baseColWidth="10" defaultColWidth="8.83203125" defaultRowHeight="15" x14ac:dyDescent="0.2"/>
  <cols>
    <col min="2" max="2" width="26.5" customWidth="1"/>
    <col min="3" max="3" width="11" customWidth="1"/>
  </cols>
  <sheetData>
    <row r="1" spans="1:53" x14ac:dyDescent="0.2">
      <c r="A1" s="28" t="s">
        <v>665</v>
      </c>
    </row>
    <row r="3" spans="1:53" x14ac:dyDescent="0.2">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2">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2">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2">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1461.9296645871286</v>
      </c>
      <c r="P6" s="32">
        <f>'Intermediate calculations'!Z42/1000</f>
        <v>1500.9290445244412</v>
      </c>
      <c r="Q6" s="32">
        <f>'Intermediate calculations'!AA42/1000</f>
        <v>1551.6978906253514</v>
      </c>
      <c r="R6" s="32">
        <f>'Intermediate calculations'!AB42/1000</f>
        <v>1579.6991994235048</v>
      </c>
      <c r="S6" s="32">
        <f>'Intermediate calculations'!AC42/1000</f>
        <v>1592.2732513502281</v>
      </c>
      <c r="T6" s="32">
        <f>'Intermediate calculations'!AD42/1000</f>
        <v>1589.0236047287594</v>
      </c>
      <c r="U6" s="32">
        <f>'Intermediate calculations'!AE42/1000</f>
        <v>1597.0850065537823</v>
      </c>
      <c r="V6" s="32">
        <f>'Intermediate calculations'!AF42/1000</f>
        <v>1606.5563837569268</v>
      </c>
      <c r="W6" s="32">
        <f>'Intermediate calculations'!AG42/1000</f>
        <v>1387.0675919075341</v>
      </c>
      <c r="X6" s="32">
        <f>'Intermediate calculations'!AH42/1000</f>
        <v>1462.1001727341941</v>
      </c>
      <c r="Y6" s="32">
        <f>'Intermediate calculations'!AI42/1000</f>
        <v>1518.6119716874177</v>
      </c>
      <c r="Z6" s="32">
        <f>'Intermediate calculations'!AJ42/1000</f>
        <v>1570.7301107015687</v>
      </c>
      <c r="AA6" s="32">
        <f>'Intermediate calculations'!AK42/1000</f>
        <v>1632.2054247159574</v>
      </c>
      <c r="AB6" s="32">
        <f>'Intermediate calculations'!AL42/1000</f>
        <v>1689.7762051639522</v>
      </c>
      <c r="AC6" s="32">
        <f>'Intermediate calculations'!AM42/1000</f>
        <v>1742.6364130911625</v>
      </c>
      <c r="AD6" s="32">
        <f>'Intermediate calculations'!AN42/1000</f>
        <v>1793.0909605135969</v>
      </c>
      <c r="AE6" s="32">
        <f>'Intermediate calculations'!AO42/1000</f>
        <v>1839.8390689782104</v>
      </c>
      <c r="AF6" s="32">
        <f>'Intermediate calculations'!AP42/1000</f>
        <v>1902.170740186901</v>
      </c>
      <c r="AG6" s="32">
        <f>'Intermediate calculations'!AQ42/1000</f>
        <v>1963.5393835231448</v>
      </c>
      <c r="AH6" s="32">
        <f>'Intermediate calculations'!AR42/1000</f>
        <v>2033.4501008025852</v>
      </c>
      <c r="AI6" s="32">
        <f>'Intermediate calculations'!AS42/1000</f>
        <v>2119.2883551418904</v>
      </c>
      <c r="AJ6" s="32">
        <f>'Intermediate calculations'!AT42/1000</f>
        <v>2213.3395475795983</v>
      </c>
      <c r="AK6" s="32">
        <f>'Intermediate calculations'!AU42/1000</f>
        <v>2325.0671915208909</v>
      </c>
      <c r="AL6" s="32">
        <f>'Intermediate calculations'!AV42/1000</f>
        <v>2412.1259850421925</v>
      </c>
      <c r="AM6" s="32">
        <f>'Intermediate calculations'!AW42/1000</f>
        <v>2498.0981802608453</v>
      </c>
      <c r="AN6" s="32">
        <f>'Intermediate calculations'!AX42/1000</f>
        <v>2593.4928588045532</v>
      </c>
      <c r="AO6" s="32">
        <f>'Intermediate calculations'!AY42/1000</f>
        <v>2686.1454630800686</v>
      </c>
      <c r="AP6" s="32">
        <f>'Intermediate calculations'!AZ42/1000</f>
        <v>2784.4443123729561</v>
      </c>
      <c r="AQ6" s="32">
        <f>'Intermediate calculations'!BA42/1000</f>
        <v>2884.1163567560789</v>
      </c>
      <c r="AR6" s="32">
        <f>'Intermediate calculations'!BB42/1000</f>
        <v>3000.1293477773979</v>
      </c>
      <c r="AS6" s="32">
        <f>'Intermediate calculations'!BC42/1000</f>
        <v>3112.3034282321591</v>
      </c>
      <c r="AT6" s="32">
        <f>'Intermediate calculations'!BD42/1000</f>
        <v>3227.1712410995851</v>
      </c>
      <c r="AU6" s="32">
        <f>'Intermediate calculations'!BE42/1000</f>
        <v>3346.4907241170727</v>
      </c>
      <c r="AV6" s="32">
        <f>'Intermediate calculations'!BF42/1000</f>
        <v>3470.9847000538762</v>
      </c>
      <c r="AW6" s="32">
        <f>'Intermediate calculations'!BG42/1000</f>
        <v>3615.4212580153048</v>
      </c>
      <c r="AX6" s="32">
        <f>'Intermediate calculations'!BH42/1000</f>
        <v>3716.2303381647012</v>
      </c>
      <c r="AY6" s="32">
        <f>'Intermediate calculations'!BI42/1000</f>
        <v>3814.8567751337796</v>
      </c>
      <c r="AZ6" s="32">
        <f>'Intermediate calculations'!BJ42/1000</f>
        <v>3916.1286390553191</v>
      </c>
      <c r="BA6" s="32">
        <f>'Intermediate calculations'!BK42/1000</f>
        <v>4018.0159767707196</v>
      </c>
    </row>
    <row r="7" spans="1:53" x14ac:dyDescent="0.2">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1780.5365679391939</v>
      </c>
      <c r="P7" s="32">
        <f>'Intermediate calculations'!Z39/1000</f>
        <v>1834.6425186756087</v>
      </c>
      <c r="Q7" s="32">
        <f>'Intermediate calculations'!AA39/1000</f>
        <v>1905.0768868757136</v>
      </c>
      <c r="R7" s="32">
        <f>'Intermediate calculations'!AB39/1000</f>
        <v>1943.9246182197323</v>
      </c>
      <c r="S7" s="32">
        <f>'Intermediate calculations'!AC39/1000</f>
        <v>1961.3692810630382</v>
      </c>
      <c r="T7" s="32">
        <f>'Intermediate calculations'!AD39/1000</f>
        <v>1956.8608704089575</v>
      </c>
      <c r="U7" s="32">
        <f>'Intermediate calculations'!AE39/1000</f>
        <v>1968.0448895064972</v>
      </c>
      <c r="V7" s="32">
        <f>'Intermediate calculations'!AF39/1000</f>
        <v>1981.1850437649255</v>
      </c>
      <c r="W7" s="32">
        <f>'Intermediate calculations'!AG39/1000</f>
        <v>1676.6763623939066</v>
      </c>
      <c r="X7" s="32">
        <f>'Intermediate calculations'!AH39/1000</f>
        <v>1780.7731231208429</v>
      </c>
      <c r="Y7" s="32">
        <f>'Intermediate calculations'!AI39/1000</f>
        <v>1859.1750006661814</v>
      </c>
      <c r="Z7" s="32">
        <f>'Intermediate calculations'!AJ39/1000</f>
        <v>1931.4813159590387</v>
      </c>
      <c r="AA7" s="32">
        <f>'Intermediate calculations'!AK39/1000</f>
        <v>2016.7693466127218</v>
      </c>
      <c r="AB7" s="32">
        <f>'Intermediate calculations'!AL39/1000</f>
        <v>2096.6404065060606</v>
      </c>
      <c r="AC7" s="32">
        <f>'Intermediate calculations'!AM39/1000</f>
        <v>2169.9762341685387</v>
      </c>
      <c r="AD7" s="32">
        <f>'Intermediate calculations'!AN39/1000</f>
        <v>2239.9745587997086</v>
      </c>
      <c r="AE7" s="32">
        <f>'Intermediate calculations'!AO39/1000</f>
        <v>2304.8307400434264</v>
      </c>
      <c r="AF7" s="32">
        <f>'Intermediate calculations'!AP39/1000</f>
        <v>2391.306841385468</v>
      </c>
      <c r="AG7" s="32">
        <f>'Intermediate calculations'!AQ39/1000</f>
        <v>2476.4468820335142</v>
      </c>
      <c r="AH7" s="32">
        <f>'Intermediate calculations'!AR39/1000</f>
        <v>2573.4378042263529</v>
      </c>
      <c r="AI7" s="32">
        <f>'Intermediate calculations'!AS39/1000</f>
        <v>2692.5258607043684</v>
      </c>
      <c r="AJ7" s="32">
        <f>'Intermediate calculations'!AT39/1000</f>
        <v>2823.008170754305</v>
      </c>
      <c r="AK7" s="32">
        <f>'Intermediate calculations'!AU39/1000</f>
        <v>2978.0139787620269</v>
      </c>
      <c r="AL7" s="32">
        <f>'Intermediate calculations'!AV39/1000</f>
        <v>3098.7953553122879</v>
      </c>
      <c r="AM7" s="32">
        <f>'Intermediate calculations'!AW39/1000</f>
        <v>3218.069235222144</v>
      </c>
      <c r="AN7" s="32">
        <f>'Intermediate calculations'!AX39/1000</f>
        <v>3350.4154362668382</v>
      </c>
      <c r="AO7" s="32">
        <f>'Intermediate calculations'!AY39/1000</f>
        <v>3478.9574092569096</v>
      </c>
      <c r="AP7" s="32">
        <f>'Intermediate calculations'!AZ39/1000</f>
        <v>3615.3327235782203</v>
      </c>
      <c r="AQ7" s="32">
        <f>'Intermediate calculations'!BA39/1000</f>
        <v>3753.6131457761994</v>
      </c>
      <c r="AR7" s="32">
        <f>'Intermediate calculations'!BB39/1000</f>
        <v>3914.564247744313</v>
      </c>
      <c r="AS7" s="32">
        <f>'Intermediate calculations'!BC39/1000</f>
        <v>4070.1894212917819</v>
      </c>
      <c r="AT7" s="32">
        <f>'Intermediate calculations'!BD39/1000</f>
        <v>4229.5517556210634</v>
      </c>
      <c r="AU7" s="32">
        <f>'Intermediate calculations'!BE39/1000</f>
        <v>4395.0901329084927</v>
      </c>
      <c r="AV7" s="32">
        <f>'Intermediate calculations'!BF39/1000</f>
        <v>4567.80736430664</v>
      </c>
      <c r="AW7" s="32">
        <f>'Intermediate calculations'!BG39/1000</f>
        <v>4768.1920191949985</v>
      </c>
      <c r="AX7" s="32">
        <f>'Intermediate calculations'!BH39/1000</f>
        <v>4908.0499126567374</v>
      </c>
      <c r="AY7" s="32">
        <f>'Intermediate calculations'!BI39/1000</f>
        <v>5044.8797070928176</v>
      </c>
      <c r="AZ7" s="32">
        <f>'Intermediate calculations'!BJ39/1000</f>
        <v>5185.3796455311031</v>
      </c>
      <c r="BA7" s="32">
        <f>'Intermediate calculations'!BK39/1000</f>
        <v>5326.7334640778345</v>
      </c>
    </row>
    <row r="8" spans="1:53" x14ac:dyDescent="0.2">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2">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2">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2">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2">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448.98205019678232</v>
      </c>
      <c r="P12" s="32">
        <f>'Intermediate calculations'!Z37/1000</f>
        <v>458.09069820274448</v>
      </c>
      <c r="Q12" s="32">
        <f>'Intermediate calculations'!AA37/1000</f>
        <v>468.74154231529377</v>
      </c>
      <c r="R12" s="32">
        <f>'Intermediate calculations'!AB37/1000</f>
        <v>476.91443074207569</v>
      </c>
      <c r="S12" s="32">
        <f>'Intermediate calculations'!AC37/1000</f>
        <v>483.47206766951075</v>
      </c>
      <c r="T12" s="32">
        <f>'Intermediate calculations'!AD37/1000</f>
        <v>488.37546558668771</v>
      </c>
      <c r="U12" s="32">
        <f>'Intermediate calculations'!AE37/1000</f>
        <v>494.66817106631419</v>
      </c>
      <c r="V12" s="32">
        <f>'Intermediate calculations'!AF37/1000</f>
        <v>501.21183128389953</v>
      </c>
      <c r="W12" s="32">
        <f>'Intermediate calculations'!AG37/1000</f>
        <v>481.14868040349938</v>
      </c>
      <c r="X12" s="32">
        <f>'Intermediate calculations'!AH37/1000</f>
        <v>493.8959291867323</v>
      </c>
      <c r="Y12" s="32">
        <f>'Intermediate calculations'!AI37/1000</f>
        <v>504.52986135587736</v>
      </c>
      <c r="Z12" s="32">
        <f>'Intermediate calculations'!AJ37/1000</f>
        <v>514.69810728802929</v>
      </c>
      <c r="AA12" s="32">
        <f>'Intermediate calculations'!AK37/1000</f>
        <v>526.0044316568775</v>
      </c>
      <c r="AB12" s="32">
        <f>'Intermediate calculations'!AL37/1000</f>
        <v>536.90317644649576</v>
      </c>
      <c r="AC12" s="32">
        <f>'Intermediate calculations'!AM37/1000</f>
        <v>546.68755601852013</v>
      </c>
      <c r="AD12" s="32">
        <f>'Intermediate calculations'!AN37/1000</f>
        <v>556.22711369221872</v>
      </c>
      <c r="AE12" s="32">
        <f>'Intermediate calculations'!AO37/1000</f>
        <v>565.37054105187678</v>
      </c>
      <c r="AF12" s="32">
        <f>'Intermediate calculations'!AP37/1000</f>
        <v>576.36723995674538</v>
      </c>
      <c r="AG12" s="32">
        <f>'Intermediate calculations'!AQ37/1000</f>
        <v>587.28837914536984</v>
      </c>
      <c r="AH12" s="32">
        <f>'Intermediate calculations'!AR37/1000</f>
        <v>598.73570760555219</v>
      </c>
      <c r="AI12" s="32">
        <f>'Intermediate calculations'!AS37/1000</f>
        <v>612.06818097690427</v>
      </c>
      <c r="AJ12" s="32">
        <f>'Intermediate calculations'!AT37/1000</f>
        <v>626.38658385122096</v>
      </c>
      <c r="AK12" s="32">
        <f>'Intermediate calculations'!AU37/1000</f>
        <v>642.7945221488942</v>
      </c>
      <c r="AL12" s="32">
        <f>'Intermediate calculations'!AV37/1000</f>
        <v>656.35514423107873</v>
      </c>
      <c r="AM12" s="32">
        <f>'Intermediate calculations'!AW37/1000</f>
        <v>669.32928143483048</v>
      </c>
      <c r="AN12" s="32">
        <f>'Intermediate calculations'!AX37/1000</f>
        <v>683.42359991334911</v>
      </c>
      <c r="AO12" s="32">
        <f>'Intermediate calculations'!AY37/1000</f>
        <v>697.21997564314916</v>
      </c>
      <c r="AP12" s="32">
        <f>'Intermediate calculations'!AZ37/1000</f>
        <v>711.69657338239529</v>
      </c>
      <c r="AQ12" s="32">
        <f>'Intermediate calculations'!BA37/1000</f>
        <v>726.35535294949864</v>
      </c>
      <c r="AR12" s="32">
        <f>'Intermediate calculations'!BB37/1000</f>
        <v>742.47752982438328</v>
      </c>
      <c r="AS12" s="32">
        <f>'Intermediate calculations'!BC37/1000</f>
        <v>758.16824692286013</v>
      </c>
      <c r="AT12" s="32">
        <f>'Intermediate calculations'!BD37/1000</f>
        <v>774.18925404183028</v>
      </c>
      <c r="AU12" s="32">
        <f>'Intermediate calculations'!BE37/1000</f>
        <v>790.74561227898459</v>
      </c>
      <c r="AV12" s="32">
        <f>'Intermediate calculations'!BF37/1000</f>
        <v>807.9216979082355</v>
      </c>
      <c r="AW12" s="32">
        <f>'Intermediate calculations'!BG37/1000</f>
        <v>826.96258036848928</v>
      </c>
      <c r="AX12" s="32">
        <f>'Intermediate calculations'!BH37/1000</f>
        <v>840.9281112560185</v>
      </c>
      <c r="AY12" s="32">
        <f>'Intermediate calculations'!BI37/1000</f>
        <v>854.65045706701812</v>
      </c>
      <c r="AZ12" s="32">
        <f>'Intermediate calculations'!BJ37/1000</f>
        <v>868.69258665232269</v>
      </c>
      <c r="BA12" s="32">
        <f>'Intermediate calculations'!BK37/1000</f>
        <v>882.81788297578998</v>
      </c>
    </row>
    <row r="13" spans="1:53" x14ac:dyDescent="0.2">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419.28599149200954</v>
      </c>
      <c r="P13" s="32">
        <f>'Intermediate calculations'!Z34/1000</f>
        <v>427.66019548096807</v>
      </c>
      <c r="Q13" s="32">
        <f>'Intermediate calculations'!AA34/1000</f>
        <v>437.45224598008747</v>
      </c>
      <c r="R13" s="32">
        <f>'Intermediate calculations'!AB34/1000</f>
        <v>444.96614209508408</v>
      </c>
      <c r="S13" s="32">
        <f>'Intermediate calculations'!AC34/1000</f>
        <v>450.995026873585</v>
      </c>
      <c r="T13" s="32">
        <f>'Intermediate calculations'!AD34/1000</f>
        <v>455.5030564264448</v>
      </c>
      <c r="U13" s="32">
        <f>'Intermediate calculations'!AE34/1000</f>
        <v>461.28837157907077</v>
      </c>
      <c r="V13" s="32">
        <f>'Intermediate calculations'!AF34/1000</f>
        <v>467.30440661090245</v>
      </c>
      <c r="W13" s="32">
        <f>'Intermediate calculations'!AG34/1000</f>
        <v>448.85897782457226</v>
      </c>
      <c r="X13" s="32">
        <f>'Intermediate calculations'!AH34/1000</f>
        <v>460.57839672613949</v>
      </c>
      <c r="Y13" s="32">
        <f>'Intermediate calculations'!AI34/1000</f>
        <v>470.35489891734062</v>
      </c>
      <c r="Z13" s="32">
        <f>'Intermediate calculations'!AJ34/1000</f>
        <v>479.70326385470582</v>
      </c>
      <c r="AA13" s="32">
        <f>'Intermediate calculations'!AK34/1000</f>
        <v>490.0979422491385</v>
      </c>
      <c r="AB13" s="32">
        <f>'Intermediate calculations'!AL34/1000</f>
        <v>500.1179048201065</v>
      </c>
      <c r="AC13" s="32">
        <f>'Intermediate calculations'!AM34/1000</f>
        <v>509.11335512051306</v>
      </c>
      <c r="AD13" s="32">
        <f>'Intermediate calculations'!AN34/1000</f>
        <v>517.88372388124412</v>
      </c>
      <c r="AE13" s="32">
        <f>'Intermediate calculations'!AO34/1000</f>
        <v>526.28990291219156</v>
      </c>
      <c r="AF13" s="32">
        <f>'Intermediate calculations'!AP34/1000</f>
        <v>536.39992141046378</v>
      </c>
      <c r="AG13" s="32">
        <f>'Intermediate calculations'!AQ34/1000</f>
        <v>546.4404726862939</v>
      </c>
      <c r="AH13" s="32">
        <f>'Intermediate calculations'!AR34/1000</f>
        <v>556.96478579965913</v>
      </c>
      <c r="AI13" s="32">
        <f>'Intermediate calculations'!AS34/1000</f>
        <v>569.22224174877249</v>
      </c>
      <c r="AJ13" s="32">
        <f>'Intermediate calculations'!AT34/1000</f>
        <v>582.38613021906281</v>
      </c>
      <c r="AK13" s="32">
        <f>'Intermediate calculations'!AU34/1000</f>
        <v>597.47107172223889</v>
      </c>
      <c r="AL13" s="32">
        <f>'Intermediate calculations'!AV34/1000</f>
        <v>609.93828040777123</v>
      </c>
      <c r="AM13" s="32">
        <f>'Intermediate calculations'!AW34/1000</f>
        <v>621.86629337455133</v>
      </c>
      <c r="AN13" s="32">
        <f>'Intermediate calculations'!AX34/1000</f>
        <v>634.82416571161014</v>
      </c>
      <c r="AO13" s="32">
        <f>'Intermediate calculations'!AY34/1000</f>
        <v>647.50811887282998</v>
      </c>
      <c r="AP13" s="32">
        <f>'Intermediate calculations'!AZ34/1000</f>
        <v>660.81744671766387</v>
      </c>
      <c r="AQ13" s="32">
        <f>'Intermediate calculations'!BA34/1000</f>
        <v>674.29426679499591</v>
      </c>
      <c r="AR13" s="32">
        <f>'Intermediate calculations'!BB34/1000</f>
        <v>689.11648824959389</v>
      </c>
      <c r="AS13" s="32">
        <f>'Intermediate calculations'!BC34/1000</f>
        <v>703.54203917983909</v>
      </c>
      <c r="AT13" s="32">
        <f>'Intermediate calculations'!BD34/1000</f>
        <v>718.27124834842198</v>
      </c>
      <c r="AU13" s="32">
        <f>'Intermediate calculations'!BE34/1000</f>
        <v>733.49264246766472</v>
      </c>
      <c r="AV13" s="32">
        <f>'Intermediate calculations'!BF34/1000</f>
        <v>749.28379442534447</v>
      </c>
      <c r="AW13" s="32">
        <f>'Intermediate calculations'!BG34/1000</f>
        <v>766.78938183497735</v>
      </c>
      <c r="AX13" s="32">
        <f>'Intermediate calculations'!BH34/1000</f>
        <v>779.6288509186129</v>
      </c>
      <c r="AY13" s="32">
        <f>'Intermediate calculations'!BI34/1000</f>
        <v>792.24474330496082</v>
      </c>
      <c r="AZ13" s="32">
        <f>'Intermediate calculations'!BJ34/1000</f>
        <v>805.15463481792278</v>
      </c>
      <c r="BA13" s="32">
        <f>'Intermediate calculations'!BK34/1000</f>
        <v>818.14098720960328</v>
      </c>
    </row>
    <row r="14" spans="1:53" x14ac:dyDescent="0.2">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2">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2">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2">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2">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944.20834947610251</v>
      </c>
      <c r="Q18" s="32">
        <f>'Intermediate calculations'!AA8/1000</f>
        <v>973.85622853221832</v>
      </c>
      <c r="R18" s="32">
        <f>'Intermediate calculations'!AB8/1000</f>
        <v>993.92642644116029</v>
      </c>
      <c r="S18" s="32">
        <f>'Intermediate calculations'!AC8/1000</f>
        <v>1007.6100166861249</v>
      </c>
      <c r="T18" s="32">
        <f>'Intermediate calculations'!AD8/1000</f>
        <v>1014.7469565614488</v>
      </c>
      <c r="U18" s="32">
        <f>'Intermediate calculations'!AE8/1000</f>
        <v>1026.8981254598255</v>
      </c>
      <c r="V18" s="32">
        <f>'Intermediate calculations'!AF8/1000</f>
        <v>1039.800145818496</v>
      </c>
      <c r="W18" s="32">
        <f>'Intermediate calculations'!AG8/1000</f>
        <v>953.65526470360885</v>
      </c>
      <c r="X18" s="32">
        <f>'Intermediate calculations'!AH8/1000</f>
        <v>992.62961133471219</v>
      </c>
      <c r="Y18" s="32">
        <f>'Intermediate calculations'!AI8/1000</f>
        <v>1023.654945741859</v>
      </c>
      <c r="Z18" s="32">
        <f>'Intermediate calculations'!AJ8/1000</f>
        <v>1052.8522198963133</v>
      </c>
      <c r="AA18" s="32">
        <f>'Intermediate calculations'!AK8/1000</f>
        <v>1086.1793821221347</v>
      </c>
      <c r="AB18" s="32">
        <f>'Intermediate calculations'!AL8/1000</f>
        <v>1117.8921264527471</v>
      </c>
      <c r="AC18" s="32">
        <f>'Intermediate calculations'!AM8/1000</f>
        <v>1146.6499705198808</v>
      </c>
      <c r="AD18" s="32">
        <f>'Intermediate calculations'!AN8/1000</f>
        <v>1174.4233242186583</v>
      </c>
      <c r="AE18" s="32">
        <f>'Intermediate calculations'!AO8/1000</f>
        <v>1200.6492375399691</v>
      </c>
      <c r="AF18" s="32">
        <f>'Intermediate calculations'!AP8/1000</f>
        <v>1233.6850201347581</v>
      </c>
      <c r="AG18" s="32">
        <f>'Intermediate calculations'!AQ8/1000</f>
        <v>1266.3630044691481</v>
      </c>
      <c r="AH18" s="32">
        <f>'Intermediate calculations'!AR8/1000</f>
        <v>1301.9816845558162</v>
      </c>
      <c r="AI18" s="32">
        <f>'Intermediate calculations'!AS8/1000</f>
        <v>1344.5459343083878</v>
      </c>
      <c r="AJ18" s="32">
        <f>'Intermediate calculations'!AT8/1000</f>
        <v>1390.714054895647</v>
      </c>
      <c r="AK18" s="32">
        <f>'Intermediate calculations'!AU8/1000</f>
        <v>1444.5861828034379</v>
      </c>
      <c r="AL18" s="32">
        <f>'Intermediate calculations'!AV8/1000</f>
        <v>1487.8180535100303</v>
      </c>
      <c r="AM18" s="32">
        <f>'Intermediate calculations'!AW8/1000</f>
        <v>1529.835414168132</v>
      </c>
      <c r="AN18" s="32">
        <f>'Intermediate calculations'!AX8/1000</f>
        <v>1575.9696874229048</v>
      </c>
      <c r="AO18" s="32">
        <f>'Intermediate calculations'!AY8/1000</f>
        <v>1620.9512489090748</v>
      </c>
      <c r="AP18" s="32">
        <f>'Intermediate calculations'!AZ8/1000</f>
        <v>1668.4143098989077</v>
      </c>
      <c r="AQ18" s="32">
        <f>'Intermediate calculations'!BA8/1000</f>
        <v>1716.5079766551901</v>
      </c>
      <c r="AR18" s="32">
        <f>'Intermediate calculations'!BB8/1000</f>
        <v>1770.9661103878145</v>
      </c>
      <c r="AS18" s="32">
        <f>'Intermediate calculations'!BC8/1000</f>
        <v>1823.7872494256935</v>
      </c>
      <c r="AT18" s="32">
        <f>'Intermediate calculations'!BD8/1000</f>
        <v>1877.8016007988961</v>
      </c>
      <c r="AU18" s="32">
        <f>'Intermediate calculations'!BE8/1000</f>
        <v>1933.7708941501317</v>
      </c>
      <c r="AV18" s="32">
        <f>'Intermediate calculations'!BF8/1000</f>
        <v>1992.0084318362219</v>
      </c>
      <c r="AW18" s="32">
        <f>'Intermediate calculations'!BG8/1000</f>
        <v>2058.1407639458935</v>
      </c>
      <c r="AX18" s="32">
        <f>'Intermediate calculations'!BH8/1000</f>
        <v>2105.3911512940008</v>
      </c>
      <c r="AY18" s="32">
        <f>'Intermediate calculations'!BI8/1000</f>
        <v>2151.7142494219643</v>
      </c>
      <c r="AZ18" s="32">
        <f>'Intermediate calculations'!BJ8/1000</f>
        <v>2199.2017484923931</v>
      </c>
      <c r="BA18" s="32">
        <f>'Intermediate calculations'!BK8/1000</f>
        <v>2246.9743341746139</v>
      </c>
    </row>
    <row r="19" spans="1:53" x14ac:dyDescent="0.2">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920.44626243808534</v>
      </c>
      <c r="P19" s="32">
        <f>'Intermediate calculations'!Z5/1000</f>
        <v>941.69158339834917</v>
      </c>
      <c r="Q19" s="32">
        <f>'Intermediate calculations'!AA5/1000</f>
        <v>967.64007013586559</v>
      </c>
      <c r="R19" s="32">
        <f>'Intermediate calculations'!AB5/1000</f>
        <v>985.20595615670993</v>
      </c>
      <c r="S19" s="32">
        <f>'Intermediate calculations'!AC5/1000</f>
        <v>997.18214033234744</v>
      </c>
      <c r="T19" s="32">
        <f>'Intermediate calculations'!AD5/1000</f>
        <v>1003.4285497078974</v>
      </c>
      <c r="U19" s="32">
        <f>'Intermediate calculations'!AE5/1000</f>
        <v>1014.0635244529055</v>
      </c>
      <c r="V19" s="32">
        <f>'Intermediate calculations'!AF5/1000</f>
        <v>1025.3556611865474</v>
      </c>
      <c r="W19" s="32">
        <f>'Intermediate calculations'!AG5/1000</f>
        <v>949.95973485793286</v>
      </c>
      <c r="X19" s="32">
        <f>'Intermediate calculations'!AH5/1000</f>
        <v>984.07095457609125</v>
      </c>
      <c r="Y19" s="32">
        <f>'Intermediate calculations'!AI5/1000</f>
        <v>1011.2250210395671</v>
      </c>
      <c r="Z19" s="32">
        <f>'Intermediate calculations'!AJ5/1000</f>
        <v>1036.7791282906962</v>
      </c>
      <c r="AA19" s="32">
        <f>'Intermediate calculations'!AK5/1000</f>
        <v>1065.9478059346841</v>
      </c>
      <c r="AB19" s="32">
        <f>'Intermediate calculations'!AL5/1000</f>
        <v>1093.7035089350777</v>
      </c>
      <c r="AC19" s="32">
        <f>'Intermediate calculations'!AM5/1000</f>
        <v>1118.8730171472225</v>
      </c>
      <c r="AD19" s="32">
        <f>'Intermediate calculations'!AN5/1000</f>
        <v>1143.1808773737509</v>
      </c>
      <c r="AE19" s="32">
        <f>'Intermediate calculations'!AO5/1000</f>
        <v>1166.1343831779684</v>
      </c>
      <c r="AF19" s="32">
        <f>'Intermediate calculations'!AP5/1000</f>
        <v>1195.0480388530286</v>
      </c>
      <c r="AG19" s="32">
        <f>'Intermediate calculations'!AQ5/1000</f>
        <v>1223.6485414894817</v>
      </c>
      <c r="AH19" s="32">
        <f>'Intermediate calculations'!AR5/1000</f>
        <v>1254.822806808339</v>
      </c>
      <c r="AI19" s="32">
        <f>'Intermediate calculations'!AS5/1000</f>
        <v>1292.0759900160297</v>
      </c>
      <c r="AJ19" s="32">
        <f>'Intermediate calculations'!AT5/1000</f>
        <v>1332.4833615682091</v>
      </c>
      <c r="AK19" s="32">
        <f>'Intermediate calculations'!AU5/1000</f>
        <v>1379.6334526047797</v>
      </c>
      <c r="AL19" s="32">
        <f>'Intermediate calculations'!AV5/1000</f>
        <v>1417.4709526008085</v>
      </c>
      <c r="AM19" s="32">
        <f>'Intermediate calculations'!AW5/1000</f>
        <v>1454.2454862434531</v>
      </c>
      <c r="AN19" s="32">
        <f>'Intermediate calculations'!AX5/1000</f>
        <v>1494.6232338533446</v>
      </c>
      <c r="AO19" s="32">
        <f>'Intermediate calculations'!AY5/1000</f>
        <v>1533.9921023463469</v>
      </c>
      <c r="AP19" s="32">
        <f>'Intermediate calculations'!AZ5/1000</f>
        <v>1575.5328346963918</v>
      </c>
      <c r="AQ19" s="32">
        <f>'Intermediate calculations'!BA5/1000</f>
        <v>1617.6254873148764</v>
      </c>
      <c r="AR19" s="32">
        <f>'Intermediate calculations'!BB5/1000</f>
        <v>1665.2884637536379</v>
      </c>
      <c r="AS19" s="32">
        <f>'Intermediate calculations'!BC5/1000</f>
        <v>1711.5187058289871</v>
      </c>
      <c r="AT19" s="32">
        <f>'Intermediate calculations'!BD5/1000</f>
        <v>1758.7932740228955</v>
      </c>
      <c r="AU19" s="32">
        <f>'Intermediate calculations'!BE5/1000</f>
        <v>1807.7788511525052</v>
      </c>
      <c r="AV19" s="32">
        <f>'Intermediate calculations'!BF5/1000</f>
        <v>1858.7496464465921</v>
      </c>
      <c r="AW19" s="32">
        <f>'Intermediate calculations'!BG5/1000</f>
        <v>1916.6301423640516</v>
      </c>
      <c r="AX19" s="32">
        <f>'Intermediate calculations'!BH5/1000</f>
        <v>1957.9847379870382</v>
      </c>
      <c r="AY19" s="32">
        <f>'Intermediate calculations'!BI5/1000</f>
        <v>1998.5277493484587</v>
      </c>
      <c r="AZ19" s="32">
        <f>'Intermediate calculations'!BJ5/1000</f>
        <v>2040.0898704531271</v>
      </c>
      <c r="BA19" s="32">
        <f>'Intermediate calculations'!BK5/1000</f>
        <v>2081.9015057355591</v>
      </c>
    </row>
    <row r="20" spans="1:53" x14ac:dyDescent="0.2">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2">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2">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2">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2">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210.25125025039679</v>
      </c>
      <c r="P24" s="32">
        <f>'Intermediate calculations'!Z32/1000</f>
        <v>215.15729984140501</v>
      </c>
      <c r="Q24" s="32">
        <f>'Intermediate calculations'!AA32/1000</f>
        <v>221.26625183821389</v>
      </c>
      <c r="R24" s="32">
        <f>'Intermediate calculations'!AB32/1000</f>
        <v>225.16453122577883</v>
      </c>
      <c r="S24" s="32">
        <f>'Intermediate calculations'!AC32/1000</f>
        <v>227.57954482450751</v>
      </c>
      <c r="T24" s="32">
        <f>'Intermediate calculations'!AD32/1000</f>
        <v>228.47375642089818</v>
      </c>
      <c r="U24" s="32">
        <f>'Intermediate calculations'!AE32/1000</f>
        <v>230.50265811419089</v>
      </c>
      <c r="V24" s="32">
        <f>'Intermediate calculations'!AF32/1000</f>
        <v>232.69090070904011</v>
      </c>
      <c r="W24" s="32">
        <f>'Intermediate calculations'!AG32/1000</f>
        <v>212.25936220872001</v>
      </c>
      <c r="X24" s="32">
        <f>'Intermediate calculations'!AH32/1000</f>
        <v>220.59898978525632</v>
      </c>
      <c r="Y24" s="32">
        <f>'Intermediate calculations'!AI32/1000</f>
        <v>227.11784278085176</v>
      </c>
      <c r="Z24" s="32">
        <f>'Intermediate calculations'!AJ32/1000</f>
        <v>233.21296026017237</v>
      </c>
      <c r="AA24" s="32">
        <f>'Intermediate calculations'!AK32/1000</f>
        <v>240.24417470895492</v>
      </c>
      <c r="AB24" s="32">
        <f>'Intermediate calculations'!AL32/1000</f>
        <v>246.90026764036472</v>
      </c>
      <c r="AC24" s="32">
        <f>'Intermediate calculations'!AM32/1000</f>
        <v>252.96051862674076</v>
      </c>
      <c r="AD24" s="32">
        <f>'Intermediate calculations'!AN32/1000</f>
        <v>258.79109862040963</v>
      </c>
      <c r="AE24" s="32">
        <f>'Intermediate calculations'!AO32/1000</f>
        <v>264.26346493310302</v>
      </c>
      <c r="AF24" s="32">
        <f>'Intermediate calculations'!AP32/1000</f>
        <v>271.28513172157716</v>
      </c>
      <c r="AG24" s="32">
        <f>'Intermediate calculations'!AQ32/1000</f>
        <v>278.22002258932821</v>
      </c>
      <c r="AH24" s="32">
        <f>'Intermediate calculations'!AR32/1000</f>
        <v>285.8914743603172</v>
      </c>
      <c r="AI24" s="32">
        <f>'Intermediate calculations'!AS32/1000</f>
        <v>295.14434534190559</v>
      </c>
      <c r="AJ24" s="32">
        <f>'Intermediate calculations'!AT32/1000</f>
        <v>305.21585635948543</v>
      </c>
      <c r="AK24" s="32">
        <f>'Intermediate calculations'!AU32/1000</f>
        <v>317.04183358746127</v>
      </c>
      <c r="AL24" s="32">
        <f>'Intermediate calculations'!AV32/1000</f>
        <v>326.43514810664323</v>
      </c>
      <c r="AM24" s="32">
        <f>'Intermediate calculations'!AW32/1000</f>
        <v>335.61521053188017</v>
      </c>
      <c r="AN24" s="32">
        <f>'Intermediate calculations'!AX32/1000</f>
        <v>345.7319570949428</v>
      </c>
      <c r="AO24" s="32">
        <f>'Intermediate calculations'!AY32/1000</f>
        <v>355.58256927469643</v>
      </c>
      <c r="AP24" s="32">
        <f>'Intermediate calculations'!AZ32/1000</f>
        <v>365.99653691689667</v>
      </c>
      <c r="AQ24" s="32">
        <f>'Intermediate calculations'!BA32/1000</f>
        <v>376.55136953142994</v>
      </c>
      <c r="AR24" s="32">
        <f>'Intermediate calculations'!BB32/1000</f>
        <v>388.62035709215291</v>
      </c>
      <c r="AS24" s="32">
        <f>'Intermediate calculations'!BC32/1000</f>
        <v>400.31345617786513</v>
      </c>
      <c r="AT24" s="32">
        <f>'Intermediate calculations'!BD32/1000</f>
        <v>412.27665016912647</v>
      </c>
      <c r="AU24" s="32">
        <f>'Intermediate calculations'!BE32/1000</f>
        <v>424.68379052765607</v>
      </c>
      <c r="AV24" s="32">
        <f>'Intermediate calculations'!BF32/1000</f>
        <v>437.60637469500176</v>
      </c>
      <c r="AW24" s="32">
        <f>'Intermediate calculations'!BG32/1000</f>
        <v>452.39498869085321</v>
      </c>
      <c r="AX24" s="32">
        <f>'Intermediate calculations'!BH32/1000</f>
        <v>462.87221888744563</v>
      </c>
      <c r="AY24" s="32">
        <f>'Intermediate calculations'!BI32/1000</f>
        <v>473.13622365415773</v>
      </c>
      <c r="AZ24" s="32">
        <f>'Intermediate calculations'!BJ32/1000</f>
        <v>483.6644251414038</v>
      </c>
      <c r="BA24" s="32">
        <f>'Intermediate calculations'!BK32/1000</f>
        <v>494.25611099908059</v>
      </c>
    </row>
    <row r="25" spans="1:53" x14ac:dyDescent="0.2">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232.80307737192558</v>
      </c>
      <c r="P25" s="32">
        <f>'Intermediate calculations'!Z29/1000</f>
        <v>238.5884512506511</v>
      </c>
      <c r="Q25" s="32">
        <f>'Intermediate calculations'!AA29/1000</f>
        <v>245.7923269255937</v>
      </c>
      <c r="R25" s="32">
        <f>'Intermediate calculations'!AB29/1000</f>
        <v>250.38930527292382</v>
      </c>
      <c r="S25" s="32">
        <f>'Intermediate calculations'!AC29/1000</f>
        <v>253.23716816784014</v>
      </c>
      <c r="T25" s="32">
        <f>'Intermediate calculations'!AD29/1000</f>
        <v>254.29165168168268</v>
      </c>
      <c r="U25" s="32">
        <f>'Intermediate calculations'!AE29/1000</f>
        <v>256.68419880970004</v>
      </c>
      <c r="V25" s="32">
        <f>'Intermediate calculations'!AF29/1000</f>
        <v>259.26464593191383</v>
      </c>
      <c r="W25" s="32">
        <f>'Intermediate calculations'!AG29/1000</f>
        <v>235.17110856560376</v>
      </c>
      <c r="X25" s="32">
        <f>'Intermediate calculations'!AH29/1000</f>
        <v>245.00546972412539</v>
      </c>
      <c r="Y25" s="32">
        <f>'Intermediate calculations'!AI29/1000</f>
        <v>252.69271404164954</v>
      </c>
      <c r="Z25" s="32">
        <f>'Intermediate calculations'!AJ29/1000</f>
        <v>259.88027560182087</v>
      </c>
      <c r="AA25" s="32">
        <f>'Intermediate calculations'!AK29/1000</f>
        <v>268.17171327547561</v>
      </c>
      <c r="AB25" s="32">
        <f>'Intermediate calculations'!AL29/1000</f>
        <v>276.02079540671315</v>
      </c>
      <c r="AC25" s="32">
        <f>'Intermediate calculations'!AM29/1000</f>
        <v>283.16724125988179</v>
      </c>
      <c r="AD25" s="32">
        <f>'Intermediate calculations'!AN29/1000</f>
        <v>290.04285157882674</v>
      </c>
      <c r="AE25" s="32">
        <f>'Intermediate calculations'!AO29/1000</f>
        <v>296.49604462813863</v>
      </c>
      <c r="AF25" s="32">
        <f>'Intermediate calculations'!AP29/1000</f>
        <v>304.77622338899062</v>
      </c>
      <c r="AG25" s="32">
        <f>'Intermediate calculations'!AQ29/1000</f>
        <v>312.95407315056519</v>
      </c>
      <c r="AH25" s="32">
        <f>'Intermediate calculations'!AR29/1000</f>
        <v>322.00049958072725</v>
      </c>
      <c r="AI25" s="32">
        <f>'Intermediate calculations'!AS29/1000</f>
        <v>332.91178718332515</v>
      </c>
      <c r="AJ25" s="32">
        <f>'Intermediate calculations'!AT29/1000</f>
        <v>344.7884418480466</v>
      </c>
      <c r="AK25" s="32">
        <f>'Intermediate calculations'!AU29/1000</f>
        <v>358.73402035800098</v>
      </c>
      <c r="AL25" s="32">
        <f>'Intermediate calculations'!AV29/1000</f>
        <v>369.81092356614005</v>
      </c>
      <c r="AM25" s="32">
        <f>'Intermediate calculations'!AW29/1000</f>
        <v>380.63635294161475</v>
      </c>
      <c r="AN25" s="32">
        <f>'Intermediate calculations'!AX29/1000</f>
        <v>392.56635083868053</v>
      </c>
      <c r="AO25" s="32">
        <f>'Intermediate calculations'!AY29/1000</f>
        <v>404.18251438065789</v>
      </c>
      <c r="AP25" s="32">
        <f>'Intermediate calculations'!AZ29/1000</f>
        <v>416.46300507963116</v>
      </c>
      <c r="AQ25" s="32">
        <f>'Intermediate calculations'!BA29/1000</f>
        <v>428.90960835375182</v>
      </c>
      <c r="AR25" s="32">
        <f>'Intermediate calculations'!BB29/1000</f>
        <v>443.14175258328476</v>
      </c>
      <c r="AS25" s="32">
        <f>'Intermediate calculations'!BC29/1000</f>
        <v>456.93063684890967</v>
      </c>
      <c r="AT25" s="32">
        <f>'Intermediate calculations'!BD29/1000</f>
        <v>471.0380258467747</v>
      </c>
      <c r="AU25" s="32">
        <f>'Intermediate calculations'!BE29/1000</f>
        <v>485.66893089744445</v>
      </c>
      <c r="AV25" s="32">
        <f>'Intermediate calculations'!BF29/1000</f>
        <v>500.90766411865297</v>
      </c>
      <c r="AW25" s="32">
        <f>'Intermediate calculations'!BG29/1000</f>
        <v>518.3468806465421</v>
      </c>
      <c r="AX25" s="32">
        <f>'Intermediate calculations'!BH29/1000</f>
        <v>530.70197261541546</v>
      </c>
      <c r="AY25" s="32">
        <f>'Intermediate calculations'!BI29/1000</f>
        <v>542.80562219475996</v>
      </c>
      <c r="AZ25" s="32">
        <f>'Intermediate calculations'!BJ29/1000</f>
        <v>555.22082117397701</v>
      </c>
      <c r="BA25" s="32">
        <f>'Intermediate calculations'!BK29/1000</f>
        <v>567.7108829958097</v>
      </c>
    </row>
    <row r="26" spans="1:53" x14ac:dyDescent="0.2">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2">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2">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2">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2">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2">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2896.0855151347182</v>
      </c>
      <c r="Q31" s="34">
        <f>'Intermediate calculations'!AA15/1000</f>
        <v>2942.4453105118946</v>
      </c>
      <c r="R31" s="34">
        <f>'Intermediate calculations'!AB15/1000</f>
        <v>2979.877509050561</v>
      </c>
      <c r="S31" s="34">
        <f>'Intermediate calculations'!AC15/1000</f>
        <v>3011.589701515968</v>
      </c>
      <c r="T31" s="34">
        <f>'Intermediate calculations'!AD15/1000</f>
        <v>3037.4479061853235</v>
      </c>
      <c r="U31" s="34">
        <f>'Intermediate calculations'!AE15/1000</f>
        <v>3068.5581134720883</v>
      </c>
      <c r="V31" s="34">
        <f>'Intermediate calculations'!AF15/1000</f>
        <v>3100.7243936023337</v>
      </c>
      <c r="W31" s="34">
        <f>'Intermediate calculations'!AG15/1000</f>
        <v>3034.4019213286388</v>
      </c>
      <c r="X31" s="34">
        <f>'Intermediate calculations'!AH15/1000</f>
        <v>3087.4663209653459</v>
      </c>
      <c r="Y31" s="34">
        <f>'Intermediate calculations'!AI15/1000</f>
        <v>3132.7648091122078</v>
      </c>
      <c r="Z31" s="34">
        <f>'Intermediate calculations'!AJ15/1000</f>
        <v>3176.4050102157362</v>
      </c>
      <c r="AA31" s="34">
        <f>'Intermediate calculations'!AK15/1000</f>
        <v>3224.3319717371342</v>
      </c>
      <c r="AB31" s="34">
        <f>'Intermediate calculations'!AL15/1000</f>
        <v>3270.8175846532267</v>
      </c>
      <c r="AC31" s="34">
        <f>'Intermediate calculations'!AM15/1000</f>
        <v>3312.3507459170596</v>
      </c>
      <c r="AD31" s="34">
        <f>'Intermediate calculations'!AN15/1000</f>
        <v>3353.0283579714319</v>
      </c>
      <c r="AE31" s="34">
        <f>'Intermediate calculations'!AO15/1000</f>
        <v>3392.2901150628618</v>
      </c>
      <c r="AF31" s="34">
        <f>'Intermediate calculations'!AP15/1000</f>
        <v>3438.473819719256</v>
      </c>
      <c r="AG31" s="34">
        <f>'Intermediate calculations'!AQ15/1000</f>
        <v>3484.4308836629652</v>
      </c>
      <c r="AH31" s="34">
        <f>'Intermediate calculations'!AR15/1000</f>
        <v>3531.6549145949753</v>
      </c>
      <c r="AI31" s="34">
        <f>'Intermediate calculations'!AS15/1000</f>
        <v>3585.9070564427843</v>
      </c>
      <c r="AJ31" s="34">
        <f>'Intermediate calculations'!AT15/1000</f>
        <v>3643.854765004512</v>
      </c>
      <c r="AK31" s="34">
        <f>'Intermediate calculations'!AU15/1000</f>
        <v>3709.588848375065</v>
      </c>
      <c r="AL31" s="34">
        <f>'Intermediate calculations'!AV15/1000</f>
        <v>3764.81148725098</v>
      </c>
      <c r="AM31" s="34">
        <f>'Intermediate calculations'!AW15/1000</f>
        <v>3817.1914941945943</v>
      </c>
      <c r="AN31" s="34">
        <f>'Intermediate calculations'!AX15/1000</f>
        <v>3873.7548155542349</v>
      </c>
      <c r="AO31" s="34">
        <f>'Intermediate calculations'!AY15/1000</f>
        <v>3929.2454811158477</v>
      </c>
      <c r="AP31" s="34">
        <f>'Intermediate calculations'!AZ15/1000</f>
        <v>3987.2892375753895</v>
      </c>
      <c r="AQ31" s="34">
        <f>'Intermediate calculations'!BA15/1000</f>
        <v>4046.0403592734533</v>
      </c>
      <c r="AR31" s="34">
        <f>'Intermediate calculations'!BB15/1000</f>
        <v>4109.5727838168041</v>
      </c>
      <c r="AS31" s="34">
        <f>'Intermediate calculations'!BC15/1000</f>
        <v>4171.5294811842759</v>
      </c>
      <c r="AT31" s="34">
        <f>'Intermediate calculations'!BD15/1000</f>
        <v>4234.7339816238264</v>
      </c>
      <c r="AU31" s="34">
        <f>'Intermediate calculations'!BE15/1000</f>
        <v>4299.9464796262682</v>
      </c>
      <c r="AV31" s="34">
        <f>'Intermediate calculations'!BF15/1000</f>
        <v>4367.4798587975756</v>
      </c>
      <c r="AW31" s="34">
        <f>'Intermediate calculations'!BG15/1000</f>
        <v>4441.2553658394272</v>
      </c>
      <c r="AX31" s="34">
        <f>'Intermediate calculations'!BH15/1000</f>
        <v>4496.2356989606924</v>
      </c>
      <c r="AY31" s="34">
        <f>'Intermediate calculations'!BI15/1000</f>
        <v>4550.3311062883231</v>
      </c>
      <c r="AZ31" s="34">
        <f>'Intermediate calculations'!BJ15/1000</f>
        <v>4605.628285382898</v>
      </c>
      <c r="BA31" s="34">
        <f>'Intermediate calculations'!BK15/1000</f>
        <v>4661.2503122351436</v>
      </c>
    </row>
    <row r="32" spans="1:53" x14ac:dyDescent="0.2">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1989.2140809840125</v>
      </c>
      <c r="Q32" s="34">
        <f>'Intermediate calculations'!AA12/1000</f>
        <v>2031.5845891224524</v>
      </c>
      <c r="R32" s="34">
        <f>'Intermediate calculations'!AB12/1000</f>
        <v>2065.7957253002255</v>
      </c>
      <c r="S32" s="34">
        <f>'Intermediate calculations'!AC12/1000</f>
        <v>2094.7790652397453</v>
      </c>
      <c r="T32" s="34">
        <f>'Intermediate calculations'!AD12/1000</f>
        <v>2118.4121564230545</v>
      </c>
      <c r="U32" s="34">
        <f>'Intermediate calculations'!AE12/1000</f>
        <v>2146.8453123571589</v>
      </c>
      <c r="V32" s="34">
        <f>'Intermediate calculations'!AF12/1000</f>
        <v>2176.2436654550006</v>
      </c>
      <c r="W32" s="34">
        <f>'Intermediate calculations'!AG12/1000</f>
        <v>2115.6282803271893</v>
      </c>
      <c r="X32" s="34">
        <f>'Intermediate calculations'!AH12/1000</f>
        <v>2164.1264576460535</v>
      </c>
      <c r="Y32" s="34">
        <f>'Intermediate calculations'!AI12/1000</f>
        <v>2205.5269846559399</v>
      </c>
      <c r="Z32" s="34">
        <f>'Intermediate calculations'!AJ12/1000</f>
        <v>2245.4119211828715</v>
      </c>
      <c r="AA32" s="34">
        <f>'Intermediate calculations'!AK12/1000</f>
        <v>2289.2147399112914</v>
      </c>
      <c r="AB32" s="34">
        <f>'Intermediate calculations'!AL12/1000</f>
        <v>2331.7002389165632</v>
      </c>
      <c r="AC32" s="34">
        <f>'Intermediate calculations'!AM12/1000</f>
        <v>2369.6594476021719</v>
      </c>
      <c r="AD32" s="34">
        <f>'Intermediate calculations'!AN12/1000</f>
        <v>2406.8367275832352</v>
      </c>
      <c r="AE32" s="34">
        <f>'Intermediate calculations'!AO12/1000</f>
        <v>2442.7199877408257</v>
      </c>
      <c r="AF32" s="34">
        <f>'Intermediate calculations'!AP12/1000</f>
        <v>2484.9295578669789</v>
      </c>
      <c r="AG32" s="34">
        <f>'Intermediate calculations'!AQ12/1000</f>
        <v>2526.9319898450203</v>
      </c>
      <c r="AH32" s="34">
        <f>'Intermediate calculations'!AR12/1000</f>
        <v>2570.0923655683296</v>
      </c>
      <c r="AI32" s="34">
        <f>'Intermediate calculations'!AS12/1000</f>
        <v>2619.6760791932184</v>
      </c>
      <c r="AJ32" s="34">
        <f>'Intermediate calculations'!AT12/1000</f>
        <v>2672.6373538762255</v>
      </c>
      <c r="AK32" s="34">
        <f>'Intermediate calculations'!AU12/1000</f>
        <v>2732.7149813067399</v>
      </c>
      <c r="AL32" s="34">
        <f>'Intermediate calculations'!AV12/1000</f>
        <v>2783.1856801284607</v>
      </c>
      <c r="AM32" s="34">
        <f>'Intermediate calculations'!AW12/1000</f>
        <v>2831.0583571417974</v>
      </c>
      <c r="AN32" s="34">
        <f>'Intermediate calculations'!AX12/1000</f>
        <v>2882.7543719431433</v>
      </c>
      <c r="AO32" s="34">
        <f>'Intermediate calculations'!AY12/1000</f>
        <v>2933.4700335990451</v>
      </c>
      <c r="AP32" s="34">
        <f>'Intermediate calculations'!AZ12/1000</f>
        <v>2986.5190912026387</v>
      </c>
      <c r="AQ32" s="34">
        <f>'Intermediate calculations'!BA12/1000</f>
        <v>3040.2146448563503</v>
      </c>
      <c r="AR32" s="34">
        <f>'Intermediate calculations'!BB12/1000</f>
        <v>3098.2800674767045</v>
      </c>
      <c r="AS32" s="34">
        <f>'Intermediate calculations'!BC12/1000</f>
        <v>3154.9053551571524</v>
      </c>
      <c r="AT32" s="34">
        <f>'Intermediate calculations'!BD12/1000</f>
        <v>3212.6710717327351</v>
      </c>
      <c r="AU32" s="34">
        <f>'Intermediate calculations'!BE12/1000</f>
        <v>3272.2719965181104</v>
      </c>
      <c r="AV32" s="34">
        <f>'Intermediate calculations'!BF12/1000</f>
        <v>3333.9940893037683</v>
      </c>
      <c r="AW32" s="34">
        <f>'Intermediate calculations'!BG12/1000</f>
        <v>3401.4211712419524</v>
      </c>
      <c r="AX32" s="34">
        <f>'Intermediate calculations'!BH12/1000</f>
        <v>3451.6704148595286</v>
      </c>
      <c r="AY32" s="34">
        <f>'Intermediate calculations'!BI12/1000</f>
        <v>3501.1108810604642</v>
      </c>
      <c r="AZ32" s="34">
        <f>'Intermediate calculations'!BJ12/1000</f>
        <v>3551.6497058718633</v>
      </c>
      <c r="BA32" s="34">
        <f>'Intermediate calculations'!BK12/1000</f>
        <v>3602.4854251032702</v>
      </c>
    </row>
    <row r="33" spans="1:53" x14ac:dyDescent="0.2">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2">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2">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2">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2">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165.45874118382812</v>
      </c>
      <c r="X37">
        <f>'Intermediate calculations'!AH27/1000</f>
        <v>166.73905048159477</v>
      </c>
      <c r="Y37">
        <f>'Intermediate calculations'!AI27/1000</f>
        <v>168.02573979335472</v>
      </c>
      <c r="Z37">
        <f>'Intermediate calculations'!AJ27/1000</f>
        <v>169.32506836511763</v>
      </c>
      <c r="AA37">
        <f>'Intermediate calculations'!AK27/1000</f>
        <v>170.64313503477456</v>
      </c>
      <c r="AB37">
        <f>'Intermediate calculations'!AL27/1000</f>
        <v>171.97438858337287</v>
      </c>
      <c r="AC37">
        <f>'Intermediate calculations'!AM27/1000</f>
        <v>173.12725063899256</v>
      </c>
      <c r="AD37">
        <f>'Intermediate calculations'!AN27/1000</f>
        <v>174.2902020845579</v>
      </c>
      <c r="AE37">
        <f>'Intermediate calculations'!AO27/1000</f>
        <v>175.46279138559382</v>
      </c>
      <c r="AF37">
        <f>'Intermediate calculations'!AP27/1000</f>
        <v>176.6534500133007</v>
      </c>
      <c r="AG37">
        <f>'Intermediate calculations'!AQ27/1000</f>
        <v>177.85515225085354</v>
      </c>
      <c r="AH37">
        <f>'Intermediate calculations'!AR27/1000</f>
        <v>178.9139530453262</v>
      </c>
      <c r="AI37">
        <f>'Intermediate calculations'!AS27/1000</f>
        <v>179.98840298702737</v>
      </c>
      <c r="AJ37">
        <f>'Intermediate calculations'!AT27/1000</f>
        <v>181.07524926861009</v>
      </c>
      <c r="AK37">
        <f>'Intermediate calculations'!AU27/1000</f>
        <v>182.17864957918621</v>
      </c>
      <c r="AL37">
        <f>'Intermediate calculations'!AV27/1000</f>
        <v>183.28041428406607</v>
      </c>
      <c r="AM37">
        <f>'Intermediate calculations'!AW27/1000</f>
        <v>184.23822780034351</v>
      </c>
      <c r="AN37">
        <f>'Intermediate calculations'!AX27/1000</f>
        <v>185.20684654893296</v>
      </c>
      <c r="AO37">
        <f>'Intermediate calculations'!AY27/1000</f>
        <v>186.18107264292806</v>
      </c>
      <c r="AP37">
        <f>'Intermediate calculations'!AZ27/1000</f>
        <v>187.16457413385066</v>
      </c>
      <c r="AQ37">
        <f>'Intermediate calculations'!BA27/1000</f>
        <v>188.15555789784736</v>
      </c>
      <c r="AR37">
        <f>'Intermediate calculations'!BB27/1000</f>
        <v>189.01571907741825</v>
      </c>
      <c r="AS37">
        <f>'Intermediate calculations'!BC27/1000</f>
        <v>189.87925591399451</v>
      </c>
      <c r="AT37">
        <f>'Intermediate calculations'!BD27/1000</f>
        <v>190.7490175437442</v>
      </c>
      <c r="AU37">
        <f>'Intermediate calculations'!BE27/1000</f>
        <v>191.62579370606221</v>
      </c>
      <c r="AV37">
        <f>'Intermediate calculations'!BF27/1000</f>
        <v>192.50992783408594</v>
      </c>
      <c r="AW37">
        <f>'Intermediate calculations'!BG27/1000</f>
        <v>193.25901367803252</v>
      </c>
      <c r="AX37">
        <f>'Intermediate calculations'!BH27/1000</f>
        <v>193.99278652520539</v>
      </c>
      <c r="AY37">
        <f>'Intermediate calculations'!BI27/1000</f>
        <v>194.72914169106977</v>
      </c>
      <c r="AZ37">
        <f>'Intermediate calculations'!BJ27/1000</f>
        <v>195.47017977418002</v>
      </c>
      <c r="BA37">
        <f>'Intermediate calculations'!BK27/1000</f>
        <v>196.21504322531183</v>
      </c>
    </row>
    <row r="38" spans="1:53" x14ac:dyDescent="0.2">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190.79416149087547</v>
      </c>
      <c r="X38">
        <f>'Intermediate calculations'!AH19/1000</f>
        <v>193.03718494819523</v>
      </c>
      <c r="Y38">
        <f>'Intermediate calculations'!AI19/1000</f>
        <v>195.29138579918842</v>
      </c>
      <c r="Z38">
        <f>'Intermediate calculations'!AJ19/1000</f>
        <v>197.56772985941973</v>
      </c>
      <c r="AA38">
        <f>'Intermediate calculations'!AK19/1000</f>
        <v>199.87690191925634</v>
      </c>
      <c r="AB38">
        <f>'Intermediate calculations'!AL19/1000</f>
        <v>202.20917658316375</v>
      </c>
      <c r="AC38">
        <f>'Intermediate calculations'!AM19/1000</f>
        <v>204.22892027972176</v>
      </c>
      <c r="AD38">
        <f>'Intermediate calculations'!AN19/1000</f>
        <v>206.26633996938364</v>
      </c>
      <c r="AE38">
        <f>'Intermediate calculations'!AO19/1000</f>
        <v>208.32064459141029</v>
      </c>
      <c r="AF38">
        <f>'Intermediate calculations'!AP19/1000</f>
        <v>210.4066055668288</v>
      </c>
      <c r="AG38">
        <f>'Intermediate calculations'!AQ19/1000</f>
        <v>212.51191427016047</v>
      </c>
      <c r="AH38">
        <f>'Intermediate calculations'!AR19/1000</f>
        <v>214.36686839942732</v>
      </c>
      <c r="AI38">
        <f>'Intermediate calculations'!AS19/1000</f>
        <v>216.24923887596415</v>
      </c>
      <c r="AJ38">
        <f>'Intermediate calculations'!AT19/1000</f>
        <v>218.1533269805677</v>
      </c>
      <c r="AK38">
        <f>'Intermediate calculations'!AU19/1000</f>
        <v>220.08641672985993</v>
      </c>
      <c r="AL38">
        <f>'Intermediate calculations'!AV19/1000</f>
        <v>222.01664099817012</v>
      </c>
      <c r="AM38">
        <f>'Intermediate calculations'!AW19/1000</f>
        <v>223.69467160256849</v>
      </c>
      <c r="AN38">
        <f>'Intermediate calculations'!AX19/1000</f>
        <v>225.39163231204375</v>
      </c>
      <c r="AO38">
        <f>'Intermediate calculations'!AY19/1000</f>
        <v>227.098416747161</v>
      </c>
      <c r="AP38">
        <f>'Intermediate calculations'!AZ19/1000</f>
        <v>228.82145110947991</v>
      </c>
      <c r="AQ38">
        <f>'Intermediate calculations'!BA19/1000</f>
        <v>230.55759395585699</v>
      </c>
      <c r="AR38">
        <f>'Intermediate calculations'!BB19/1000</f>
        <v>232.06454364857493</v>
      </c>
      <c r="AS38">
        <f>'Intermediate calculations'!BC19/1000</f>
        <v>233.57740728557184</v>
      </c>
      <c r="AT38">
        <f>'Intermediate calculations'!BD19/1000</f>
        <v>235.10117637887475</v>
      </c>
      <c r="AU38">
        <f>'Intermediate calculations'!BE19/1000</f>
        <v>236.63723450352376</v>
      </c>
      <c r="AV38">
        <f>'Intermediate calculations'!BF19/1000</f>
        <v>238.1861833333366</v>
      </c>
      <c r="AW38">
        <f>'Intermediate calculations'!BG19/1000</f>
        <v>239.49853584256954</v>
      </c>
      <c r="AX38">
        <f>'Intermediate calculations'!BH19/1000</f>
        <v>240.78406091953653</v>
      </c>
      <c r="AY38">
        <f>'Intermediate calculations'!BI19/1000</f>
        <v>242.07411006065698</v>
      </c>
      <c r="AZ38">
        <f>'Intermediate calculations'!BJ19/1000</f>
        <v>243.37236338591438</v>
      </c>
      <c r="BA38">
        <f>'Intermediate calculations'!BK19/1000</f>
        <v>244.67731852160168</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baseColWidth="10" defaultColWidth="8.83203125" defaultRowHeight="15" x14ac:dyDescent="0.2"/>
  <cols>
    <col min="1" max="1" width="55.83203125" customWidth="1"/>
    <col min="2" max="2" width="12.83203125" customWidth="1"/>
    <col min="3" max="3" width="13.8320312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9" x14ac:dyDescent="0.25">
      <c r="A1" s="1" t="s">
        <v>656</v>
      </c>
    </row>
    <row r="2" spans="1:40" x14ac:dyDescent="0.2">
      <c r="B2" s="77" t="s">
        <v>796</v>
      </c>
    </row>
    <row r="3" spans="1:40" s="19" customFormat="1" ht="29.25" customHeight="1" x14ac:dyDescent="0.2">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6" x14ac:dyDescent="0.2">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2">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2">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2">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2">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6" x14ac:dyDescent="0.2">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6" x14ac:dyDescent="0.2">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2">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2">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2">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2">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2">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2">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2">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2">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2">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2">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2">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2">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2">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2">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2">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2">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2">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2">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2">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2">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2">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2">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2">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2">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2">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2">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2">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2">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2">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2">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2">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2">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2">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2">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2">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2">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6" x14ac:dyDescent="0.2">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2">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2">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2">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2">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2">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2">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2">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2">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2">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2">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2">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2">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2">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2">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2">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2">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2">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2">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2">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2">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2">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2">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2">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2">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2">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2">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2">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2">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2">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2">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2">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2">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2">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2">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2">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2">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6" x14ac:dyDescent="0.2">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2">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2">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2">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2">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2">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2">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2">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2">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2">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2">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2">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2">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2">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2">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2">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2">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2">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2">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2">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2">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2">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2">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2">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6" x14ac:dyDescent="0.2">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2">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2">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2">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2">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2">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2">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2">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2">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2">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2">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2">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2">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2">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2">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2">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2">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2">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2">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2">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2">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2">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2">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2">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2">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6" x14ac:dyDescent="0.2">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2">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2">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2">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2">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2">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2">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2">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2">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2">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2">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2">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2">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2">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2">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2">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2">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2">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2">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2">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2">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2">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2">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2">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2">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6" x14ac:dyDescent="0.2">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2">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2">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2">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2">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2">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2">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2">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2">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2">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2">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2">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2">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2">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2">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2">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2">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2">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2">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2">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2">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2">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2">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2">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2">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6" x14ac:dyDescent="0.2">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2">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2">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2">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2">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2">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2">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2">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2">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2">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2">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2">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2">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2">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2">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2">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2">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2">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2">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2">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2">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2">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2">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2">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2">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2">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2">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2">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2">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2">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2">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2">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2">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2">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2">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2">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2">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2">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2">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2">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2">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2">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2">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2">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2">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2">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2">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2">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2">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baseColWidth="10" defaultColWidth="8.83203125" defaultRowHeight="15" outlineLevelCol="1" x14ac:dyDescent="0.2"/>
  <cols>
    <col min="1" max="1" width="23.6640625" customWidth="1"/>
    <col min="2" max="2" width="37.1640625" customWidth="1"/>
    <col min="3" max="3" width="27.6640625" customWidth="1"/>
    <col min="4" max="4" width="27.5" customWidth="1"/>
    <col min="5" max="5" width="48" customWidth="1"/>
    <col min="6" max="6" width="11.5" customWidth="1"/>
    <col min="7" max="7" width="13.33203125" customWidth="1"/>
    <col min="8" max="27" width="10.6640625" customWidth="1" outlineLevel="1"/>
    <col min="28" max="68" width="10.6640625" customWidth="1"/>
    <col min="71" max="71" width="14.1640625" customWidth="1"/>
    <col min="72" max="72" width="27.6640625" customWidth="1"/>
  </cols>
  <sheetData>
    <row r="1" spans="1:72" ht="19" x14ac:dyDescent="0.25">
      <c r="A1" s="1" t="s">
        <v>142</v>
      </c>
      <c r="AI1" s="11"/>
      <c r="AJ1" s="11"/>
    </row>
    <row r="2" spans="1:72" x14ac:dyDescent="0.2">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34442.175400286913</v>
      </c>
      <c r="AU4" s="81">
        <f t="shared" si="0"/>
        <v>38277.840139802545</v>
      </c>
      <c r="AV4" s="81">
        <f t="shared" si="0"/>
        <v>41173.016777355224</v>
      </c>
      <c r="AW4" s="81">
        <f>AW11-AV11</f>
        <v>26903.721050743014</v>
      </c>
      <c r="AX4" s="81">
        <f t="shared" si="0"/>
        <v>30199.54711901769</v>
      </c>
      <c r="AY4" s="81">
        <f t="shared" si="0"/>
        <v>33012.929951507598</v>
      </c>
      <c r="AZ4" s="81">
        <f t="shared" si="0"/>
        <v>36169.159361820668</v>
      </c>
      <c r="BA4" s="15">
        <f>BA8/'Intermediate calculations'!AV8</f>
        <v>3.5308171115186595</v>
      </c>
      <c r="BB4" s="15">
        <f>BB8/'Intermediate calculations'!AW8</f>
        <v>3.4332531022983925</v>
      </c>
      <c r="BC4" s="15">
        <f>BC8/'Intermediate calculations'!AX8</f>
        <v>3.3377541092705743</v>
      </c>
      <c r="BD4" s="15">
        <f>BD8/'Intermediate calculations'!AY8</f>
        <v>3.2442330159192259</v>
      </c>
      <c r="BE4" s="15">
        <f>BE8/'Intermediate calculations'!AZ8</f>
        <v>3.1526086459819269</v>
      </c>
      <c r="BF4" s="15">
        <f>BF8/'Intermediate calculations'!BA8</f>
        <v>3.0628052211155747</v>
      </c>
      <c r="BG4" s="15">
        <f>BG8/'Intermediate calculations'!BB8</f>
        <v>2.9899291852606624</v>
      </c>
      <c r="BH4" s="15">
        <f>BH8/'Intermediate calculations'!BC8</f>
        <v>2.9184695640871463</v>
      </c>
      <c r="BI4" s="15">
        <f>BI8/'Intermediate calculations'!BD8</f>
        <v>2.8483729040734147</v>
      </c>
      <c r="BJ4" s="15">
        <f>BJ8/'Intermediate calculations'!BE8</f>
        <v>2.7795890112494344</v>
      </c>
      <c r="BK4" s="15">
        <f>BK8/'Intermediate calculations'!BF8</f>
        <v>2.7120706846423071</v>
      </c>
      <c r="BL4" s="15">
        <f>BL8/'Intermediate calculations'!BG8</f>
        <v>2.6457734767135372</v>
      </c>
      <c r="BM4" s="15">
        <f>BM8/'Intermediate calculations'!BH8</f>
        <v>2.5806554775554109</v>
      </c>
      <c r="BN4" s="15">
        <f>BN8/'Intermediate calculations'!BI8</f>
        <v>2.5166771200581559</v>
      </c>
      <c r="BO4" s="15">
        <f>BO8/'Intermediate calculations'!BJ8</f>
        <v>2.4538010036352191</v>
      </c>
      <c r="BP4" s="15">
        <f>BP8/'Intermediate calculations'!BK8</f>
        <v>2.3919917344128283</v>
      </c>
      <c r="BS4" s="16"/>
      <c r="BT4" s="15"/>
    </row>
    <row r="5" spans="1:72" x14ac:dyDescent="0.2">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593358.66490468499</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603045.20236245112</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608615.99513645703</v>
      </c>
      <c r="AL5" s="23">
        <f>'Intermediate calculations'!AG15*'Intermediate calculations'!AG16*Constants!$H$18</f>
        <v>591954.99978317763</v>
      </c>
      <c r="AM5" s="23">
        <f>'Intermediate calculations'!AH15*'Intermediate calculations'!AH16*Constants!$H$18</f>
        <v>598757.85046768794</v>
      </c>
      <c r="AN5" s="23">
        <f>'Intermediate calculations'!AI15*'Intermediate calculations'!AI16*Constants!$H$18</f>
        <v>604088.60163752455</v>
      </c>
      <c r="AO5" s="23">
        <f>'Intermediate calculations'!AJ15*'Intermediate calculations'!AJ16*Constants!$H$18</f>
        <v>609138.9026251859</v>
      </c>
      <c r="AP5" s="23">
        <f>'Intermediate calculations'!AK15*'Intermediate calculations'!AK16*Constants!$H$18</f>
        <v>615043.19785551599</v>
      </c>
      <c r="AQ5" s="23">
        <f>'Intermediate calculations'!AL15*'Intermediate calculations'!AL16*Constants!$H$18</f>
        <v>620697.58253808867</v>
      </c>
      <c r="AR5" s="23">
        <f>'Intermediate calculations'!AM15*'Intermediate calculations'!AM16*Constants!$H$18</f>
        <v>625439.87615494407</v>
      </c>
      <c r="AS5" s="23">
        <f>'Intermediate calculations'!AN15*'Intermediate calculations'!AN16*Constants!$H$18</f>
        <v>630050.45437348564</v>
      </c>
      <c r="AT5" s="23">
        <f>'Intermediate calculations'!AO15*'Intermediate calculations'!AO16*Constants!$H$18</f>
        <v>634423.64949236414</v>
      </c>
      <c r="AU5" s="23">
        <f>'Intermediate calculations'!AP15*'Intermediate calculations'!AP16*Constants!$H$18</f>
        <v>640112.39897638618</v>
      </c>
      <c r="AV5" s="23">
        <f>'Intermediate calculations'!AQ15*'Intermediate calculations'!AQ16*Constants!$H$18</f>
        <v>645771.896032213</v>
      </c>
      <c r="AW5" s="23">
        <f>'Intermediate calculations'!AR15*'Intermediate calculations'!AR16*Constants!$H$18</f>
        <v>651676.38814400602</v>
      </c>
      <c r="AX5" s="23">
        <f>'Intermediate calculations'!AS15*'Intermediate calculations'!AS16*Constants!$H$18</f>
        <v>658879.73593194631</v>
      </c>
      <c r="AY5" s="23">
        <f>'Intermediate calculations'!AT15*'Intermediate calculations'!AT16*Constants!$H$18</f>
        <v>666754.64159462869</v>
      </c>
      <c r="AZ5" s="23">
        <f>'Intermediate calculations'!AU15*'Intermediate calculations'!AU16*Constants!$H$18</f>
        <v>676037.53588111198</v>
      </c>
      <c r="BA5" s="23">
        <f>'Intermediate calculations'!AV15*'Intermediate calculations'!AV16*Constants!$H$18</f>
        <v>683389.61151672003</v>
      </c>
      <c r="BB5" s="23">
        <f>'Intermediate calculations'!AW15*'Intermediate calculations'!AW16*Constants!$H$18</f>
        <v>690219.61010692269</v>
      </c>
      <c r="BC5" s="23">
        <f>'Intermediate calculations'!AX15*'Intermediate calculations'!AX16*Constants!$H$18</f>
        <v>697798.40902130038</v>
      </c>
      <c r="BD5" s="23">
        <f>'Intermediate calculations'!AY15*'Intermediate calculations'!AY16*Constants!$H$18</f>
        <v>705173.71056454955</v>
      </c>
      <c r="BE5" s="23">
        <f>'Intermediate calculations'!AZ15*'Intermediate calculations'!AZ16*Constants!$H$18</f>
        <v>712995.57517998014</v>
      </c>
      <c r="BF5" s="23">
        <f>'Intermediate calculations'!BA15*'Intermediate calculations'!BA16*Constants!$H$18</f>
        <v>720929.88017012517</v>
      </c>
      <c r="BG5" s="23">
        <f>'Intermediate calculations'!BB15*'Intermediate calculations'!BB16*Constants!$H$18</f>
        <v>729698.45600335486</v>
      </c>
      <c r="BH5" s="23">
        <f>'Intermediate calculations'!BC15*'Intermediate calculations'!BC16*Constants!$H$18</f>
        <v>738167.5372325714</v>
      </c>
      <c r="BI5" s="23">
        <f>'Intermediate calculations'!BD15*'Intermediate calculations'!BD16*Constants!$H$18</f>
        <v>746837.9486975543</v>
      </c>
      <c r="BJ5" s="23">
        <f>'Intermediate calculations'!BE15*'Intermediate calculations'!BE16*Constants!$H$18</f>
        <v>755841.15702636587</v>
      </c>
      <c r="BK5" s="23">
        <f>'Intermediate calculations'!BF15*'Intermediate calculations'!BF16*Constants!$H$18</f>
        <v>765228.63346572674</v>
      </c>
      <c r="BL5" s="23">
        <f>'Intermediate calculations'!BG15*'Intermediate calculations'!BG16*Constants!$H$18</f>
        <v>775681.51860518416</v>
      </c>
      <c r="BM5" s="23">
        <f>'Intermediate calculations'!BH15*'Intermediate calculations'!BH16*Constants!$H$18</f>
        <v>782830.64179954154</v>
      </c>
      <c r="BN5" s="23">
        <f>'Intermediate calculations'!BI15*'Intermediate calculations'!BI16*Constants!$H$18</f>
        <v>789815.34440266527</v>
      </c>
      <c r="BO5" s="23">
        <f>'Intermediate calculations'!BJ15*'Intermediate calculations'!BJ16*Constants!$H$18</f>
        <v>796997.96821618616</v>
      </c>
      <c r="BP5" s="23">
        <f>'Intermediate calculations'!BK15*'Intermediate calculations'!BK16*Constants!$H$18</f>
        <v>804225.20115651039</v>
      </c>
    </row>
    <row r="6" spans="1:72" x14ac:dyDescent="0.2">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491640.03663531045</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499666.02481460234</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504281.82454163581</v>
      </c>
      <c r="AL6" s="23">
        <f>'Intermediate calculations'!AG15*'Intermediate calculations'!AG16*Constants!$H$19</f>
        <v>490476.99982034724</v>
      </c>
      <c r="AM6" s="23">
        <f>'Intermediate calculations'!AH15*'Intermediate calculations'!AH16*Constants!$H$19</f>
        <v>496113.64753037004</v>
      </c>
      <c r="AN6" s="23">
        <f>'Intermediate calculations'!AI15*'Intermediate calculations'!AI16*Constants!$H$19</f>
        <v>500530.55564252037</v>
      </c>
      <c r="AO6" s="23">
        <f>'Intermediate calculations'!AJ15*'Intermediate calculations'!AJ16*Constants!$H$19</f>
        <v>504715.0907465826</v>
      </c>
      <c r="AP6" s="23">
        <f>'Intermediate calculations'!AK15*'Intermediate calculations'!AK16*Constants!$H$19</f>
        <v>509607.22108028462</v>
      </c>
      <c r="AQ6" s="23">
        <f>'Intermediate calculations'!AL15*'Intermediate calculations'!AL16*Constants!$H$19</f>
        <v>514292.28267441638</v>
      </c>
      <c r="AR6" s="23">
        <f>'Intermediate calculations'!AM15*'Intermediate calculations'!AM16*Constants!$H$19</f>
        <v>518221.61167123931</v>
      </c>
      <c r="AS6" s="23">
        <f>'Intermediate calculations'!AN15*'Intermediate calculations'!AN16*Constants!$H$19</f>
        <v>522041.80505231669</v>
      </c>
      <c r="AT6" s="23">
        <f>'Intermediate calculations'!AO15*'Intermediate calculations'!AO16*Constants!$H$19</f>
        <v>525665.30957938742</v>
      </c>
      <c r="AU6" s="23">
        <f>'Intermediate calculations'!AP15*'Intermediate calculations'!AP16*Constants!$H$19</f>
        <v>530378.84486614855</v>
      </c>
      <c r="AV6" s="23">
        <f>'Intermediate calculations'!AQ15*'Intermediate calculations'!AQ16*Constants!$H$19</f>
        <v>535068.14242669079</v>
      </c>
      <c r="AW6" s="23">
        <f>'Intermediate calculations'!AR15*'Intermediate calculations'!AR16*Constants!$H$19</f>
        <v>539960.43589074793</v>
      </c>
      <c r="AX6" s="23">
        <f>'Intermediate calculations'!AS15*'Intermediate calculations'!AS16*Constants!$H$19</f>
        <v>545928.92405789846</v>
      </c>
      <c r="AY6" s="23">
        <f>'Intermediate calculations'!AT15*'Intermediate calculations'!AT16*Constants!$H$19</f>
        <v>552453.84589269233</v>
      </c>
      <c r="AZ6" s="23">
        <f>'Intermediate calculations'!AU15*'Intermediate calculations'!AU16*Constants!$H$19</f>
        <v>560145.38687292137</v>
      </c>
      <c r="BA6" s="23">
        <f>'Intermediate calculations'!AV15*'Intermediate calculations'!AV16*Constants!$H$19</f>
        <v>566237.10668528231</v>
      </c>
      <c r="BB6" s="23">
        <f>'Intermediate calculations'!AW15*'Intermediate calculations'!AW16*Constants!$H$19</f>
        <v>571896.24837430741</v>
      </c>
      <c r="BC6" s="23">
        <f>'Intermediate calculations'!AX15*'Intermediate calculations'!AX16*Constants!$H$19</f>
        <v>578175.82461764885</v>
      </c>
      <c r="BD6" s="23">
        <f>'Intermediate calculations'!AY15*'Intermediate calculations'!AY16*Constants!$H$19</f>
        <v>584286.78875348391</v>
      </c>
      <c r="BE6" s="23">
        <f>'Intermediate calculations'!AZ15*'Intermediate calculations'!AZ16*Constants!$H$19</f>
        <v>590767.76229198358</v>
      </c>
      <c r="BF6" s="23">
        <f>'Intermediate calculations'!BA15*'Intermediate calculations'!BA16*Constants!$H$19</f>
        <v>597341.90071238938</v>
      </c>
      <c r="BG6" s="23">
        <f>'Intermediate calculations'!BB15*'Intermediate calculations'!BB16*Constants!$H$19</f>
        <v>604607.29211706552</v>
      </c>
      <c r="BH6" s="23">
        <f>'Intermediate calculations'!BC15*'Intermediate calculations'!BC16*Constants!$H$19</f>
        <v>611624.53084984492</v>
      </c>
      <c r="BI6" s="23">
        <f>'Intermediate calculations'!BD15*'Intermediate calculations'!BD16*Constants!$H$19</f>
        <v>618808.58606368781</v>
      </c>
      <c r="BJ6" s="23">
        <f>'Intermediate calculations'!BE15*'Intermediate calculations'!BE16*Constants!$H$19</f>
        <v>626268.38725041749</v>
      </c>
      <c r="BK6" s="23">
        <f>'Intermediate calculations'!BF15*'Intermediate calculations'!BF16*Constants!$H$19</f>
        <v>634046.5820144593</v>
      </c>
      <c r="BL6" s="23">
        <f>'Intermediate calculations'!BG15*'Intermediate calculations'!BG16*Constants!$H$19</f>
        <v>642707.54398715263</v>
      </c>
      <c r="BM6" s="23">
        <f>'Intermediate calculations'!BH15*'Intermediate calculations'!BH16*Constants!$H$19</f>
        <v>648631.1032053344</v>
      </c>
      <c r="BN6" s="23">
        <f>'Intermediate calculations'!BI15*'Intermediate calculations'!BI16*Constants!$H$19</f>
        <v>654418.42821935122</v>
      </c>
      <c r="BO6" s="23">
        <f>'Intermediate calculations'!BJ15*'Intermediate calculations'!BJ16*Constants!$H$19</f>
        <v>660369.74509341142</v>
      </c>
      <c r="BP6" s="23">
        <f>'Intermediate calculations'!BK15*'Intermediate calculations'!BK16*Constants!$H$19</f>
        <v>666358.02381539426</v>
      </c>
    </row>
    <row r="7" spans="1:72" x14ac:dyDescent="0.2">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610311.7696162475</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626005.02356892731</v>
      </c>
      <c r="AL7" s="23">
        <f>'Intermediate calculations'!AG15*'Intermediate calculations'!AG16*(1-Constants!$H$18-Constants!$H$19)</f>
        <v>608867.99977698282</v>
      </c>
      <c r="AM7" s="23">
        <f>'Intermediate calculations'!AH15*'Intermediate calculations'!AH16*(1-Constants!$H$18-Constants!$H$19)</f>
        <v>615865.21762390772</v>
      </c>
      <c r="AN7" s="23">
        <f>'Intermediate calculations'!AI15*'Intermediate calculations'!AI16*(1-Constants!$H$18-Constants!$H$19)</f>
        <v>621348.27597002534</v>
      </c>
      <c r="AO7" s="23">
        <f>'Intermediate calculations'!AJ15*'Intermediate calculations'!AJ16*(1-Constants!$H$18-Constants!$H$19)</f>
        <v>626542.87127161992</v>
      </c>
      <c r="AP7" s="23">
        <f>'Intermediate calculations'!AK15*'Intermediate calculations'!AK16*(1-Constants!$H$18-Constants!$H$19)</f>
        <v>632615.86065138795</v>
      </c>
      <c r="AQ7" s="23">
        <f>'Intermediate calculations'!AL15*'Intermediate calculations'!AL16*(1-Constants!$H$18-Constants!$H$19)</f>
        <v>638431.79918203421</v>
      </c>
      <c r="AR7" s="23">
        <f>'Intermediate calculations'!AM15*'Intermediate calculations'!AM16*(1-Constants!$H$18-Constants!$H$19)</f>
        <v>643309.5869022283</v>
      </c>
      <c r="AS7" s="23">
        <f>'Intermediate calculations'!AN15*'Intermediate calculations'!AN16*(1-Constants!$H$18-Constants!$H$19)</f>
        <v>648051.89592701395</v>
      </c>
      <c r="AT7" s="23">
        <f>'Intermediate calculations'!AO15*'Intermediate calculations'!AO16*(1-Constants!$H$18-Constants!$H$19)</f>
        <v>652550.03947786044</v>
      </c>
      <c r="AU7" s="23">
        <f>'Intermediate calculations'!AP15*'Intermediate calculations'!AP16*(1-Constants!$H$18-Constants!$H$19)</f>
        <v>658401.3246614259</v>
      </c>
      <c r="AV7" s="23">
        <f>'Intermediate calculations'!AQ15*'Intermediate calculations'!AQ16*(1-Constants!$H$18-Constants!$H$19)</f>
        <v>664222.52163313353</v>
      </c>
      <c r="AW7" s="23">
        <f>'Intermediate calculations'!AR15*'Intermediate calculations'!AR16*(1-Constants!$H$18-Constants!$H$19)</f>
        <v>670295.71351954923</v>
      </c>
      <c r="AX7" s="23">
        <f>'Intermediate calculations'!AS15*'Intermediate calculations'!AS16*(1-Constants!$H$18-Constants!$H$19)</f>
        <v>677704.87124428782</v>
      </c>
      <c r="AY7" s="23">
        <f>'Intermediate calculations'!AT15*'Intermediate calculations'!AT16*(1-Constants!$H$18-Constants!$H$19)</f>
        <v>685804.77421161812</v>
      </c>
      <c r="AZ7" s="23">
        <f>'Intermediate calculations'!AU15*'Intermediate calculations'!AU16*(1-Constants!$H$18-Constants!$H$19)</f>
        <v>695352.89404914388</v>
      </c>
      <c r="BA7" s="23">
        <f>'Intermediate calculations'!AV15*'Intermediate calculations'!AV16*(1-Constants!$H$18-Constants!$H$19)</f>
        <v>702915.02898862644</v>
      </c>
      <c r="BB7" s="23">
        <f>'Intermediate calculations'!AW15*'Intermediate calculations'!AW16*(1-Constants!$H$18-Constants!$H$19)</f>
        <v>709940.170395692</v>
      </c>
      <c r="BC7" s="23">
        <f>'Intermediate calculations'!AX15*'Intermediate calculations'!AX16*(1-Constants!$H$18-Constants!$H$19)</f>
        <v>717735.50642190909</v>
      </c>
      <c r="BD7" s="23">
        <f>'Intermediate calculations'!AY15*'Intermediate calculations'!AY16*(1-Constants!$H$18-Constants!$H$19)</f>
        <v>725321.53086639394</v>
      </c>
      <c r="BE7" s="23">
        <f>'Intermediate calculations'!AZ15*'Intermediate calculations'!AZ16*(1-Constants!$H$18-Constants!$H$19)</f>
        <v>733366.87732797966</v>
      </c>
      <c r="BF7" s="23">
        <f>'Intermediate calculations'!BA15*'Intermediate calculations'!BA16*(1-Constants!$H$18-Constants!$H$19)</f>
        <v>741527.87674641458</v>
      </c>
      <c r="BG7" s="23">
        <f>'Intermediate calculations'!BB15*'Intermediate calculations'!BB16*(1-Constants!$H$18-Constants!$H$19)</f>
        <v>750546.98331773654</v>
      </c>
      <c r="BH7" s="23">
        <f>'Intermediate calculations'!BC15*'Intermediate calculations'!BC16*(1-Constants!$H$18-Constants!$H$19)</f>
        <v>759258.03829635924</v>
      </c>
      <c r="BI7" s="23">
        <f>'Intermediate calculations'!BD15*'Intermediate calculations'!BD16*(1-Constants!$H$18-Constants!$H$19)</f>
        <v>768176.17580319883</v>
      </c>
      <c r="BJ7" s="23">
        <f>'Intermediate calculations'!BE15*'Intermediate calculations'!BE16*(1-Constants!$H$18-Constants!$H$19)</f>
        <v>777436.61865569081</v>
      </c>
      <c r="BK7" s="23">
        <f>'Intermediate calculations'!BF15*'Intermediate calculations'!BF16*(1-Constants!$H$18-Constants!$H$19)</f>
        <v>787092.30870760477</v>
      </c>
      <c r="BL7" s="23">
        <f>'Intermediate calculations'!BG15*'Intermediate calculations'!BG16*(1-Constants!$H$18-Constants!$H$19)</f>
        <v>797843.84770818951</v>
      </c>
      <c r="BM7" s="23">
        <f>'Intermediate calculations'!BH15*'Intermediate calculations'!BH16*(1-Constants!$H$18-Constants!$H$19)</f>
        <v>805197.23156524287</v>
      </c>
      <c r="BN7" s="23">
        <f>'Intermediate calculations'!BI15*'Intermediate calculations'!BI16*(1-Constants!$H$18-Constants!$H$19)</f>
        <v>812381.49709988444</v>
      </c>
      <c r="BO7" s="23">
        <f>'Intermediate calculations'!BJ15*'Intermediate calculations'!BJ16*(1-Constants!$H$18-Constants!$H$19)</f>
        <v>819769.33873664879</v>
      </c>
      <c r="BP7" s="23">
        <f>'Intermediate calculations'!BK15*'Intermediate calculations'!BK16*(1-Constants!$H$18-Constants!$H$19)</f>
        <v>827203.06404669653</v>
      </c>
    </row>
    <row r="8" spans="1:72" x14ac:dyDescent="0.2">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5954880.1627134737</v>
      </c>
      <c r="AE8" s="23">
        <f>'Intermediate calculations'!Z10*'Intermediate calculations'!Z11*Constants!$H$20</f>
        <v>5903235.3888004785</v>
      </c>
      <c r="AF8" s="23">
        <f>'Intermediate calculations'!AA10*'Intermediate calculations'!AA11*Constants!$H$20</f>
        <v>5883575.7867908729</v>
      </c>
      <c r="AG8" s="23">
        <f>'Intermediate calculations'!AB10*'Intermediate calculations'!AB11*Constants!$H$20</f>
        <v>5805008.3335930631</v>
      </c>
      <c r="AH8" s="23">
        <f>'Intermediate calculations'!AC10*'Intermediate calculations'!AC11*Constants!$H$20</f>
        <v>5690965.7565264814</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4719772.8767197365</v>
      </c>
      <c r="AM8" s="23">
        <f>'Intermediate calculations'!AH10*'Intermediate calculations'!AH11*Constants!$H$20</f>
        <v>4810052.6920818258</v>
      </c>
      <c r="AN8" s="23">
        <f>'Intermediate calculations'!AI10*'Intermediate calculations'!AI11*Constants!$H$20</f>
        <v>4858321.8584341649</v>
      </c>
      <c r="AO8" s="23">
        <f>'Intermediate calculations'!AJ10*'Intermediate calculations'!AJ11*Constants!$H$20</f>
        <v>4895479.0162993912</v>
      </c>
      <c r="AP8" s="23">
        <f>'Intermediate calculations'!AK10*'Intermediate calculations'!AK11*Constants!$H$20</f>
        <v>4949239.6513521485</v>
      </c>
      <c r="AQ8" s="23">
        <f>'Intermediate calculations'!AL10*'Intermediate calculations'!AL11*Constants!$H$20</f>
        <v>4992869.2775564361</v>
      </c>
      <c r="AR8" s="23">
        <f>'Intermediate calculations'!AM10*'Intermediate calculations'!AM11*Constants!$H$20</f>
        <v>5020995.3601908721</v>
      </c>
      <c r="AS8" s="23">
        <f>'Intermediate calculations'!AN10*'Intermediate calculations'!AN11*Constants!$H$20</f>
        <v>5042889.4110027179</v>
      </c>
      <c r="AT8" s="23">
        <f>'Intermediate calculations'!AO10*'Intermediate calculations'!AO11*Constants!$H$20</f>
        <v>5056458.9389800234</v>
      </c>
      <c r="AU8" s="23">
        <f>'Intermediate calculations'!AP10*'Intermediate calculations'!AP11*Constants!$H$20</f>
        <v>5096630.0751418229</v>
      </c>
      <c r="AV8" s="23">
        <f>'Intermediate calculations'!AQ10*'Intermediate calculations'!AQ11*Constants!$H$20</f>
        <v>5132774.3979193028</v>
      </c>
      <c r="AW8" s="23">
        <f>'Intermediate calculations'!AR10*'Intermediate calculations'!AR11*Constants!$H$20</f>
        <v>5134638.5866640983</v>
      </c>
      <c r="AX8" s="23">
        <f>'Intermediate calculations'!AS10*'Intermediate calculations'!AS11*Constants!$H$20</f>
        <v>5158851.9550401615</v>
      </c>
      <c r="AY8" s="23">
        <f>'Intermediate calculations'!AT10*'Intermediate calculations'!AT11*Constants!$H$20</f>
        <v>5190870.9547783006</v>
      </c>
      <c r="AZ8" s="23">
        <f>'Intermediate calculations'!AU10*'Intermediate calculations'!AU11*Constants!$H$20</f>
        <v>5244627.6411342593</v>
      </c>
      <c r="BA8" s="23">
        <f>'Intermediate calculations'!AV10*'Intermediate calculations'!AV11*Constants!$H$20</f>
        <v>5253213.4421595996</v>
      </c>
      <c r="BB8" s="23">
        <f>'Intermediate calculations'!AW10*'Intermediate calculations'!AW11*Constants!$H$20</f>
        <v>5252312.1816986855</v>
      </c>
      <c r="BC8" s="23">
        <f>'Intermediate calculations'!AX10*'Intermediate calculations'!AX11*Constants!$H$20</f>
        <v>5260199.3002816634</v>
      </c>
      <c r="BD8" s="23">
        <f>'Intermediate calculations'!AY10*'Intermediate calculations'!AY11*Constants!$H$20</f>
        <v>5258743.5589063233</v>
      </c>
      <c r="BE8" s="23">
        <f>'Intermediate calculations'!AZ10*'Intermediate calculations'!AZ11*Constants!$H$20</f>
        <v>5259857.3784672664</v>
      </c>
      <c r="BF8" s="23">
        <f>'Intermediate calculations'!BA10*'Intermediate calculations'!BA11*Constants!$H$20</f>
        <v>5257329.5929860473</v>
      </c>
      <c r="BG8" s="23">
        <f>'Intermediate calculations'!BB10*'Intermediate calculations'!BB11*Constants!$H$20</f>
        <v>5295063.2595560821</v>
      </c>
      <c r="BH8" s="23">
        <f>'Intermediate calculations'!BC10*'Intermediate calculations'!BC11*Constants!$H$20</f>
        <v>5322667.5788190989</v>
      </c>
      <c r="BI8" s="23">
        <f>'Intermediate calculations'!BD10*'Intermediate calculations'!BD11*Constants!$H$20</f>
        <v>5348679.1989412587</v>
      </c>
      <c r="BJ8" s="23">
        <f>'Intermediate calculations'!BE10*'Intermediate calculations'!BE11*Constants!$H$20</f>
        <v>5375088.3276536986</v>
      </c>
      <c r="BK8" s="23">
        <f>'Intermediate calculations'!BF10*'Intermediate calculations'!BF11*Constants!$H$20</f>
        <v>5402467.6715433104</v>
      </c>
      <c r="BL8" s="23">
        <f>'Intermediate calculations'!BG10*'Intermediate calculations'!BG11*Constants!$H$20</f>
        <v>5445374.2445909819</v>
      </c>
      <c r="BM8" s="23">
        <f>'Intermediate calculations'!BH10*'Intermediate calculations'!BH11*Constants!$H$20</f>
        <v>5433289.206983556</v>
      </c>
      <c r="BN8" s="23">
        <f>'Intermediate calculations'!BI10*'Intermediate calculations'!BI11*Constants!$H$20</f>
        <v>5415170.0204233658</v>
      </c>
      <c r="BO8" s="23">
        <f>'Intermediate calculations'!BJ10*'Intermediate calculations'!BJ11*Constants!$H$20</f>
        <v>5396403.4576469632</v>
      </c>
      <c r="BP8" s="23">
        <f>'Intermediate calculations'!BK10*'Intermediate calculations'!BK11*Constants!$H$20</f>
        <v>5374744.0347834453</v>
      </c>
    </row>
    <row r="9" spans="1:72" x14ac:dyDescent="0.2">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5280742.7858025134</v>
      </c>
      <c r="AE9" s="23">
        <f>'Intermediate calculations'!Z10*'Intermediate calculations'!Z11*(1-Constants!$H$20)</f>
        <v>5234944.5900683487</v>
      </c>
      <c r="AF9" s="23">
        <f>'Intermediate calculations'!AA10*'Intermediate calculations'!AA11*(1-Constants!$H$20)</f>
        <v>5217510.6033805842</v>
      </c>
      <c r="AG9" s="23">
        <f>'Intermediate calculations'!AB10*'Intermediate calculations'!AB11*(1-Constants!$H$20)</f>
        <v>5147837.5788466781</v>
      </c>
      <c r="AH9" s="23">
        <f>'Intermediate calculations'!AC10*'Intermediate calculations'!AC11*(1-Constants!$H$20)</f>
        <v>5046705.4822027273</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4185458.9661476901</v>
      </c>
      <c r="AM9" s="23">
        <f>'Intermediate calculations'!AH10*'Intermediate calculations'!AH11*(1-Constants!$H$20)</f>
        <v>4265518.4250536934</v>
      </c>
      <c r="AN9" s="23">
        <f>'Intermediate calculations'!AI10*'Intermediate calculations'!AI11*(1-Constants!$H$20)</f>
        <v>4308323.1574793532</v>
      </c>
      <c r="AO9" s="23">
        <f>'Intermediate calculations'!AJ10*'Intermediate calculations'!AJ11*(1-Constants!$H$20)</f>
        <v>4341273.8446428552</v>
      </c>
      <c r="AP9" s="23">
        <f>'Intermediate calculations'!AK10*'Intermediate calculations'!AK11*(1-Constants!$H$20)</f>
        <v>4388948.3700669985</v>
      </c>
      <c r="AQ9" s="23">
        <f>'Intermediate calculations'!AL10*'Intermediate calculations'!AL11*(1-Constants!$H$20)</f>
        <v>4427638.7933047637</v>
      </c>
      <c r="AR9" s="23">
        <f>'Intermediate calculations'!AM10*'Intermediate calculations'!AM11*(1-Constants!$H$20)</f>
        <v>4452580.7911126595</v>
      </c>
      <c r="AS9" s="23">
        <f>'Intermediate calculations'!AN10*'Intermediate calculations'!AN11*(1-Constants!$H$20)</f>
        <v>4471996.2701344844</v>
      </c>
      <c r="AT9" s="23">
        <f>'Intermediate calculations'!AO10*'Intermediate calculations'!AO11*(1-Constants!$H$20)</f>
        <v>4484029.6251332285</v>
      </c>
      <c r="AU9" s="23">
        <f>'Intermediate calculations'!AP10*'Intermediate calculations'!AP11*(1-Constants!$H$20)</f>
        <v>4519653.0855031256</v>
      </c>
      <c r="AV9" s="23">
        <f>'Intermediate calculations'!AQ10*'Intermediate calculations'!AQ11*(1-Constants!$H$20)</f>
        <v>4551705.5981548522</v>
      </c>
      <c r="AW9" s="23">
        <f>'Intermediate calculations'!AR10*'Intermediate calculations'!AR11*(1-Constants!$H$20)</f>
        <v>4553358.746664389</v>
      </c>
      <c r="AX9" s="23">
        <f>'Intermediate calculations'!AS10*'Intermediate calculations'!AS11*(1-Constants!$H$20)</f>
        <v>4574830.9789978778</v>
      </c>
      <c r="AY9" s="23">
        <f>'Intermediate calculations'!AT10*'Intermediate calculations'!AT11*(1-Constants!$H$20)</f>
        <v>4603225.1863128319</v>
      </c>
      <c r="AZ9" s="23">
        <f>'Intermediate calculations'!AU10*'Intermediate calculations'!AU11*(1-Constants!$H$20)</f>
        <v>4650896.2100624563</v>
      </c>
      <c r="BA9" s="23">
        <f>'Intermediate calculations'!AV10*'Intermediate calculations'!AV11*(1-Constants!$H$20)</f>
        <v>4658510.0336132301</v>
      </c>
      <c r="BB9" s="23">
        <f>'Intermediate calculations'!AW10*'Intermediate calculations'!AW11*(1-Constants!$H$20)</f>
        <v>4657710.8026384562</v>
      </c>
      <c r="BC9" s="23">
        <f>'Intermediate calculations'!AX10*'Intermediate calculations'!AX11*(1-Constants!$H$20)</f>
        <v>4664705.0398724182</v>
      </c>
      <c r="BD9" s="23">
        <f>'Intermediate calculations'!AY10*'Intermediate calculations'!AY11*(1-Constants!$H$20)</f>
        <v>4663414.0994074931</v>
      </c>
      <c r="BE9" s="23">
        <f>'Intermediate calculations'!AZ10*'Intermediate calculations'!AZ11*(1-Constants!$H$20)</f>
        <v>4664401.8261879524</v>
      </c>
      <c r="BF9" s="23">
        <f>'Intermediate calculations'!BA10*'Intermediate calculations'!BA11*(1-Constants!$H$20)</f>
        <v>4662160.2051008344</v>
      </c>
      <c r="BG9" s="23">
        <f>'Intermediate calculations'!BB10*'Intermediate calculations'!BB11*(1-Constants!$H$20)</f>
        <v>4695622.1358327521</v>
      </c>
      <c r="BH9" s="23">
        <f>'Intermediate calculations'!BC10*'Intermediate calculations'!BC11*(1-Constants!$H$20)</f>
        <v>4720101.4378207093</v>
      </c>
      <c r="BI9" s="23">
        <f>'Intermediate calculations'!BD10*'Intermediate calculations'!BD11*(1-Constants!$H$20)</f>
        <v>4743168.3462309279</v>
      </c>
      <c r="BJ9" s="23">
        <f>'Intermediate calculations'!BE10*'Intermediate calculations'!BE11*(1-Constants!$H$20)</f>
        <v>4766587.7622589394</v>
      </c>
      <c r="BK9" s="23">
        <f>'Intermediate calculations'!BF10*'Intermediate calculations'!BF11*(1-Constants!$H$20)</f>
        <v>4790867.5577836903</v>
      </c>
      <c r="BL9" s="23">
        <f>'Intermediate calculations'!BG10*'Intermediate calculations'!BG11*(1-Constants!$H$20)</f>
        <v>4828916.7829391723</v>
      </c>
      <c r="BM9" s="23">
        <f>'Intermediate calculations'!BH10*'Intermediate calculations'!BH11*(1-Constants!$H$20)</f>
        <v>4818199.8627967378</v>
      </c>
      <c r="BN9" s="23">
        <f>'Intermediate calculations'!BI10*'Intermediate calculations'!BI11*(1-Constants!$H$20)</f>
        <v>4802131.9049037397</v>
      </c>
      <c r="BO9" s="23">
        <f>'Intermediate calculations'!BJ10*'Intermediate calculations'!BJ11*(1-Constants!$H$20)</f>
        <v>4785489.8586680619</v>
      </c>
      <c r="BP9" s="23">
        <f>'Intermediate calculations'!BK10*'Intermediate calculations'!BK11*(1-Constants!$H$20)</f>
        <v>4766282.4459400363</v>
      </c>
    </row>
    <row r="10" spans="1:72" x14ac:dyDescent="0.2">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559717.1030773099</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610009.49754182261</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593382.52815527772</v>
      </c>
      <c r="AM10" s="23">
        <f>(((('Intermediate calculations'!AH9/('Intermediate calculations'!AH64+0.27))*ttokg)/Constants!$H$21)/(365/'Intermediate calculations'!AH65))</f>
        <v>619302.39003077999</v>
      </c>
      <c r="AN10" s="23">
        <f>(((('Intermediate calculations'!AI9/('Intermediate calculations'!AI64+0.27))*ttokg)/Constants!$H$21)/(365/'Intermediate calculations'!AI65))</f>
        <v>640380.5735615259</v>
      </c>
      <c r="AO10" s="23">
        <f>(((('Intermediate calculations'!AJ9/('Intermediate calculations'!AJ64+0.27))*ttokg)/Constants!$H$21)/(365/'Intermediate calculations'!AJ65))</f>
        <v>660416.42942310183</v>
      </c>
      <c r="AP10" s="23">
        <f>(((('Intermediate calculations'!AK9/('Intermediate calculations'!AK64+0.27))*ttokg)/Constants!$H$21)/(365/'Intermediate calculations'!AK65))</f>
        <v>683147.96159676858</v>
      </c>
      <c r="AQ10" s="23">
        <f>(((('Intermediate calculations'!AL9/('Intermediate calculations'!AL64+0.27))*ttokg)/Constants!$H$21)/(365/'Intermediate calculations'!AL65))</f>
        <v>704973.4882860753</v>
      </c>
      <c r="AR10" s="23">
        <f>(((('Intermediate calculations'!AM9/('Intermediate calculations'!AM64+0.27))*ttokg)/Constants!$H$21)/(365/'Intermediate calculations'!AM65))</f>
        <v>725037.26545712806</v>
      </c>
      <c r="AS10" s="23">
        <f>(((('Intermediate calculations'!AN9/('Intermediate calculations'!AN64+0.27))*ttokg)/Constants!$H$21)/(365/'Intermediate calculations'!AN65))</f>
        <v>744573.60736645909</v>
      </c>
      <c r="AT10" s="23">
        <f>(((('Intermediate calculations'!AO9/('Intermediate calculations'!AO64+0.27))*ttokg)/Constants!$H$21)/(365/'Intermediate calculations'!AO65))</f>
        <v>763219.69540430943</v>
      </c>
      <c r="AU10" s="23">
        <f>(((('Intermediate calculations'!AP9/('Intermediate calculations'!AP64+0.27))*ttokg)/Constants!$H$21)/(365/'Intermediate calculations'!AP65))</f>
        <v>786294.28883759666</v>
      </c>
      <c r="AV10" s="23">
        <f>(((('Intermediate calculations'!AQ9/('Intermediate calculations'!AQ64+0.27))*ttokg)/Constants!$H$21)/(365/'Intermediate calculations'!AQ65))</f>
        <v>809251.34714351199</v>
      </c>
      <c r="AW10" s="23">
        <f>(((('Intermediate calculations'!AR9/('Intermediate calculations'!AR64+0.27))*ttokg)/Constants!$H$21)/(365/'Intermediate calculations'!AR65))</f>
        <v>836391.97589655768</v>
      </c>
      <c r="AX10" s="23">
        <f>(((('Intermediate calculations'!AS9/('Intermediate calculations'!AS64+0.27))*ttokg)/Constants!$H$21)/(365/'Intermediate calculations'!AS65))</f>
        <v>868257.38924332429</v>
      </c>
      <c r="AY10" s="23">
        <f>(((('Intermediate calculations'!AT9/('Intermediate calculations'!AT64+0.27))*ttokg)/Constants!$H$21)/(365/'Intermediate calculations'!AT65))</f>
        <v>902748.4850613653</v>
      </c>
      <c r="AZ10" s="23">
        <f>(((('Intermediate calculations'!AU9/('Intermediate calculations'!AU64+0.27))*ttokg)/Constants!$H$21)/(365/'Intermediate calculations'!AU65))</f>
        <v>942576.92143542122</v>
      </c>
      <c r="BA10" s="23">
        <f>(((('Intermediate calculations'!AV9/('Intermediate calculations'!AV64+0.27))*ttokg)/Constants!$H$21)/(365/'Intermediate calculations'!AV65))</f>
        <v>975789.29901228903</v>
      </c>
      <c r="BB10" s="23">
        <f>(((('Intermediate calculations'!AW9/('Intermediate calculations'!AW64+0.27))*ttokg)/Constants!$H$21)/(365/'Intermediate calculations'!AW65))</f>
        <v>1008491.8597550213</v>
      </c>
      <c r="BC10" s="23">
        <f>(((('Intermediate calculations'!AX9/('Intermediate calculations'!AX64+0.27))*ttokg)/Constants!$H$21)/(365/'Intermediate calculations'!AX65))</f>
        <v>1044204.8393140868</v>
      </c>
      <c r="BD10" s="23">
        <f>(((('Intermediate calculations'!AY9/('Intermediate calculations'!AY64+0.27))*ttokg)/Constants!$H$21)/(365/'Intermediate calculations'!AY65))</f>
        <v>1079460.5100817608</v>
      </c>
      <c r="BE10" s="23">
        <f>(((('Intermediate calculations'!AZ9/('Intermediate calculations'!AZ64+0.27))*ttokg)/Constants!$H$21)/(365/'Intermediate calculations'!AZ65))</f>
        <v>1116679.640413017</v>
      </c>
      <c r="BF10" s="23">
        <f>(((('Intermediate calculations'!BA9/('Intermediate calculations'!BA64+0.27))*ttokg)/Constants!$H$21)/(365/'Intermediate calculations'!BA65))</f>
        <v>1154642.2293304717</v>
      </c>
      <c r="BG10" s="23">
        <f>(((('Intermediate calculations'!BB9/('Intermediate calculations'!BB64+0.27))*ttokg)/Constants!$H$21)/(365/'Intermediate calculations'!BB65))</f>
        <v>1195741.8238935631</v>
      </c>
      <c r="BH10" s="23">
        <f>(((('Intermediate calculations'!BC9/('Intermediate calculations'!BC64+0.27))*ttokg)/Constants!$H$21)/(365/'Intermediate calculations'!BC65))</f>
        <v>1236006.7460635048</v>
      </c>
      <c r="BI10" s="23">
        <f>(((('Intermediate calculations'!BD9/('Intermediate calculations'!BD64+0.27))*ttokg)/Constants!$H$21)/(365/'Intermediate calculations'!BD65))</f>
        <v>1277349.8189087121</v>
      </c>
      <c r="BJ10" s="23">
        <f>(((('Intermediate calculations'!BE9/('Intermediate calculations'!BE64+0.27))*ttokg)/Constants!$H$21)/(365/'Intermediate calculations'!BE65))</f>
        <v>1320300.1501313027</v>
      </c>
      <c r="BK10" s="23">
        <f>(((('Intermediate calculations'!BF9/('Intermediate calculations'!BF64+0.27))*ttokg)/Constants!$H$21)/(365/'Intermediate calculations'!BF65))</f>
        <v>1365087.2342331395</v>
      </c>
      <c r="BL10" s="23">
        <f>(((('Intermediate calculations'!BG9/('Intermediate calculations'!BG64+0.27))*ttokg)/Constants!$H$21)/(365/'Intermediate calculations'!BG65))</f>
        <v>1415598.2019334261</v>
      </c>
      <c r="BM10" s="23">
        <f>(((('Intermediate calculations'!BH9/('Intermediate calculations'!BH64+0.27))*ttokg)/Constants!$H$21)/(365/'Intermediate calculations'!BH65))</f>
        <v>1453408.0946325543</v>
      </c>
      <c r="BN10" s="23">
        <f>(((('Intermediate calculations'!BI9/('Intermediate calculations'!BI64+0.27))*ttokg)/Constants!$H$21)/(365/'Intermediate calculations'!BI65))</f>
        <v>1490813.8947051386</v>
      </c>
      <c r="BO10" s="23">
        <f>(((('Intermediate calculations'!BJ9/('Intermediate calculations'!BJ64+0.27))*ttokg)/Constants!$H$21)/(365/'Intermediate calculations'!BJ65))</f>
        <v>1529263.0874146733</v>
      </c>
      <c r="BP10" s="23">
        <f>(((('Intermediate calculations'!BK9/('Intermediate calculations'!BK64+0.27))*ttokg)/Constants!$H$21)/(365/'Intermediate calculations'!BK65))</f>
        <v>1568150.81584831</v>
      </c>
    </row>
    <row r="11" spans="1:72" x14ac:dyDescent="0.2">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19402059.805571087</v>
      </c>
      <c r="AM11" s="23">
        <f>('Intermediate calculations'!AH27*'Intermediate calculations'!AH28)*Constants!$H$22</f>
        <v>19431607.567735706</v>
      </c>
      <c r="AN11" s="23">
        <f>('Intermediate calculations'!AI27*'Intermediate calculations'!AI28)*Constants!$H$22</f>
        <v>19465003.610286124</v>
      </c>
      <c r="AO11" s="23">
        <f>('Intermediate calculations'!AJ27*'Intermediate calculations'!AJ28)*Constants!$H$22</f>
        <v>19502677.298853781</v>
      </c>
      <c r="AP11" s="23">
        <f>('Intermediate calculations'!AK27*'Intermediate calculations'!AK28)*Constants!$H$22</f>
        <v>19545057.4292056</v>
      </c>
      <c r="AQ11" s="23">
        <f>('Intermediate calculations'!AL27*'Intermediate calculations'!AL28)*Constants!$H$22</f>
        <v>19591260.285837401</v>
      </c>
      <c r="AR11" s="23">
        <f>('Intermediate calculations'!AM27*'Intermediate calculations'!AM28)*Constants!$H$22</f>
        <v>19619360.484399606</v>
      </c>
      <c r="AS11" s="23">
        <f>('Intermediate calculations'!AN27*'Intermediate calculations'!AN28)*Constants!$H$22</f>
        <v>19650746.790180359</v>
      </c>
      <c r="AT11" s="23">
        <f>('Intermediate calculations'!AO27*'Intermediate calculations'!AO28)*Constants!$H$22</f>
        <v>19685188.965580646</v>
      </c>
      <c r="AU11" s="23">
        <f>('Intermediate calculations'!AP27*'Intermediate calculations'!AP28)*Constants!$H$22</f>
        <v>19723466.805720448</v>
      </c>
      <c r="AV11" s="23">
        <f>('Intermediate calculations'!AQ27*'Intermediate calculations'!AQ28)*Constants!$H$22</f>
        <v>19764639.822497804</v>
      </c>
      <c r="AW11" s="23">
        <f>('Intermediate calculations'!AR27*'Intermediate calculations'!AR28)*Constants!$H$22</f>
        <v>19791543.543548547</v>
      </c>
      <c r="AX11" s="23">
        <f>('Intermediate calculations'!AS27*'Intermediate calculations'!AS28)*Constants!$H$22</f>
        <v>19821743.090667564</v>
      </c>
      <c r="AY11" s="23">
        <f>('Intermediate calculations'!AT27*'Intermediate calculations'!AT28)*Constants!$H$22</f>
        <v>19854756.020619072</v>
      </c>
      <c r="AZ11" s="23">
        <f>('Intermediate calculations'!AU27*'Intermediate calculations'!AU28)*Constants!$H$22</f>
        <v>19890925.179980893</v>
      </c>
      <c r="BA11" s="23">
        <f>('Intermediate calculations'!AV27*'Intermediate calculations'!AV28)*Constants!$H$22</f>
        <v>19928164.848790728</v>
      </c>
      <c r="BB11" s="23">
        <f>('Intermediate calculations'!AW27*'Intermediate calculations'!AW28)*Constants!$H$22</f>
        <v>19950988.116839856</v>
      </c>
      <c r="BC11" s="23">
        <f>('Intermediate calculations'!AX27*'Intermediate calculations'!AX28)*Constants!$H$22</f>
        <v>19976200.960562997</v>
      </c>
      <c r="BD11" s="23">
        <f>('Intermediate calculations'!AY27*'Intermediate calculations'!AY28)*Constants!$H$22</f>
        <v>20003160.68333599</v>
      </c>
      <c r="BE11" s="23">
        <f>('Intermediate calculations'!AZ27*'Intermediate calculations'!AZ28)*Constants!$H$22</f>
        <v>20032188.030124117</v>
      </c>
      <c r="BF11" s="23">
        <f>('Intermediate calculations'!BA27*'Intermediate calculations'!BA28)*Constants!$H$22</f>
        <v>20063020.695307191</v>
      </c>
      <c r="BG11" s="23">
        <f>('Intermediate calculations'!BB27*'Intermediate calculations'!BB28)*Constants!$H$22</f>
        <v>20080901.126407888</v>
      </c>
      <c r="BH11" s="23">
        <f>('Intermediate calculations'!BC27*'Intermediate calculations'!BC28)*Constants!$H$22</f>
        <v>20100133.841895282</v>
      </c>
      <c r="BI11" s="23">
        <f>('Intermediate calculations'!BD27*'Intermediate calculations'!BD28)*Constants!$H$22</f>
        <v>20120964.63763465</v>
      </c>
      <c r="BJ11" s="23">
        <f>('Intermediate calculations'!BE27*'Intermediate calculations'!BE28)*Constants!$H$22</f>
        <v>20143422.270244319</v>
      </c>
      <c r="BK11" s="23">
        <f>('Intermediate calculations'!BF27*'Intermediate calculations'!BF28)*Constants!$H$22</f>
        <v>20167491.040662095</v>
      </c>
      <c r="BL11" s="23">
        <f>('Intermediate calculations'!BG27*'Intermediate calculations'!BG28)*Constants!$H$22</f>
        <v>20178253.39496877</v>
      </c>
      <c r="BM11" s="23">
        <f>('Intermediate calculations'!BH27*'Intermediate calculations'!BH28)*Constants!$H$22</f>
        <v>20188270.578200433</v>
      </c>
      <c r="BN11" s="23">
        <f>('Intermediate calculations'!BI27*'Intermediate calculations'!BI28)*Constants!$H$22</f>
        <v>20199375.643923137</v>
      </c>
      <c r="BO11" s="23">
        <f>('Intermediate calculations'!BJ27*'Intermediate calculations'!BJ28)*Constants!$H$22</f>
        <v>20211746.595544606</v>
      </c>
      <c r="BP11" s="23">
        <f>('Intermediate calculations'!BK27*'Intermediate calculations'!BK28)*Constants!$H$22</f>
        <v>20225256.082791496</v>
      </c>
    </row>
    <row r="12" spans="1:72" x14ac:dyDescent="0.2">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2899158.361752002</v>
      </c>
      <c r="AM12" s="23">
        <f>('Intermediate calculations'!AH27*'Intermediate calculations'!AH28)*(1-Constants!$H$22)</f>
        <v>2903573.544604186</v>
      </c>
      <c r="AN12" s="23">
        <f>('Intermediate calculations'!AI27*'Intermediate calculations'!AI28)*(1-Constants!$H$22)</f>
        <v>2908563.7578588463</v>
      </c>
      <c r="AO12" s="23">
        <f>('Intermediate calculations'!AJ27*'Intermediate calculations'!AJ28)*(1-Constants!$H$22)</f>
        <v>2914193.1595988413</v>
      </c>
      <c r="AP12" s="23">
        <f>('Intermediate calculations'!AK27*'Intermediate calculations'!AK28)*(1-Constants!$H$22)</f>
        <v>2920525.8227548599</v>
      </c>
      <c r="AQ12" s="23">
        <f>('Intermediate calculations'!AL27*'Intermediate calculations'!AL28)*(1-Constants!$H$22)</f>
        <v>2927429.6978837498</v>
      </c>
      <c r="AR12" s="23">
        <f>('Intermediate calculations'!AM27*'Intermediate calculations'!AM28)*(1-Constants!$H$22)</f>
        <v>2931628.5781286769</v>
      </c>
      <c r="AS12" s="23">
        <f>('Intermediate calculations'!AN27*'Intermediate calculations'!AN28)*(1-Constants!$H$22)</f>
        <v>2936318.485889019</v>
      </c>
      <c r="AT12" s="23">
        <f>('Intermediate calculations'!AO27*'Intermediate calculations'!AO28)*(1-Constants!$H$22)</f>
        <v>2941465.0178453843</v>
      </c>
      <c r="AU12" s="23">
        <f>('Intermediate calculations'!AP27*'Intermediate calculations'!AP28)*(1-Constants!$H$22)</f>
        <v>2947184.6951076533</v>
      </c>
      <c r="AV12" s="23">
        <f>('Intermediate calculations'!AQ27*'Intermediate calculations'!AQ28)*(1-Constants!$H$22)</f>
        <v>2953336.9849709361</v>
      </c>
      <c r="AW12" s="23">
        <f>('Intermediate calculations'!AR27*'Intermediate calculations'!AR28)*(1-Constants!$H$22)</f>
        <v>2957357.0812198976</v>
      </c>
      <c r="AX12" s="23">
        <f>('Intermediate calculations'!AS27*'Intermediate calculations'!AS28)*(1-Constants!$H$22)</f>
        <v>2961869.6572261876</v>
      </c>
      <c r="AY12" s="23">
        <f>('Intermediate calculations'!AT27*'Intermediate calculations'!AT28)*(1-Constants!$H$22)</f>
        <v>2966802.6237706658</v>
      </c>
      <c r="AZ12" s="23">
        <f>('Intermediate calculations'!AU27*'Intermediate calculations'!AU28)*(1-Constants!$H$22)</f>
        <v>2972207.2108017425</v>
      </c>
      <c r="BA12" s="23">
        <f>('Intermediate calculations'!AV27*'Intermediate calculations'!AV28)*(1-Constants!$H$22)</f>
        <v>2977771.7590147066</v>
      </c>
      <c r="BB12" s="23">
        <f>('Intermediate calculations'!AW27*'Intermediate calculations'!AW28)*(1-Constants!$H$22)</f>
        <v>2981182.1324013579</v>
      </c>
      <c r="BC12" s="23">
        <f>('Intermediate calculations'!AX27*'Intermediate calculations'!AX28)*(1-Constants!$H$22)</f>
        <v>2984949.568819758</v>
      </c>
      <c r="BD12" s="23">
        <f>('Intermediate calculations'!AY27*'Intermediate calculations'!AY28)*(1-Constants!$H$22)</f>
        <v>2988978.0331421597</v>
      </c>
      <c r="BE12" s="23">
        <f>('Intermediate calculations'!AZ27*'Intermediate calculations'!AZ28)*(1-Constants!$H$22)</f>
        <v>2993315.4527771669</v>
      </c>
      <c r="BF12" s="23">
        <f>('Intermediate calculations'!BA27*'Intermediate calculations'!BA28)*(1-Constants!$H$22)</f>
        <v>2997922.6326321093</v>
      </c>
      <c r="BG12" s="23">
        <f>('Intermediate calculations'!BB27*'Intermediate calculations'!BB28)*(1-Constants!$H$22)</f>
        <v>3000594.4211873859</v>
      </c>
      <c r="BH12" s="23">
        <f>('Intermediate calculations'!BC27*'Intermediate calculations'!BC28)*(1-Constants!$H$22)</f>
        <v>3003468.275225732</v>
      </c>
      <c r="BI12" s="23">
        <f>('Intermediate calculations'!BD27*'Intermediate calculations'!BD28)*(1-Constants!$H$22)</f>
        <v>3006580.9228649479</v>
      </c>
      <c r="BJ12" s="23">
        <f>('Intermediate calculations'!BE27*'Intermediate calculations'!BE28)*(1-Constants!$H$22)</f>
        <v>3009936.6610709904</v>
      </c>
      <c r="BK12" s="23">
        <f>('Intermediate calculations'!BF27*'Intermediate calculations'!BF28)*(1-Constants!$H$22)</f>
        <v>3013533.1440069797</v>
      </c>
      <c r="BL12" s="23">
        <f>('Intermediate calculations'!BG27*'Intermediate calculations'!BG28)*(1-Constants!$H$22)</f>
        <v>3015141.311891885</v>
      </c>
      <c r="BM12" s="23">
        <f>('Intermediate calculations'!BH27*'Intermediate calculations'!BH28)*(1-Constants!$H$22)</f>
        <v>3016638.1323747775</v>
      </c>
      <c r="BN12" s="23">
        <f>('Intermediate calculations'!BI27*'Intermediate calculations'!BI28)*(1-Constants!$H$22)</f>
        <v>3018297.5100115035</v>
      </c>
      <c r="BO12" s="23">
        <f>('Intermediate calculations'!BJ27*'Intermediate calculations'!BJ28)*(1-Constants!$H$22)</f>
        <v>3020146.0430124127</v>
      </c>
      <c r="BP12" s="23">
        <f>('Intermediate calculations'!BK27*'Intermediate calculations'!BK28)*(1-Constants!$H$22)</f>
        <v>3022164.7020263155</v>
      </c>
    </row>
    <row r="13" spans="1:72" x14ac:dyDescent="0.2">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2068089.0408217213</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2089915.8268703569</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2125847.6846541637</v>
      </c>
      <c r="AK13" s="23">
        <f>'Intermediate calculations'!AF22*'Intermediate calculations'!AF25*Constants!$H$23</f>
        <v>2139834.1013227375</v>
      </c>
      <c r="AL13" s="23">
        <f>'Intermediate calculations'!AG22*'Intermediate calculations'!AG25*Constants!$H$23</f>
        <v>2152683.4377599582</v>
      </c>
      <c r="AM13" s="23">
        <f>'Intermediate calculations'!AH22*'Intermediate calculations'!AH25*Constants!$H$23</f>
        <v>2158938.7090060171</v>
      </c>
      <c r="AN13" s="23">
        <f>'Intermediate calculations'!AI22*'Intermediate calculations'!AI25*Constants!$H$23</f>
        <v>2165662.0711804889</v>
      </c>
      <c r="AO13" s="23">
        <f>'Intermediate calculations'!AJ22*'Intermediate calculations'!AJ25*Constants!$H$23</f>
        <v>2172935.7450459148</v>
      </c>
      <c r="AP13" s="23">
        <f>'Intermediate calculations'!AK22*'Intermediate calculations'!AK25*Constants!$H$23</f>
        <v>2180839.5935468497</v>
      </c>
      <c r="AQ13" s="23">
        <f>'Intermediate calculations'!AL22*'Intermediate calculations'!AL25*Constants!$H$23</f>
        <v>2189232.9803399076</v>
      </c>
      <c r="AR13" s="23">
        <f>'Intermediate calculations'!AM22*'Intermediate calculations'!AM25*Constants!$H$23</f>
        <v>2194480.1718532471</v>
      </c>
      <c r="AS13" s="23">
        <f>'Intermediate calculations'!AN22*'Intermediate calculations'!AN25*Constants!$H$23</f>
        <v>2200156.2435630234</v>
      </c>
      <c r="AT13" s="23">
        <f>'Intermediate calculations'!AO22*'Intermediate calculations'!AO25*Constants!$H$23</f>
        <v>2206227.8120205179</v>
      </c>
      <c r="AU13" s="23">
        <f>'Intermediate calculations'!AP22*'Intermediate calculations'!AP25*Constants!$H$23</f>
        <v>2212827.8157270025</v>
      </c>
      <c r="AV13" s="23">
        <f>'Intermediate calculations'!AQ22*'Intermediate calculations'!AQ25*Constants!$H$23</f>
        <v>2219804.216870348</v>
      </c>
      <c r="AW13" s="23">
        <f>'Intermediate calculations'!AR22*'Intermediate calculations'!AR25*Constants!$H$23</f>
        <v>2224339.625371106</v>
      </c>
      <c r="AX13" s="23">
        <f>'Intermediate calculations'!AS22*'Intermediate calculations'!AS25*Constants!$H$23</f>
        <v>2229334.7814680873</v>
      </c>
      <c r="AY13" s="23">
        <f>'Intermediate calculations'!AT22*'Intermediate calculations'!AT25*Constants!$H$23</f>
        <v>2234712.4414722072</v>
      </c>
      <c r="AZ13" s="23">
        <f>'Intermediate calculations'!AU22*'Intermediate calculations'!AU25*Constants!$H$23</f>
        <v>2240530.4774829135</v>
      </c>
      <c r="BA13" s="23">
        <f>'Intermediate calculations'!AV22*'Intermediate calculations'!AV25*Constants!$H$23</f>
        <v>2246450.0955861607</v>
      </c>
      <c r="BB13" s="23">
        <f>'Intermediate calculations'!AW22*'Intermediate calculations'!AW25*Constants!$H$23</f>
        <v>2249954.1431548325</v>
      </c>
      <c r="BC13" s="23">
        <f>'Intermediate calculations'!AX22*'Intermediate calculations'!AX25*Constants!$H$23</f>
        <v>2253789.0520302244</v>
      </c>
      <c r="BD13" s="23">
        <f>'Intermediate calculations'!AY22*'Intermediate calculations'!AY25*Constants!$H$23</f>
        <v>2257851.607376975</v>
      </c>
      <c r="BE13" s="23">
        <f>'Intermediate calculations'!AZ22*'Intermediate calculations'!AZ25*Constants!$H$23</f>
        <v>2262195.086424592</v>
      </c>
      <c r="BF13" s="23">
        <f>'Intermediate calculations'!BA22*'Intermediate calculations'!BA25*Constants!$H$23</f>
        <v>2266778.0376464408</v>
      </c>
      <c r="BG13" s="23">
        <f>'Intermediate calculations'!BB22*'Intermediate calculations'!BB25*Constants!$H$23</f>
        <v>2269221.792731313</v>
      </c>
      <c r="BH13" s="23">
        <f>'Intermediate calculations'!BC22*'Intermediate calculations'!BC25*Constants!$H$23</f>
        <v>2271842.242462297</v>
      </c>
      <c r="BI13" s="23">
        <f>'Intermediate calculations'!BD22*'Intermediate calculations'!BD25*Constants!$H$23</f>
        <v>2274679.8114960734</v>
      </c>
      <c r="BJ13" s="23">
        <f>'Intermediate calculations'!BE22*'Intermediate calculations'!BE25*Constants!$H$23</f>
        <v>2277739.7261954225</v>
      </c>
      <c r="BK13" s="23">
        <f>'Intermediate calculations'!BF22*'Intermediate calculations'!BF25*Constants!$H$23</f>
        <v>2281019.9664113745</v>
      </c>
      <c r="BL13" s="23">
        <f>'Intermediate calculations'!BG22*'Intermediate calculations'!BG25*Constants!$H$23</f>
        <v>2282135.8267613356</v>
      </c>
      <c r="BM13" s="23">
        <f>'Intermediate calculations'!BH22*'Intermediate calculations'!BH25*Constants!$H$23</f>
        <v>2283104.4438067642</v>
      </c>
      <c r="BN13" s="23">
        <f>'Intermediate calculations'!BI22*'Intermediate calculations'!BI25*Constants!$H$23</f>
        <v>2284219.8862704039</v>
      </c>
      <c r="BO13" s="23">
        <f>'Intermediate calculations'!BJ22*'Intermediate calculations'!BJ25*Constants!$H$23</f>
        <v>2285510.9119560551</v>
      </c>
      <c r="BP13" s="23">
        <f>'Intermediate calculations'!BK22*'Intermediate calculations'!BK25*Constants!$H$23</f>
        <v>2286957.5303185903</v>
      </c>
    </row>
    <row r="14" spans="1:72" x14ac:dyDescent="0.2">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4014525.785124517</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4056895.4286306924</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4126645.5055051409</v>
      </c>
      <c r="AK14" s="23">
        <f>'Intermediate calculations'!AF22*'Intermediate calculations'!AF25*(1-Constants!$H$23)</f>
        <v>4153795.6084500193</v>
      </c>
      <c r="AL14" s="23">
        <f>'Intermediate calculations'!AG22*'Intermediate calculations'!AG25*(1-Constants!$H$23)</f>
        <v>4178738.4380046236</v>
      </c>
      <c r="AM14" s="23">
        <f>'Intermediate calculations'!AH22*'Intermediate calculations'!AH25*(1-Constants!$H$23)</f>
        <v>4190881.0233646203</v>
      </c>
      <c r="AN14" s="23">
        <f>'Intermediate calculations'!AI22*'Intermediate calculations'!AI25*(1-Constants!$H$23)</f>
        <v>4203932.2558209486</v>
      </c>
      <c r="AO14" s="23">
        <f>'Intermediate calculations'!AJ22*'Intermediate calculations'!AJ25*(1-Constants!$H$23)</f>
        <v>4218051.740383246</v>
      </c>
      <c r="AP14" s="23">
        <f>'Intermediate calculations'!AK22*'Intermediate calculations'!AK25*(1-Constants!$H$23)</f>
        <v>4233394.5051203547</v>
      </c>
      <c r="AQ14" s="23">
        <f>'Intermediate calculations'!AL22*'Intermediate calculations'!AL25*(1-Constants!$H$23)</f>
        <v>4249687.5500715841</v>
      </c>
      <c r="AR14" s="23">
        <f>'Intermediate calculations'!AM22*'Intermediate calculations'!AM25*(1-Constants!$H$23)</f>
        <v>4259873.2747739498</v>
      </c>
      <c r="AS14" s="23">
        <f>'Intermediate calculations'!AN22*'Intermediate calculations'!AN25*(1-Constants!$H$23)</f>
        <v>4270891.531622339</v>
      </c>
      <c r="AT14" s="23">
        <f>'Intermediate calculations'!AO22*'Intermediate calculations'!AO25*(1-Constants!$H$23)</f>
        <v>4282677.5174515927</v>
      </c>
      <c r="AU14" s="23">
        <f>'Intermediate calculations'!AP22*'Intermediate calculations'!AP25*(1-Constants!$H$23)</f>
        <v>4295489.2893524161</v>
      </c>
      <c r="AV14" s="23">
        <f>'Intermediate calculations'!AQ22*'Intermediate calculations'!AQ25*(1-Constants!$H$23)</f>
        <v>4309031.7151012635</v>
      </c>
      <c r="AW14" s="23">
        <f>'Intermediate calculations'!AR22*'Intermediate calculations'!AR25*(1-Constants!$H$23)</f>
        <v>4317835.7433674401</v>
      </c>
      <c r="AX14" s="23">
        <f>'Intermediate calculations'!AS22*'Intermediate calculations'!AS25*(1-Constants!$H$23)</f>
        <v>4327532.2228498161</v>
      </c>
      <c r="AY14" s="23">
        <f>'Intermediate calculations'!AT22*'Intermediate calculations'!AT25*(1-Constants!$H$23)</f>
        <v>4337971.2099166373</v>
      </c>
      <c r="AZ14" s="23">
        <f>'Intermediate calculations'!AU22*'Intermediate calculations'!AU25*(1-Constants!$H$23)</f>
        <v>4349265.044525655</v>
      </c>
      <c r="BA14" s="23">
        <f>'Intermediate calculations'!AV22*'Intermediate calculations'!AV25*(1-Constants!$H$23)</f>
        <v>4360756.0679025464</v>
      </c>
      <c r="BB14" s="23">
        <f>'Intermediate calculations'!AW22*'Intermediate calculations'!AW25*(1-Constants!$H$23)</f>
        <v>4367558.042594674</v>
      </c>
      <c r="BC14" s="23">
        <f>'Intermediate calculations'!AX22*'Intermediate calculations'!AX25*(1-Constants!$H$23)</f>
        <v>4375002.277470435</v>
      </c>
      <c r="BD14" s="23">
        <f>'Intermediate calculations'!AY22*'Intermediate calculations'!AY25*(1-Constants!$H$23)</f>
        <v>4382888.4143200098</v>
      </c>
      <c r="BE14" s="23">
        <f>'Intermediate calculations'!AZ22*'Intermediate calculations'!AZ25*(1-Constants!$H$23)</f>
        <v>4391319.8736477364</v>
      </c>
      <c r="BF14" s="23">
        <f>'Intermediate calculations'!BA22*'Intermediate calculations'!BA25*(1-Constants!$H$23)</f>
        <v>4400216.190725443</v>
      </c>
      <c r="BG14" s="23">
        <f>'Intermediate calculations'!BB22*'Intermediate calculations'!BB25*(1-Constants!$H$23)</f>
        <v>4404959.9505960774</v>
      </c>
      <c r="BH14" s="23">
        <f>'Intermediate calculations'!BC22*'Intermediate calculations'!BC25*(1-Constants!$H$23)</f>
        <v>4410046.7059562225</v>
      </c>
      <c r="BI14" s="23">
        <f>'Intermediate calculations'!BD22*'Intermediate calculations'!BD25*(1-Constants!$H$23)</f>
        <v>4415554.9281982593</v>
      </c>
      <c r="BJ14" s="23">
        <f>'Intermediate calculations'!BE22*'Intermediate calculations'!BE25*(1-Constants!$H$23)</f>
        <v>4421494.7626146432</v>
      </c>
      <c r="BK14" s="23">
        <f>'Intermediate calculations'!BF22*'Intermediate calculations'!BF25*(1-Constants!$H$23)</f>
        <v>4427862.2877397267</v>
      </c>
      <c r="BL14" s="23">
        <f>'Intermediate calculations'!BG22*'Intermediate calculations'!BG25*(1-Constants!$H$23)</f>
        <v>4430028.3695955332</v>
      </c>
      <c r="BM14" s="23">
        <f>'Intermediate calculations'!BH22*'Intermediate calculations'!BH25*(1-Constants!$H$23)</f>
        <v>4431908.6262131296</v>
      </c>
      <c r="BN14" s="23">
        <f>'Intermediate calculations'!BI22*'Intermediate calculations'!BI25*(1-Constants!$H$23)</f>
        <v>4434073.896877842</v>
      </c>
      <c r="BO14" s="23">
        <f>'Intermediate calculations'!BJ22*'Intermediate calculations'!BJ25*(1-Constants!$H$23)</f>
        <v>4436580.0055617532</v>
      </c>
      <c r="BP14" s="23">
        <f>'Intermediate calculations'!BK22*'Intermediate calculations'!BK25*(1-Constants!$H$23)</f>
        <v>4439388.1470890269</v>
      </c>
    </row>
    <row r="15" spans="1:72" x14ac:dyDescent="0.2">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309973.53172331402</v>
      </c>
      <c r="AF15" s="23">
        <f>((Data!$AJ$61*((Drivers!AB5*1000000)/Drivers!AB4))+Data!$AK$61)</f>
        <v>312241.56810798903</v>
      </c>
      <c r="AG15" s="23">
        <f>((Data!$AJ$61*((Drivers!AC5*1000000)/Drivers!AC4))+Data!$AK$61)</f>
        <v>312726.42527824303</v>
      </c>
      <c r="AH15" s="23">
        <f>((Data!$AJ$61*((Drivers!AD5*1000000)/Drivers!AD4))+Data!$AK$61)</f>
        <v>312032.30780712381</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291921.37906536442</v>
      </c>
      <c r="AM15" s="23">
        <f>((Data!$AJ$61*((Drivers!AI5*1000000)/Drivers!AI4))+Data!$AK$61)</f>
        <v>295985.82582631079</v>
      </c>
      <c r="AN15" s="23">
        <f>((Data!$AJ$61*((Drivers!AJ5*1000000)/Drivers!AJ4))+Data!$AK$61)</f>
        <v>298729.54882348579</v>
      </c>
      <c r="AO15" s="23">
        <f>((Data!$AJ$61*((Drivers!AK5*1000000)/Drivers!AK4))+Data!$AK$61)</f>
        <v>301114.17187224014</v>
      </c>
      <c r="AP15" s="23">
        <f>((Data!$AJ$61*((Drivers!AL5*1000000)/Drivers!AL4))+Data!$AK$61)</f>
        <v>304034.35602372541</v>
      </c>
      <c r="AQ15" s="23">
        <f>((Data!$AJ$61*((Drivers!AM5*1000000)/Drivers!AM4))+Data!$AK$61)</f>
        <v>306628.2949625476</v>
      </c>
      <c r="AR15" s="23">
        <f>((Data!$AJ$61*((Drivers!AN5*1000000)/Drivers!AN4))+Data!$AK$61)</f>
        <v>309017.46349518612</v>
      </c>
      <c r="AS15" s="23">
        <f>((Data!$AJ$61*((Drivers!AO5*1000000)/Drivers!AO4))+Data!$AK$61)</f>
        <v>311201.05815548857</v>
      </c>
      <c r="AT15" s="23">
        <f>((Data!$AJ$61*((Drivers!AP5*1000000)/Drivers!AP4))+Data!$AK$61)</f>
        <v>313104.08250333113</v>
      </c>
      <c r="AU15" s="23">
        <f>((Data!$AJ$61*((Drivers!AQ5*1000000)/Drivers!AQ4))+Data!$AK$61)</f>
        <v>315912.34319351229</v>
      </c>
      <c r="AV15" s="23">
        <f>((Data!$AJ$61*((Drivers!AR5*1000000)/Drivers!AR4))+Data!$AK$61)</f>
        <v>318597.84534178313</v>
      </c>
      <c r="AW15" s="23">
        <f>((Data!$AJ$61*((Drivers!AS5*1000000)/Drivers!AS4))+Data!$AK$61)</f>
        <v>321877.18703011889</v>
      </c>
      <c r="AX15" s="23">
        <f>((Data!$AJ$61*((Drivers!AT5*1000000)/Drivers!AT4))+Data!$AK$61)</f>
        <v>326040.49482535676</v>
      </c>
      <c r="AY15" s="23">
        <f>((Data!$AJ$61*((Drivers!AU5*1000000)/Drivers!AU4))+Data!$AK$61)</f>
        <v>330609.65967355168</v>
      </c>
      <c r="AZ15" s="23">
        <f>((Data!$AJ$61*((Drivers!AV5*1000000)/Drivers!AV4))+Data!$AK$61)</f>
        <v>336126.71967170568</v>
      </c>
      <c r="BA15" s="23">
        <f>((Data!$AJ$61*((Drivers!AW5*1000000)/Drivers!AW4))+Data!$AK$61)</f>
        <v>340111.70849910099</v>
      </c>
      <c r="BB15" s="23">
        <f>((Data!$AJ$61*((Drivers!AX5*1000000)/Drivers!AX4))+Data!$AK$61)</f>
        <v>344118.38134988002</v>
      </c>
      <c r="BC15" s="23">
        <f>((Data!$AJ$61*((Drivers!AY5*1000000)/Drivers!AY4))+Data!$AK$61)</f>
        <v>348598.30481184355</v>
      </c>
      <c r="BD15" s="23">
        <f>((Data!$AJ$61*((Drivers!AZ5*1000000)/Drivers!AZ4))+Data!$AK$61)</f>
        <v>352850.53380053723</v>
      </c>
      <c r="BE15" s="23">
        <f>((Data!$AJ$61*((Drivers!BA5*1000000)/Drivers!BA4))+Data!$AK$61)</f>
        <v>357351.57736563648</v>
      </c>
      <c r="BF15" s="23">
        <f>((Data!$AJ$61*((Drivers!BB5*1000000)/Drivers!BB4))+Data!$AK$61)</f>
        <v>361856.43746899324</v>
      </c>
      <c r="BG15" s="23">
        <f>((Data!$AJ$61*((Drivers!BC5*1000000)/Drivers!BC4))+Data!$AK$61)</f>
        <v>367367.57398319745</v>
      </c>
      <c r="BH15" s="23">
        <f>((Data!$AJ$61*((Drivers!BD5*1000000)/Drivers!BD4))+Data!$AK$61)</f>
        <v>372592.97381051572</v>
      </c>
      <c r="BI15" s="23">
        <f>((Data!$AJ$61*((Drivers!BE5*1000000)/Drivers!BE4))+Data!$AK$61)</f>
        <v>377895.69074115017</v>
      </c>
      <c r="BJ15" s="23">
        <f>((Data!$AJ$61*((Drivers!BF5*1000000)/Drivers!BF4))+Data!$AK$61)</f>
        <v>383369.51671880484</v>
      </c>
      <c r="BK15" s="23">
        <f>((Data!$AJ$61*((Drivers!BG5*1000000)/Drivers!BG4))+Data!$AK$61)</f>
        <v>389049.81017769384</v>
      </c>
      <c r="BL15" s="23">
        <f>((Data!$AJ$61*((Drivers!BH5*1000000)/Drivers!BH4))+Data!$AK$61)</f>
        <v>395931.15498147684</v>
      </c>
      <c r="BM15" s="23">
        <f>((Data!$AJ$61*((Drivers!BI5*1000000)/Drivers!BI4))+Data!$AK$61)</f>
        <v>400397.69292799069</v>
      </c>
      <c r="BN15" s="23">
        <f>((Data!$AJ$61*((Drivers!BJ5*1000000)/Drivers!BJ4))+Data!$AK$61)</f>
        <v>404697.59184527537</v>
      </c>
      <c r="BO15" s="23">
        <f>((Data!$AJ$61*((Drivers!BK5*1000000)/Drivers!BK4))+Data!$AK$61)</f>
        <v>409089.38845798641</v>
      </c>
      <c r="BP15" s="23">
        <f>((Data!$AJ$61*((Drivers!BL5*1000000)/Drivers!BL4))+Data!$AK$61)</f>
        <v>413464.08309307916</v>
      </c>
    </row>
    <row r="16" spans="1:72" x14ac:dyDescent="0.2">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2">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1656046.9024620031</v>
      </c>
      <c r="AE17" s="23">
        <f>'Intermediate calculations'!Z32*'Intermediate calculations'!Z33*Constants!$H$24</f>
        <v>1647045.1860532654</v>
      </c>
      <c r="AF17" s="23">
        <f>'Intermediate calculations'!AA32*'Intermediate calculations'!AA33*Constants!$H$24</f>
        <v>1647784.0190100395</v>
      </c>
      <c r="AG17" s="23">
        <f>'Intermediate calculations'!AB32*'Intermediate calculations'!AB33*Constants!$H$24</f>
        <v>1632656.0990208655</v>
      </c>
      <c r="AH17" s="23">
        <f>'Intermediate calculations'!AC32*'Intermediate calculations'!AC33*Constants!$H$24</f>
        <v>1607948.7164639288</v>
      </c>
      <c r="AI17" s="23">
        <f>'Intermediate calculations'!AD32*'Intermediate calculations'!AD33*Constants!$H$24</f>
        <v>1574056.8450456362</v>
      </c>
      <c r="AJ17" s="23">
        <f>'Intermediate calculations'!AE32*'Intermediate calculations'!AE33*Constants!$H$24</f>
        <v>1549447.5878836233</v>
      </c>
      <c r="AK17" s="23">
        <f>'Intermediate calculations'!AF32*'Intermediate calculations'!AF33*Constants!$H$24</f>
        <v>1527015.9199472498</v>
      </c>
      <c r="AL17" s="23">
        <f>'Intermediate calculations'!AG32*'Intermediate calculations'!AG33*Constants!$H$24</f>
        <v>1360561.8976403926</v>
      </c>
      <c r="AM17" s="23">
        <f>'Intermediate calculations'!AH32*'Intermediate calculations'!AH33*Constants!$H$24</f>
        <v>1381804.6743820277</v>
      </c>
      <c r="AN17" s="23">
        <f>'Intermediate calculations'!AI32*'Intermediate calculations'!AI33*Constants!$H$24</f>
        <v>1390826.6767399318</v>
      </c>
      <c r="AO17" s="23">
        <f>'Intermediate calculations'!AJ32*'Intermediate calculations'!AJ33*Constants!$H$24</f>
        <v>1396768.3413783726</v>
      </c>
      <c r="AP17" s="23">
        <f>'Intermediate calculations'!AK32*'Intermediate calculations'!AK33*Constants!$H$24</f>
        <v>1407770.3834708387</v>
      </c>
      <c r="AQ17" s="23">
        <f>'Intermediate calculations'!AL32*'Intermediate calculations'!AL33*Constants!$H$24</f>
        <v>1415964.7783945638</v>
      </c>
      <c r="AR17" s="23">
        <f>'Intermediate calculations'!AM32*'Intermediate calculations'!AM33*Constants!$H$24</f>
        <v>1420263.0425168015</v>
      </c>
      <c r="AS17" s="23">
        <f>'Intermediate calculations'!AN32*'Intermediate calculations'!AN33*Constants!$H$24</f>
        <v>1422896.5648369009</v>
      </c>
      <c r="AT17" s="23">
        <f>'Intermediate calculations'!AO32*'Intermediate calculations'!AO33*Constants!$H$24</f>
        <v>1423253.805520334</v>
      </c>
      <c r="AU17" s="23">
        <f>'Intermediate calculations'!AP32*'Intermediate calculations'!AP33*Constants!$H$24</f>
        <v>1431518.6125847399</v>
      </c>
      <c r="AV17" s="23">
        <f>'Intermediate calculations'!AQ32*'Intermediate calculations'!AQ33*Constants!$H$24</f>
        <v>1438737.8705454522</v>
      </c>
      <c r="AW17" s="23">
        <f>'Intermediate calculations'!AR32*'Intermediate calculations'!AR33*Constants!$H$24</f>
        <v>1449125.0678670886</v>
      </c>
      <c r="AX17" s="23">
        <f>'Intermediate calculations'!AS32*'Intermediate calculations'!AS33*Constants!$H$24</f>
        <v>1466671.0072109431</v>
      </c>
      <c r="AY17" s="23">
        <f>'Intermediate calculations'!AT32*'Intermediate calculations'!AT33*Constants!$H$24</f>
        <v>1487218.2782866484</v>
      </c>
      <c r="AZ17" s="23">
        <f>'Intermediate calculations'!AU32*'Intermediate calculations'!AU33*Constants!$H$24</f>
        <v>1515037.6195571562</v>
      </c>
      <c r="BA17" s="23">
        <f>'Intermediate calculations'!AV32*'Intermediate calculations'!AV33*Constants!$H$24</f>
        <v>1530055.7085372049</v>
      </c>
      <c r="BB17" s="23">
        <f>'Intermediate calculations'!AW32*'Intermediate calculations'!AW33*Constants!$H$24</f>
        <v>1543172.4885533513</v>
      </c>
      <c r="BC17" s="23">
        <f>'Intermediate calculations'!AX32*'Intermediate calculations'!AX33*Constants!$H$24</f>
        <v>1559656.5223196864</v>
      </c>
      <c r="BD17" s="23">
        <f>'Intermediate calculations'!AY32*'Intermediate calculations'!AY33*Constants!$H$24</f>
        <v>1573968.2125684638</v>
      </c>
      <c r="BE17" s="23">
        <f>'Intermediate calculations'!AZ32*'Intermediate calculations'!AZ33*Constants!$H$24</f>
        <v>1589803.9497701789</v>
      </c>
      <c r="BF17" s="23">
        <f>'Intermediate calculations'!BA32*'Intermediate calculations'!BA33*Constants!$H$24</f>
        <v>1605250.4683514764</v>
      </c>
      <c r="BG17" s="23">
        <f>'Intermediate calculations'!BB32*'Intermediate calculations'!BB33*Constants!$H$24</f>
        <v>1626046.6656004584</v>
      </c>
      <c r="BH17" s="23">
        <f>'Intermediate calculations'!BC32*'Intermediate calculations'!BC33*Constants!$H$24</f>
        <v>1644105.3882065681</v>
      </c>
      <c r="BI17" s="23">
        <f>'Intermediate calculations'!BD32*'Intermediate calculations'!BD33*Constants!$H$24</f>
        <v>1662148.0618729165</v>
      </c>
      <c r="BJ17" s="23">
        <f>'Intermediate calculations'!BE32*'Intermediate calculations'!BE33*Constants!$H$24</f>
        <v>1680831.5353934944</v>
      </c>
      <c r="BK17" s="23">
        <f>'Intermediate calculations'!BF32*'Intermediate calculations'!BF33*Constants!$H$24</f>
        <v>1700365.829233668</v>
      </c>
      <c r="BL17" s="23">
        <f>'Intermediate calculations'!BG32*'Intermediate calculations'!BG33*Constants!$H$24</f>
        <v>1725822.8657784231</v>
      </c>
      <c r="BM17" s="23">
        <f>'Intermediate calculations'!BH32*'Intermediate calculations'!BH33*Constants!$H$24</f>
        <v>1733706.6944804727</v>
      </c>
      <c r="BN17" s="23">
        <f>'Intermediate calculations'!BI32*'Intermediate calculations'!BI33*Constants!$H$24</f>
        <v>1740003.6246735614</v>
      </c>
      <c r="BO17" s="23">
        <f>'Intermediate calculations'!BJ32*'Intermediate calculations'!BJ33*Constants!$H$24</f>
        <v>1746497.5840806407</v>
      </c>
      <c r="BP17" s="23">
        <f>'Intermediate calculations'!BK32*'Intermediate calculations'!BK33*Constants!$H$24</f>
        <v>1752440.9351581417</v>
      </c>
    </row>
    <row r="18" spans="1:72" x14ac:dyDescent="0.2">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225824.57760845494</v>
      </c>
      <c r="AE18" s="23">
        <f>'Intermediate calculations'!Z32*'Intermediate calculations'!Z33*(1-Constants!$H$24)</f>
        <v>224597.07082544526</v>
      </c>
      <c r="AF18" s="23">
        <f>'Intermediate calculations'!AA32*'Intermediate calculations'!AA33*(1-Constants!$H$24)</f>
        <v>224697.8207740963</v>
      </c>
      <c r="AG18" s="23">
        <f>'Intermediate calculations'!AB32*'Intermediate calculations'!AB33*(1-Constants!$H$24)</f>
        <v>222634.9225937544</v>
      </c>
      <c r="AH18" s="23">
        <f>'Intermediate calculations'!AC32*'Intermediate calculations'!AC33*(1-Constants!$H$24)</f>
        <v>219265.73406326302</v>
      </c>
      <c r="AI18" s="23">
        <f>'Intermediate calculations'!AD32*'Intermediate calculations'!AD33*(1-Constants!$H$24)</f>
        <v>214644.11523349583</v>
      </c>
      <c r="AJ18" s="23">
        <f>'Intermediate calculations'!AE32*'Intermediate calculations'!AE33*(1-Constants!$H$24)</f>
        <v>211288.3074386759</v>
      </c>
      <c r="AK18" s="23">
        <f>'Intermediate calculations'!AF32*'Intermediate calculations'!AF33*(1-Constants!$H$24)</f>
        <v>208229.44362917042</v>
      </c>
      <c r="AL18" s="23">
        <f>'Intermediate calculations'!AG32*'Intermediate calculations'!AG33*(1-Constants!$H$24)</f>
        <v>185531.16786005354</v>
      </c>
      <c r="AM18" s="23">
        <f>'Intermediate calculations'!AH32*'Intermediate calculations'!AH33*(1-Constants!$H$24)</f>
        <v>188427.91014300377</v>
      </c>
      <c r="AN18" s="23">
        <f>'Intermediate calculations'!AI32*'Intermediate calculations'!AI33*(1-Constants!$H$24)</f>
        <v>189658.18319180887</v>
      </c>
      <c r="AO18" s="23">
        <f>'Intermediate calculations'!AJ32*'Intermediate calculations'!AJ33*(1-Constants!$H$24)</f>
        <v>190468.4101879599</v>
      </c>
      <c r="AP18" s="23">
        <f>'Intermediate calculations'!AK32*'Intermediate calculations'!AK33*(1-Constants!$H$24)</f>
        <v>191968.68865511435</v>
      </c>
      <c r="AQ18" s="23">
        <f>'Intermediate calculations'!AL32*'Intermediate calculations'!AL33*(1-Constants!$H$24)</f>
        <v>193086.10614471324</v>
      </c>
      <c r="AR18" s="23">
        <f>'Intermediate calculations'!AM32*'Intermediate calculations'!AM33*(1-Constants!$H$24)</f>
        <v>193672.23307047292</v>
      </c>
      <c r="AS18" s="23">
        <f>'Intermediate calculations'!AN32*'Intermediate calculations'!AN33*(1-Constants!$H$24)</f>
        <v>194031.34975048646</v>
      </c>
      <c r="AT18" s="23">
        <f>'Intermediate calculations'!AO32*'Intermediate calculations'!AO33*(1-Constants!$H$24)</f>
        <v>194080.06438913645</v>
      </c>
      <c r="AU18" s="23">
        <f>'Intermediate calculations'!AP32*'Intermediate calculations'!AP33*(1-Constants!$H$24)</f>
        <v>195207.08353428269</v>
      </c>
      <c r="AV18" s="23">
        <f>'Intermediate calculations'!AQ32*'Intermediate calculations'!AQ33*(1-Constants!$H$24)</f>
        <v>196191.52780165258</v>
      </c>
      <c r="AW18" s="23">
        <f>'Intermediate calculations'!AR32*'Intermediate calculations'!AR33*(1-Constants!$H$24)</f>
        <v>197607.96380005754</v>
      </c>
      <c r="AX18" s="23">
        <f>'Intermediate calculations'!AS32*'Intermediate calculations'!AS33*(1-Constants!$H$24)</f>
        <v>200000.59189240134</v>
      </c>
      <c r="AY18" s="23">
        <f>'Intermediate calculations'!AT32*'Intermediate calculations'!AT33*(1-Constants!$H$24)</f>
        <v>202802.49249363388</v>
      </c>
      <c r="AZ18" s="23">
        <f>'Intermediate calculations'!AU32*'Intermediate calculations'!AU33*(1-Constants!$H$24)</f>
        <v>206596.03903052129</v>
      </c>
      <c r="BA18" s="23">
        <f>'Intermediate calculations'!AV32*'Intermediate calculations'!AV33*(1-Constants!$H$24)</f>
        <v>208643.96025507338</v>
      </c>
      <c r="BB18" s="23">
        <f>'Intermediate calculations'!AW32*'Intermediate calculations'!AW33*(1-Constants!$H$24)</f>
        <v>210432.61207545697</v>
      </c>
      <c r="BC18" s="23">
        <f>'Intermediate calculations'!AX32*'Intermediate calculations'!AX33*(1-Constants!$H$24)</f>
        <v>212680.4348617754</v>
      </c>
      <c r="BD18" s="23">
        <f>'Intermediate calculations'!AY32*'Intermediate calculations'!AY33*(1-Constants!$H$24)</f>
        <v>214632.02898660867</v>
      </c>
      <c r="BE18" s="23">
        <f>'Intermediate calculations'!AZ32*'Intermediate calculations'!AZ33*(1-Constants!$H$24)</f>
        <v>216791.44769593349</v>
      </c>
      <c r="BF18" s="23">
        <f>'Intermediate calculations'!BA32*'Intermediate calculations'!BA33*(1-Constants!$H$24)</f>
        <v>218897.79113883767</v>
      </c>
      <c r="BG18" s="23">
        <f>'Intermediate calculations'!BB32*'Intermediate calculations'!BB33*(1-Constants!$H$24)</f>
        <v>221733.6362182443</v>
      </c>
      <c r="BH18" s="23">
        <f>'Intermediate calculations'!BC32*'Intermediate calculations'!BC33*(1-Constants!$H$24)</f>
        <v>224196.18930089564</v>
      </c>
      <c r="BI18" s="23">
        <f>'Intermediate calculations'!BD32*'Intermediate calculations'!BD33*(1-Constants!$H$24)</f>
        <v>226656.55389176132</v>
      </c>
      <c r="BJ18" s="23">
        <f>'Intermediate calculations'!BE32*'Intermediate calculations'!BE33*(1-Constants!$H$24)</f>
        <v>229204.30028093106</v>
      </c>
      <c r="BK18" s="23">
        <f>'Intermediate calculations'!BF32*'Intermediate calculations'!BF33*(1-Constants!$H$24)</f>
        <v>231868.06762277291</v>
      </c>
      <c r="BL18" s="23">
        <f>'Intermediate calculations'!BG32*'Intermediate calculations'!BG33*(1-Constants!$H$24)</f>
        <v>235339.48169705769</v>
      </c>
      <c r="BM18" s="23">
        <f>'Intermediate calculations'!BH32*'Intermediate calculations'!BH33*(1-Constants!$H$24)</f>
        <v>236414.54924733719</v>
      </c>
      <c r="BN18" s="23">
        <f>'Intermediate calculations'!BI32*'Intermediate calculations'!BI33*(1-Constants!$H$24)</f>
        <v>237273.22154639472</v>
      </c>
      <c r="BO18" s="23">
        <f>'Intermediate calculations'!BJ32*'Intermediate calculations'!BJ33*(1-Constants!$H$24)</f>
        <v>238158.7614655419</v>
      </c>
      <c r="BP18" s="23">
        <f>'Intermediate calculations'!BK32*'Intermediate calculations'!BK33*(1-Constants!$H$24)</f>
        <v>238969.21843065569</v>
      </c>
    </row>
    <row r="19" spans="1:72" x14ac:dyDescent="0.2">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23653841.793714996</v>
      </c>
      <c r="AE19" s="23">
        <f>'Intermediate calculations'!Z37*'Intermediate calculations'!Z38*Constants!$H$25</f>
        <v>24134771.290486101</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25474971.393442631</v>
      </c>
      <c r="AI19" s="23">
        <f>'Intermediate calculations'!AD37*'Intermediate calculations'!AD38*Constants!$H$25</f>
        <v>25734234.718944557</v>
      </c>
      <c r="AJ19" s="23">
        <f>'Intermediate calculations'!AE37*'Intermediate calculations'!AE38*Constants!$H$25</f>
        <v>26066681.867313132</v>
      </c>
      <c r="AK19" s="23">
        <f>'Intermediate calculations'!AF37*'Intermediate calculations'!AF38*Constants!$H$25</f>
        <v>26412334.873995647</v>
      </c>
      <c r="AL19" s="23">
        <f>'Intermediate calculations'!AG37*'Intermediate calculations'!AG38*Constants!$H$25</f>
        <v>25355832.065900605</v>
      </c>
      <c r="AM19" s="23">
        <f>'Intermediate calculations'!AH37*'Intermediate calculations'!AH38*Constants!$H$25</f>
        <v>26028344.352485999</v>
      </c>
      <c r="AN19" s="23">
        <f>'Intermediate calculations'!AI37*'Intermediate calculations'!AI38*Constants!$H$25</f>
        <v>26589488.960053034</v>
      </c>
      <c r="AO19" s="23">
        <f>'Intermediate calculations'!AJ37*'Intermediate calculations'!AJ38*Constants!$H$25</f>
        <v>27126092.090025831</v>
      </c>
      <c r="AP19" s="23">
        <f>'Intermediate calculations'!AK37*'Intermediate calculations'!AK38*Constants!$H$25</f>
        <v>27722677.544957481</v>
      </c>
      <c r="AQ19" s="23">
        <f>'Intermediate calculations'!AL37*'Intermediate calculations'!AL38*Constants!$H$25</f>
        <v>28297785.426376317</v>
      </c>
      <c r="AR19" s="23">
        <f>'Intermediate calculations'!AM37*'Intermediate calculations'!AM38*Constants!$H$25</f>
        <v>28814162.004052896</v>
      </c>
      <c r="AS19" s="23">
        <f>'Intermediate calculations'!AN37*'Intermediate calculations'!AN38*Constants!$H$25</f>
        <v>29317635.381325193</v>
      </c>
      <c r="AT19" s="23">
        <f>'Intermediate calculations'!AO37*'Intermediate calculations'!AO38*Constants!$H$25</f>
        <v>29800229.683156215</v>
      </c>
      <c r="AU19" s="23">
        <f>'Intermediate calculations'!AP37*'Intermediate calculations'!AP38*Constants!$H$25</f>
        <v>30380510.602899391</v>
      </c>
      <c r="AV19" s="23">
        <f>'Intermediate calculations'!AQ37*'Intermediate calculations'!AQ38*Constants!$H$25</f>
        <v>30956813.105027635</v>
      </c>
      <c r="AW19" s="23">
        <f>'Intermediate calculations'!AR37*'Intermediate calculations'!AR38*Constants!$H$25</f>
        <v>31560856.737746526</v>
      </c>
      <c r="AX19" s="23">
        <f>'Intermediate calculations'!AS37*'Intermediate calculations'!AS38*Constants!$H$25</f>
        <v>32264278.577724364</v>
      </c>
      <c r="AY19" s="23">
        <f>'Intermediate calculations'!AT37*'Intermediate calculations'!AT38*Constants!$H$25</f>
        <v>33019682.608176969</v>
      </c>
      <c r="AZ19" s="23">
        <f>'Intermediate calculations'!AU37*'Intermediate calculations'!AU38*Constants!$H$25</f>
        <v>33885248.740652651</v>
      </c>
      <c r="BA19" s="23">
        <f>'Intermediate calculations'!AV37*'Intermediate calculations'!AV38*Constants!$H$25</f>
        <v>34600729.311977826</v>
      </c>
      <c r="BB19" s="23">
        <f>'Intermediate calculations'!AW37*'Intermediate calculations'!AW38*Constants!$H$25</f>
        <v>35285301.182877466</v>
      </c>
      <c r="BC19" s="23">
        <f>'Intermediate calculations'!AX37*'Intermediate calculations'!AX38*Constants!$H$25</f>
        <v>36028935.162048012</v>
      </c>
      <c r="BD19" s="23">
        <f>'Intermediate calculations'!AY37*'Intermediate calculations'!AY38*Constants!$H$25</f>
        <v>36756871.757598549</v>
      </c>
      <c r="BE19" s="23">
        <f>'Intermediate calculations'!AZ37*'Intermediate calculations'!AZ38*Constants!$H$25</f>
        <v>37520678.916710757</v>
      </c>
      <c r="BF19" s="23">
        <f>'Intermediate calculations'!BA37*'Intermediate calculations'!BA38*Constants!$H$25</f>
        <v>38294101.07818374</v>
      </c>
      <c r="BG19" s="23">
        <f>'Intermediate calculations'!BB37*'Intermediate calculations'!BB38*Constants!$H$25</f>
        <v>39144686.374357127</v>
      </c>
      <c r="BH19" s="23">
        <f>'Intermediate calculations'!BC37*'Intermediate calculations'!BC38*Constants!$H$25</f>
        <v>39972536.505911946</v>
      </c>
      <c r="BI19" s="23">
        <f>'Intermediate calculations'!BD37*'Intermediate calculations'!BD38*Constants!$H$25</f>
        <v>40817812.155378096</v>
      </c>
      <c r="BJ19" s="23">
        <f>'Intermediate calculations'!BE37*'Intermediate calculations'!BE38*Constants!$H$25</f>
        <v>41691325.507981867</v>
      </c>
      <c r="BK19" s="23">
        <f>'Intermediate calculations'!BF37*'Intermediate calculations'!BF38*Constants!$H$25</f>
        <v>42597526.257199205</v>
      </c>
      <c r="BL19" s="23">
        <f>'Intermediate calculations'!BG37*'Intermediate calculations'!BG38*Constants!$H$25</f>
        <v>43602062.498085409</v>
      </c>
      <c r="BM19" s="23">
        <f>'Intermediate calculations'!BH37*'Intermediate calculations'!BH38*Constants!$H$25</f>
        <v>44339009.799270891</v>
      </c>
      <c r="BN19" s="23">
        <f>'Intermediate calculations'!BI37*'Intermediate calculations'!BI38*Constants!$H$25</f>
        <v>45063142.624176532</v>
      </c>
      <c r="BO19" s="23">
        <f>'Intermediate calculations'!BJ37*'Intermediate calculations'!BJ38*Constants!$H$25</f>
        <v>45804144.391420536</v>
      </c>
      <c r="BP19" s="23">
        <f>'Intermediate calculations'!BK37*'Intermediate calculations'!BK38*Constants!$H$25</f>
        <v>46549539.221671827</v>
      </c>
    </row>
    <row r="20" spans="1:72" x14ac:dyDescent="0.2">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94043391.409974933</v>
      </c>
      <c r="AE20" s="23">
        <f>'Intermediate calculations'!Z42*'Intermediate calculations'!Z43*Constants!$H$26</f>
        <v>95281774.784899965</v>
      </c>
      <c r="AF20" s="23">
        <f>'Intermediate calculations'!AA42*'Intermediate calculations'!AA43*Constants!$H$26</f>
        <v>97270973.713722661</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95690259.829558313</v>
      </c>
      <c r="AK20" s="23">
        <f>'Intermediate calculations'!AF42*'Intermediate calculations'!AF43*Constants!$H$26</f>
        <v>95277598.733681589</v>
      </c>
      <c r="AL20" s="23">
        <f>'Intermediate calculations'!AG42*'Intermediate calculations'!AG43*Constants!$H$26</f>
        <v>81452097.439482555</v>
      </c>
      <c r="AM20" s="23">
        <f>'Intermediate calculations'!AH42*'Intermediate calculations'!AH43*Constants!$H$26</f>
        <v>85042126.487729847</v>
      </c>
      <c r="AN20" s="23">
        <f>'Intermediate calculations'!AI42*'Intermediate calculations'!AI43*Constants!$H$26</f>
        <v>87516090.742548883</v>
      </c>
      <c r="AO20" s="23">
        <f>'Intermediate calculations'!AJ42*'Intermediate calculations'!AJ43*Constants!$H$26</f>
        <v>89711681.838842064</v>
      </c>
      <c r="AP20" s="23">
        <f>'Intermediate calculations'!AK42*'Intermediate calculations'!AK43*Constants!$H$26</f>
        <v>92414964.991402462</v>
      </c>
      <c r="AQ20" s="23">
        <f>'Intermediate calculations'!AL42*'Intermediate calculations'!AL43*Constants!$H$26</f>
        <v>94868672.633047745</v>
      </c>
      <c r="AR20" s="23">
        <f>'Intermediate calculations'!AM42*'Intermediate calculations'!AM43*Constants!$H$26</f>
        <v>97034415.210543662</v>
      </c>
      <c r="AS20" s="23">
        <f>'Intermediate calculations'!AN42*'Intermediate calculations'!AN43*Constants!$H$26</f>
        <v>99046636.40739049</v>
      </c>
      <c r="AT20" s="23">
        <f>'Intermediate calculations'!AO42*'Intermediate calculations'!AO43*Constants!$H$26</f>
        <v>100837729.43397622</v>
      </c>
      <c r="AU20" s="23">
        <f>'Intermediate calculations'!AP42*'Intermediate calculations'!AP43*Constants!$H$26</f>
        <v>103461990.00342186</v>
      </c>
      <c r="AV20" s="23">
        <f>'Intermediate calculations'!AQ42*'Intermediate calculations'!AQ43*Constants!$H$26</f>
        <v>106007524.56278527</v>
      </c>
      <c r="AW20" s="23">
        <f>'Intermediate calculations'!AR42*'Intermediate calculations'!AR43*Constants!$H$26</f>
        <v>108985749.33098063</v>
      </c>
      <c r="AX20" s="23">
        <f>'Intermediate calculations'!AS42*'Intermediate calculations'!AS43*Constants!$H$26</f>
        <v>112780710.05819987</v>
      </c>
      <c r="AY20" s="23">
        <f>'Intermediate calculations'!AT42*'Intermediate calculations'!AT43*Constants!$H$26</f>
        <v>116968051.63431387</v>
      </c>
      <c r="AZ20" s="23">
        <f>'Intermediate calculations'!AU42*'Intermediate calculations'!AU43*Constants!$H$26</f>
        <v>122037050.50027233</v>
      </c>
      <c r="BA20" s="23">
        <f>'Intermediate calculations'!AV42*'Intermediate calculations'!AV43*Constants!$H$26</f>
        <v>125762928.88931111</v>
      </c>
      <c r="BB20" s="23">
        <f>'Intermediate calculations'!AW42*'Intermediate calculations'!AW43*Constants!$H$26</f>
        <v>129394333.99705009</v>
      </c>
      <c r="BC20" s="23">
        <f>'Intermediate calculations'!AX42*'Intermediate calculations'!AX43*Constants!$H$26</f>
        <v>133474382.12248956</v>
      </c>
      <c r="BD20" s="23">
        <f>'Intermediate calculations'!AY42*'Intermediate calculations'!AY43*Constants!$H$26</f>
        <v>137372895.51815009</v>
      </c>
      <c r="BE20" s="23">
        <f>'Intermediate calculations'!AZ42*'Intermediate calculations'!AZ43*Constants!$H$26</f>
        <v>141520058.3987388</v>
      </c>
      <c r="BF20" s="23">
        <f>'Intermediate calculations'!BA42*'Intermediate calculations'!BA43*Constants!$H$26</f>
        <v>145695897.92715052</v>
      </c>
      <c r="BG20" s="23">
        <f>'Intermediate calculations'!BB42*'Intermediate calculations'!BB43*Constants!$H$26</f>
        <v>150651953.63436225</v>
      </c>
      <c r="BH20" s="23">
        <f>'Intermediate calculations'!BC42*'Intermediate calculations'!BC43*Constants!$H$26</f>
        <v>155367528.35269105</v>
      </c>
      <c r="BI20" s="23">
        <f>'Intermediate calculations'!BD42*'Intermediate calculations'!BD43*Constants!$H$26</f>
        <v>160171566.53623164</v>
      </c>
      <c r="BJ20" s="23">
        <f>'Intermediate calculations'!BE42*'Intermediate calculations'!BE43*Constants!$H$26</f>
        <v>165149793.6018627</v>
      </c>
      <c r="BK20" s="23">
        <f>'Intermediate calculations'!BF42*'Intermediate calculations'!BF43*Constants!$H$26</f>
        <v>170335227.8365221</v>
      </c>
      <c r="BL20" s="23">
        <f>'Intermediate calculations'!BG42*'Intermediate calculations'!BG43*Constants!$H$26</f>
        <v>176445655.37145886</v>
      </c>
      <c r="BM20" s="23">
        <f>'Intermediate calculations'!BH42*'Intermediate calculations'!BH43*Constants!$H$26</f>
        <v>180380889.0567705</v>
      </c>
      <c r="BN20" s="23">
        <f>'Intermediate calculations'!BI42*'Intermediate calculations'!BI43*Constants!$H$26</f>
        <v>184177355.81758082</v>
      </c>
      <c r="BO20" s="23">
        <f>'Intermediate calculations'!BJ42*'Intermediate calculations'!BJ43*Constants!$H$26</f>
        <v>188069376.29859361</v>
      </c>
      <c r="BP20" s="23">
        <f>'Intermediate calculations'!BK42*'Intermediate calculations'!BK43*Constants!$H$26</f>
        <v>191958709.2247166</v>
      </c>
    </row>
    <row r="21" spans="1:72" x14ac:dyDescent="0.2">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985576.74140479253</v>
      </c>
      <c r="AE21" s="23">
        <f>'Intermediate calculations'!Z37*'Intermediate calculations'!Z38*(1-Constants!$H$25)</f>
        <v>1005615.4704369218</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1061457.141393444</v>
      </c>
      <c r="AI21" s="23">
        <f>'Intermediate calculations'!AD37*'Intermediate calculations'!AD38*(1-Constants!$H$25)</f>
        <v>1072259.7799560241</v>
      </c>
      <c r="AJ21" s="23">
        <f>'Intermediate calculations'!AE37*'Intermediate calculations'!AE38*(1-Constants!$H$25)</f>
        <v>1086111.7444713814</v>
      </c>
      <c r="AK21" s="23">
        <f>'Intermediate calculations'!AF37*'Intermediate calculations'!AF38*(1-Constants!$H$25)</f>
        <v>1100513.9530831531</v>
      </c>
      <c r="AL21" s="23">
        <f>'Intermediate calculations'!AG37*'Intermediate calculations'!AG38*(1-Constants!$H$25)</f>
        <v>1056493.0027458596</v>
      </c>
      <c r="AM21" s="23">
        <f>'Intermediate calculations'!AH37*'Intermediate calculations'!AH38*(1-Constants!$H$25)</f>
        <v>1084514.3480202509</v>
      </c>
      <c r="AN21" s="23">
        <f>'Intermediate calculations'!AI37*'Intermediate calculations'!AI38*(1-Constants!$H$25)</f>
        <v>1107895.373335544</v>
      </c>
      <c r="AO21" s="23">
        <f>'Intermediate calculations'!AJ37*'Intermediate calculations'!AJ38*(1-Constants!$H$25)</f>
        <v>1130253.8370844107</v>
      </c>
      <c r="AP21" s="23">
        <f>'Intermediate calculations'!AK37*'Intermediate calculations'!AK38*(1-Constants!$H$25)</f>
        <v>1155111.5643732294</v>
      </c>
      <c r="AQ21" s="23">
        <f>'Intermediate calculations'!AL37*'Intermediate calculations'!AL38*(1-Constants!$H$25)</f>
        <v>1179074.392765681</v>
      </c>
      <c r="AR21" s="23">
        <f>'Intermediate calculations'!AM37*'Intermediate calculations'!AM38*(1-Constants!$H$25)</f>
        <v>1200590.0835022051</v>
      </c>
      <c r="AS21" s="23">
        <f>'Intermediate calculations'!AN37*'Intermediate calculations'!AN38*(1-Constants!$H$25)</f>
        <v>1221568.1408885508</v>
      </c>
      <c r="AT21" s="23">
        <f>'Intermediate calculations'!AO37*'Intermediate calculations'!AO38*(1-Constants!$H$25)</f>
        <v>1241676.2367981768</v>
      </c>
      <c r="AU21" s="23">
        <f>'Intermediate calculations'!AP37*'Intermediate calculations'!AP38*(1-Constants!$H$25)</f>
        <v>1265854.6084541425</v>
      </c>
      <c r="AV21" s="23">
        <f>'Intermediate calculations'!AQ37*'Intermediate calculations'!AQ38*(1-Constants!$H$25)</f>
        <v>1289867.212709486</v>
      </c>
      <c r="AW21" s="23">
        <f>'Intermediate calculations'!AR37*'Intermediate calculations'!AR38*(1-Constants!$H$25)</f>
        <v>1315035.6974061064</v>
      </c>
      <c r="AX21" s="23">
        <f>'Intermediate calculations'!AS37*'Intermediate calculations'!AS38*(1-Constants!$H$25)</f>
        <v>1344344.9407385164</v>
      </c>
      <c r="AY21" s="23">
        <f>'Intermediate calculations'!AT37*'Intermediate calculations'!AT38*(1-Constants!$H$25)</f>
        <v>1375820.1086740417</v>
      </c>
      <c r="AZ21" s="23">
        <f>'Intermediate calculations'!AU37*'Intermediate calculations'!AU38*(1-Constants!$H$25)</f>
        <v>1411885.3641938618</v>
      </c>
      <c r="BA21" s="23">
        <f>'Intermediate calculations'!AV37*'Intermediate calculations'!AV38*(1-Constants!$H$25)</f>
        <v>1441697.0546657441</v>
      </c>
      <c r="BB21" s="23">
        <f>'Intermediate calculations'!AW37*'Intermediate calculations'!AW38*(1-Constants!$H$25)</f>
        <v>1470220.8826198957</v>
      </c>
      <c r="BC21" s="23">
        <f>'Intermediate calculations'!AX37*'Intermediate calculations'!AX38*(1-Constants!$H$25)</f>
        <v>1501205.6317520018</v>
      </c>
      <c r="BD21" s="23">
        <f>'Intermediate calculations'!AY37*'Intermediate calculations'!AY38*(1-Constants!$H$25)</f>
        <v>1531536.3232332743</v>
      </c>
      <c r="BE21" s="23">
        <f>'Intermediate calculations'!AZ37*'Intermediate calculations'!AZ38*(1-Constants!$H$25)</f>
        <v>1563361.6215296164</v>
      </c>
      <c r="BF21" s="23">
        <f>'Intermediate calculations'!BA37*'Intermediate calculations'!BA38*(1-Constants!$H$25)</f>
        <v>1595587.5449243241</v>
      </c>
      <c r="BG21" s="23">
        <f>'Intermediate calculations'!BB37*'Intermediate calculations'!BB38*(1-Constants!$H$25)</f>
        <v>1631028.5989315487</v>
      </c>
      <c r="BH21" s="23">
        <f>'Intermediate calculations'!BC37*'Intermediate calculations'!BC38*(1-Constants!$H$25)</f>
        <v>1665522.3544129995</v>
      </c>
      <c r="BI21" s="23">
        <f>'Intermediate calculations'!BD37*'Intermediate calculations'!BD38*(1-Constants!$H$25)</f>
        <v>1700742.1731407556</v>
      </c>
      <c r="BJ21" s="23">
        <f>'Intermediate calculations'!BE37*'Intermediate calculations'!BE38*(1-Constants!$H$25)</f>
        <v>1737138.5628325795</v>
      </c>
      <c r="BK21" s="23">
        <f>'Intermediate calculations'!BF37*'Intermediate calculations'!BF38*(1-Constants!$H$25)</f>
        <v>1774896.927383302</v>
      </c>
      <c r="BL21" s="23">
        <f>'Intermediate calculations'!BG37*'Intermediate calculations'!BG38*(1-Constants!$H$25)</f>
        <v>1816752.6040868936</v>
      </c>
      <c r="BM21" s="23">
        <f>'Intermediate calculations'!BH37*'Intermediate calculations'!BH38*(1-Constants!$H$25)</f>
        <v>1847458.7416362888</v>
      </c>
      <c r="BN21" s="23">
        <f>'Intermediate calculations'!BI37*'Intermediate calculations'!BI38*(1-Constants!$H$25)</f>
        <v>1877630.942674024</v>
      </c>
      <c r="BO21" s="23">
        <f>'Intermediate calculations'!BJ37*'Intermediate calculations'!BJ38*(1-Constants!$H$25)</f>
        <v>1908506.016309191</v>
      </c>
      <c r="BP21" s="23">
        <f>'Intermediate calculations'!BK37*'Intermediate calculations'!BK38*(1-Constants!$H$25)</f>
        <v>1939564.1342363278</v>
      </c>
    </row>
    <row r="22" spans="1:72" x14ac:dyDescent="0.2">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3918474.6420822921</v>
      </c>
      <c r="AE22" s="23">
        <f>'Intermediate calculations'!Z42*'Intermediate calculations'!Z43*(1-Constants!$H$26)</f>
        <v>3970073.9493708354</v>
      </c>
      <c r="AF22" s="23">
        <f>'Intermediate calculations'!AA42*'Intermediate calculations'!AA43*(1-Constants!$H$26)</f>
        <v>4052957.2380717816</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3987094.1595649333</v>
      </c>
      <c r="AK22" s="23">
        <f>'Intermediate calculations'!AF42*'Intermediate calculations'!AF43*(1-Constants!$H$26)</f>
        <v>3969899.9472367363</v>
      </c>
      <c r="AL22" s="23">
        <f>'Intermediate calculations'!AG42*'Intermediate calculations'!AG43*(1-Constants!$H$26)</f>
        <v>3393837.3933117758</v>
      </c>
      <c r="AM22" s="23">
        <f>'Intermediate calculations'!AH42*'Intermediate calculations'!AH43*(1-Constants!$H$26)</f>
        <v>3543421.9369887467</v>
      </c>
      <c r="AN22" s="23">
        <f>'Intermediate calculations'!AI42*'Intermediate calculations'!AI43*(1-Constants!$H$26)</f>
        <v>3646503.7809395399</v>
      </c>
      <c r="AO22" s="23">
        <f>'Intermediate calculations'!AJ42*'Intermediate calculations'!AJ43*(1-Constants!$H$26)</f>
        <v>3737986.7432850893</v>
      </c>
      <c r="AP22" s="23">
        <f>'Intermediate calculations'!AK42*'Intermediate calculations'!AK43*(1-Constants!$H$26)</f>
        <v>3850623.5413084393</v>
      </c>
      <c r="AQ22" s="23">
        <f>'Intermediate calculations'!AL42*'Intermediate calculations'!AL43*(1-Constants!$H$26)</f>
        <v>3952861.359710326</v>
      </c>
      <c r="AR22" s="23">
        <f>'Intermediate calculations'!AM42*'Intermediate calculations'!AM43*(1-Constants!$H$26)</f>
        <v>4043100.6337726563</v>
      </c>
      <c r="AS22" s="23">
        <f>'Intermediate calculations'!AN42*'Intermediate calculations'!AN43*(1-Constants!$H$26)</f>
        <v>4126943.183641274</v>
      </c>
      <c r="AT22" s="23">
        <f>'Intermediate calculations'!AO42*'Intermediate calculations'!AO43*(1-Constants!$H$26)</f>
        <v>4201572.0597490128</v>
      </c>
      <c r="AU22" s="23">
        <f>'Intermediate calculations'!AP42*'Intermediate calculations'!AP43*(1-Constants!$H$26)</f>
        <v>4310916.2501425808</v>
      </c>
      <c r="AV22" s="23">
        <f>'Intermediate calculations'!AQ42*'Intermediate calculations'!AQ43*(1-Constants!$H$26)</f>
        <v>4416980.1901160572</v>
      </c>
      <c r="AW22" s="23">
        <f>'Intermediate calculations'!AR42*'Intermediate calculations'!AR43*(1-Constants!$H$26)</f>
        <v>4541072.8887908636</v>
      </c>
      <c r="AX22" s="23">
        <f>'Intermediate calculations'!AS42*'Intermediate calculations'!AS43*(1-Constants!$H$26)</f>
        <v>4699196.2524249991</v>
      </c>
      <c r="AY22" s="23">
        <f>'Intermediate calculations'!AT42*'Intermediate calculations'!AT43*(1-Constants!$H$26)</f>
        <v>4873668.8180964151</v>
      </c>
      <c r="AZ22" s="23">
        <f>'Intermediate calculations'!AU42*'Intermediate calculations'!AU43*(1-Constants!$H$26)</f>
        <v>5084877.1041780189</v>
      </c>
      <c r="BA22" s="23">
        <f>'Intermediate calculations'!AV42*'Intermediate calculations'!AV43*(1-Constants!$H$26)</f>
        <v>5240122.0370546337</v>
      </c>
      <c r="BB22" s="23">
        <f>'Intermediate calculations'!AW42*'Intermediate calculations'!AW43*(1-Constants!$H$26)</f>
        <v>5391430.5832104255</v>
      </c>
      <c r="BC22" s="23">
        <f>'Intermediate calculations'!AX42*'Intermediate calculations'!AX43*(1-Constants!$H$26)</f>
        <v>5561432.5884370701</v>
      </c>
      <c r="BD22" s="23">
        <f>'Intermediate calculations'!AY42*'Intermediate calculations'!AY43*(1-Constants!$H$26)</f>
        <v>5723870.646589593</v>
      </c>
      <c r="BE22" s="23">
        <f>'Intermediate calculations'!AZ42*'Intermediate calculations'!AZ43*(1-Constants!$H$26)</f>
        <v>5896669.0999474553</v>
      </c>
      <c r="BF22" s="23">
        <f>'Intermediate calculations'!BA42*'Intermediate calculations'!BA43*(1-Constants!$H$26)</f>
        <v>6070662.4136312781</v>
      </c>
      <c r="BG22" s="23">
        <f>'Intermediate calculations'!BB42*'Intermediate calculations'!BB43*(1-Constants!$H$26)</f>
        <v>6277164.7347651003</v>
      </c>
      <c r="BH22" s="23">
        <f>'Intermediate calculations'!BC42*'Intermediate calculations'!BC43*(1-Constants!$H$26)</f>
        <v>6473647.0146954665</v>
      </c>
      <c r="BI22" s="23">
        <f>'Intermediate calculations'!BD42*'Intermediate calculations'!BD43*(1-Constants!$H$26)</f>
        <v>6673815.2723429902</v>
      </c>
      <c r="BJ22" s="23">
        <f>'Intermediate calculations'!BE42*'Intermediate calculations'!BE43*(1-Constants!$H$26)</f>
        <v>6881241.4000776187</v>
      </c>
      <c r="BK22" s="23">
        <f>'Intermediate calculations'!BF42*'Intermediate calculations'!BF43*(1-Constants!$H$26)</f>
        <v>7097301.1598550947</v>
      </c>
      <c r="BL22" s="23">
        <f>'Intermediate calculations'!BG42*'Intermediate calculations'!BG43*(1-Constants!$H$26)</f>
        <v>7351902.3071441259</v>
      </c>
      <c r="BM22" s="23">
        <f>'Intermediate calculations'!BH42*'Intermediate calculations'!BH43*(1-Constants!$H$26)</f>
        <v>7515870.3773654448</v>
      </c>
      <c r="BN22" s="23">
        <f>'Intermediate calculations'!BI42*'Intermediate calculations'!BI43*(1-Constants!$H$26)</f>
        <v>7674056.4923992082</v>
      </c>
      <c r="BO22" s="23">
        <f>'Intermediate calculations'!BJ42*'Intermediate calculations'!BJ43*(1-Constants!$H$26)</f>
        <v>7836224.012441407</v>
      </c>
      <c r="BP22" s="23">
        <f>'Intermediate calculations'!BK42*'Intermediate calculations'!BK43*(1-Constants!$H$26)</f>
        <v>7998279.5510298656</v>
      </c>
    </row>
    <row r="23" spans="1:72" ht="18.75" customHeight="1" x14ac:dyDescent="0.2">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2">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2">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2">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2">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2">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2">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2">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2">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2">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2">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2">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2">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2">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2">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2">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2">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3533134.1936058402</v>
      </c>
      <c r="AN41" s="22">
        <f>((Data!$AJ$42*LN('Intermediate calculations'!AH60))+Data!$AK$42)</f>
        <v>3551592.8057409506</v>
      </c>
      <c r="AO41" s="22">
        <f>((Data!$AJ$42*LN('Intermediate calculations'!AI60))+Data!$AK$42)</f>
        <v>3566040.8985523209</v>
      </c>
      <c r="AP41" s="22">
        <f>((Data!$AJ$42*LN('Intermediate calculations'!AJ60))+Data!$AK$42)</f>
        <v>3579415.3874971271</v>
      </c>
      <c r="AQ41" s="22">
        <f>((Data!$AJ$42*LN('Intermediate calculations'!AK60))+Data!$AK$42)</f>
        <v>3594365.2114793099</v>
      </c>
      <c r="AR41" s="22">
        <f>((Data!$AJ$42*LN('Intermediate calculations'!AL60))+Data!$AK$42)</f>
        <v>3608343.8992133755</v>
      </c>
      <c r="AS41" s="22">
        <f>((Data!$AJ$42*LN('Intermediate calculations'!AM60))+Data!$AK$42)</f>
        <v>3620792.4084558729</v>
      </c>
      <c r="AT41" s="22">
        <f>((Data!$AJ$42*LN('Intermediate calculations'!AN60))+Data!$AK$42)</f>
        <v>3632637.6736033764</v>
      </c>
      <c r="AU41" s="22">
        <f>((Data!$AJ$42*LN('Intermediate calculations'!AO60))+Data!$AK$42)</f>
        <v>3643674.3128369395</v>
      </c>
      <c r="AV41" s="22">
        <f>((Data!$AJ$42*LN('Intermediate calculations'!AP60))+Data!$AK$42)</f>
        <v>3657294.6906282641</v>
      </c>
      <c r="AW41" s="22">
        <f>((Data!$AJ$42*LN('Intermediate calculations'!AQ60))+Data!$AK$42)</f>
        <v>3670539.7577979695</v>
      </c>
      <c r="AX41" s="22">
        <f>((Data!$AJ$42*LN('Intermediate calculations'!AR60))+Data!$AK$42)</f>
        <v>3684670.6324141324</v>
      </c>
      <c r="AY41" s="22">
        <f>((Data!$AJ$42*LN('Intermediate calculations'!AS60))+Data!$AK$42)</f>
        <v>3701185.7548105363</v>
      </c>
      <c r="AZ41" s="22">
        <f>((Data!$AJ$42*LN('Intermediate calculations'!AT60))+Data!$AK$42)</f>
        <v>3718692.4370110072</v>
      </c>
      <c r="BA41" s="22">
        <f>((Data!$AJ$42*LN('Intermediate calculations'!AU60))+Data!$AK$42)</f>
        <v>3738598.4579304736</v>
      </c>
      <c r="BB41" s="22">
        <f>((Data!$AJ$42*LN('Intermediate calculations'!AV60))+Data!$AK$42)</f>
        <v>3754249.5436777677</v>
      </c>
      <c r="BC41" s="22">
        <f>((Data!$AJ$42*LN('Intermediate calculations'!AW60))+Data!$AK$42)</f>
        <v>3769141.5093315784</v>
      </c>
      <c r="BD41" s="22">
        <f>((Data!$AJ$42*LN('Intermediate calculations'!AX60))+Data!$AK$42)</f>
        <v>3785152.8543187492</v>
      </c>
      <c r="BE41" s="22">
        <f>((Data!$AJ$42*LN('Intermediate calculations'!AY60))+Data!$AK$42)</f>
        <v>3800455.451151805</v>
      </c>
      <c r="BF41" s="22">
        <f>((Data!$AJ$42*LN('Intermediate calculations'!AZ60))+Data!$AK$42)</f>
        <v>3816271.6850029007</v>
      </c>
      <c r="BG41" s="22">
        <f>((Data!$AJ$42*LN('Intermediate calculations'!BA60))+Data!$AK$42)</f>
        <v>3831972.6676072143</v>
      </c>
      <c r="BH41" s="22">
        <f>((Data!$AJ$42*LN('Intermediate calculations'!BB60))+Data!$AK$42)</f>
        <v>3849330.2197420876</v>
      </c>
      <c r="BI41" s="22">
        <f>((Data!$AJ$42*LN('Intermediate calculations'!BC60))+Data!$AK$42)</f>
        <v>3865805.2382898442</v>
      </c>
      <c r="BJ41" s="22">
        <f>((Data!$AJ$42*LN('Intermediate calculations'!BD60))+Data!$AK$42)</f>
        <v>3882293.7541240845</v>
      </c>
      <c r="BK41" s="22">
        <f>((Data!$AJ$42*LN('Intermediate calculations'!BE60))+Data!$AK$42)</f>
        <v>3899010.9874762483</v>
      </c>
      <c r="BL41" s="22">
        <f>((Data!$AJ$42*LN('Intermediate calculations'!BF60))+Data!$AK$42)</f>
        <v>3916024.7746488545</v>
      </c>
      <c r="BM41" s="22">
        <f>((Data!$AJ$42*LN('Intermediate calculations'!BG60))+Data!$AK$42)</f>
        <v>3934862.4166172836</v>
      </c>
      <c r="BN41" s="22">
        <f>((Data!$AJ$42*LN('Intermediate calculations'!BH60))+Data!$AK$42)</f>
        <v>3948073.8713603262</v>
      </c>
      <c r="BO41" s="22">
        <f>((Data!$AJ$42*LN('Intermediate calculations'!BI60))+Data!$AK$42)</f>
        <v>3960812.2365733348</v>
      </c>
      <c r="BP41" s="22">
        <f>((Data!$AJ$42*LN('Intermediate calculations'!BJ60))+Data!$AK$42)</f>
        <v>3973653.8638464957</v>
      </c>
    </row>
    <row r="42" spans="1:72" x14ac:dyDescent="0.2">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2">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2">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1948362.7863883774</v>
      </c>
      <c r="AN45" s="22">
        <f t="shared" si="16"/>
        <v>1958541.8713032706</v>
      </c>
      <c r="AO45" s="22">
        <f t="shared" si="16"/>
        <v>1966509.3372486357</v>
      </c>
      <c r="AP45" s="22">
        <f t="shared" si="16"/>
        <v>1973884.7594995601</v>
      </c>
      <c r="AQ45" s="22">
        <f t="shared" si="16"/>
        <v>1982128.9073620038</v>
      </c>
      <c r="AR45" s="22">
        <f t="shared" si="16"/>
        <v>1989837.5177603541</v>
      </c>
      <c r="AS45" s="22">
        <f t="shared" si="16"/>
        <v>1996702.3043280393</v>
      </c>
      <c r="AT45" s="22">
        <f t="shared" si="16"/>
        <v>2003234.4292187572</v>
      </c>
      <c r="AU45" s="22">
        <f t="shared" si="16"/>
        <v>2009320.6337021261</v>
      </c>
      <c r="AV45" s="22">
        <f t="shared" si="16"/>
        <v>2016831.6524664839</v>
      </c>
      <c r="AW45" s="22">
        <f t="shared" si="16"/>
        <v>2024135.7044958044</v>
      </c>
      <c r="AX45" s="22">
        <f t="shared" si="16"/>
        <v>2031928.2390366886</v>
      </c>
      <c r="AY45" s="22">
        <f t="shared" si="16"/>
        <v>2041035.577769544</v>
      </c>
      <c r="AZ45" s="22">
        <f t="shared" si="16"/>
        <v>2050689.7166285366</v>
      </c>
      <c r="BA45" s="22">
        <f t="shared" si="16"/>
        <v>2061666.9816457408</v>
      </c>
      <c r="BB45" s="22">
        <f t="shared" si="16"/>
        <v>2070297.8434714219</v>
      </c>
      <c r="BC45" s="22">
        <f t="shared" si="16"/>
        <v>2078510.085097729</v>
      </c>
      <c r="BD45" s="22">
        <f t="shared" si="16"/>
        <v>2087339.6135061001</v>
      </c>
      <c r="BE45" s="22">
        <f t="shared" si="16"/>
        <v>2095778.299548252</v>
      </c>
      <c r="BF45" s="22">
        <f t="shared" si="16"/>
        <v>2104500.2330406341</v>
      </c>
      <c r="BG45" s="22">
        <f t="shared" si="16"/>
        <v>2113158.6107131662</v>
      </c>
      <c r="BH45" s="22">
        <f t="shared" si="16"/>
        <v>2122730.5111248707</v>
      </c>
      <c r="BI45" s="22">
        <f t="shared" si="16"/>
        <v>2131815.7344095116</v>
      </c>
      <c r="BJ45" s="22">
        <f t="shared" si="16"/>
        <v>2140908.4008336598</v>
      </c>
      <c r="BK45" s="22">
        <f t="shared" si="16"/>
        <v>2150127.1945646401</v>
      </c>
      <c r="BL45" s="22">
        <f t="shared" si="16"/>
        <v>2159509.5242374362</v>
      </c>
      <c r="BM45" s="22">
        <f t="shared" si="16"/>
        <v>2169897.6268634326</v>
      </c>
      <c r="BN45" s="22">
        <f t="shared" si="16"/>
        <v>2177183.1431684694</v>
      </c>
      <c r="BO45" s="22">
        <f t="shared" si="16"/>
        <v>2184207.7721184161</v>
      </c>
      <c r="BP45" s="22">
        <f t="shared" si="16"/>
        <v>2191289.3453971716</v>
      </c>
    </row>
    <row r="46" spans="1:72" x14ac:dyDescent="0.2">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640814.88079843647</v>
      </c>
      <c r="AN46" s="22">
        <f>((Data!$AJ$48*'Activity data'!AN47)+Data!$AK$48)</f>
        <v>640654.58671761013</v>
      </c>
      <c r="AO46" s="22">
        <f>((Data!$AJ$48*'Activity data'!AO47)+Data!$AK$48)</f>
        <v>640529.11987644446</v>
      </c>
      <c r="AP46" s="22">
        <f>((Data!$AJ$48*'Activity data'!AP47)+Data!$AK$48)</f>
        <v>640412.97618177021</v>
      </c>
      <c r="AQ46" s="22">
        <f>((Data!$AJ$48*'Activity data'!AQ47)+Data!$AK$48)</f>
        <v>640283.15232089697</v>
      </c>
      <c r="AR46" s="22">
        <f>((Data!$AJ$48*'Activity data'!AR47)+Data!$AK$48)</f>
        <v>640161.7617805308</v>
      </c>
      <c r="AS46" s="22">
        <f>((Data!$AJ$48*'Activity data'!AS47)+Data!$AK$48)</f>
        <v>640053.65926815988</v>
      </c>
      <c r="AT46" s="22">
        <f>((Data!$AJ$48*'Activity data'!AT47)+Data!$AK$48)</f>
        <v>639950.79531094234</v>
      </c>
      <c r="AU46" s="22">
        <f>((Data!$AJ$48*'Activity data'!AU47)+Data!$AK$48)</f>
        <v>639854.9534389528</v>
      </c>
      <c r="AV46" s="22">
        <f>((Data!$AJ$48*'Activity data'!AV47)+Data!$AK$48)</f>
        <v>639736.67445228854</v>
      </c>
      <c r="AW46" s="22">
        <f>((Data!$AJ$48*'Activity data'!AW47)+Data!$AK$48)</f>
        <v>639621.65465275478</v>
      </c>
      <c r="AX46" s="22">
        <f>((Data!$AJ$48*'Activity data'!AX47)+Data!$AK$48)</f>
        <v>639498.94252568414</v>
      </c>
      <c r="AY46" s="22">
        <f>((Data!$AJ$48*'Activity data'!AY47)+Data!$AK$48)</f>
        <v>639355.52565637196</v>
      </c>
      <c r="AZ46" s="22">
        <f>((Data!$AJ$48*'Activity data'!AZ47)+Data!$AK$48)</f>
        <v>639203.4981089537</v>
      </c>
      <c r="BA46" s="22">
        <f>((Data!$AJ$48*'Activity data'!BA47)+Data!$AK$48)</f>
        <v>639030.63476999628</v>
      </c>
      <c r="BB46" s="22">
        <f>((Data!$AJ$48*'Activity data'!BB47)+Data!$AK$48)</f>
        <v>638894.72117121459</v>
      </c>
      <c r="BC46" s="22">
        <f>((Data!$AJ$48*'Activity data'!BC47)+Data!$AK$48)</f>
        <v>638765.39975047589</v>
      </c>
      <c r="BD46" s="22">
        <f>((Data!$AJ$48*'Activity data'!BD47)+Data!$AK$48)</f>
        <v>638626.35767034953</v>
      </c>
      <c r="BE46" s="22">
        <f>((Data!$AJ$48*'Activity data'!BE47)+Data!$AK$48)</f>
        <v>638493.47033972805</v>
      </c>
      <c r="BF46" s="22">
        <f>((Data!$AJ$48*'Activity data'!BF47)+Data!$AK$48)</f>
        <v>638356.12259934866</v>
      </c>
      <c r="BG46" s="22">
        <f>((Data!$AJ$48*'Activity data'!BG47)+Data!$AK$48)</f>
        <v>638219.77569763106</v>
      </c>
      <c r="BH46" s="22">
        <f>((Data!$AJ$48*'Activity data'!BH47)+Data!$AK$48)</f>
        <v>638069.04319160676</v>
      </c>
      <c r="BI46" s="22">
        <f>((Data!$AJ$48*'Activity data'!BI47)+Data!$AK$48)</f>
        <v>637925.97458301473</v>
      </c>
      <c r="BJ46" s="22">
        <f>((Data!$AJ$48*'Activity data'!BJ47)+Data!$AK$48)</f>
        <v>637782.78876435757</v>
      </c>
      <c r="BK46" s="22">
        <f>((Data!$AJ$48*'Activity data'!BK47)+Data!$AK$48)</f>
        <v>637637.6167690563</v>
      </c>
      <c r="BL46" s="22">
        <f>((Data!$AJ$48*'Activity data'!BL47)+Data!$AK$48)</f>
        <v>637489.86950852303</v>
      </c>
      <c r="BM46" s="22">
        <f>((Data!$AJ$48*'Activity data'!BM47)+Data!$AK$48)</f>
        <v>637326.28394303389</v>
      </c>
      <c r="BN46" s="22">
        <f>((Data!$AJ$48*'Activity data'!BN47)+Data!$AK$48)</f>
        <v>637211.5560328901</v>
      </c>
      <c r="BO46" s="22">
        <f>((Data!$AJ$48*'Activity data'!BO47)+Data!$AK$48)</f>
        <v>637100.93641923205</v>
      </c>
      <c r="BP46" s="22">
        <f>((Data!$AJ$48*'Activity data'!BP47)+Data!$AK$48)</f>
        <v>636989.4200806797</v>
      </c>
    </row>
    <row r="47" spans="1:72" x14ac:dyDescent="0.2">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420247.35216505616</v>
      </c>
      <c r="AN47" s="22">
        <f>((Data!$AJ$49*'Activity data'!AN41)+Data!$AK$49)</f>
        <v>420129.45207850222</v>
      </c>
      <c r="AO47" s="22">
        <f>((Data!$AJ$49*'Activity data'!AO41)+Data!$AK$49)</f>
        <v>420037.16825019853</v>
      </c>
      <c r="AP47" s="22">
        <f>((Data!$AJ$49*'Activity data'!AP41)+Data!$AK$49)</f>
        <v>419951.74181658233</v>
      </c>
      <c r="AQ47" s="22">
        <f>((Data!$AJ$49*'Activity data'!AQ41)+Data!$AK$49)</f>
        <v>419856.25329726329</v>
      </c>
      <c r="AR47" s="22">
        <f>((Data!$AJ$49*'Activity data'!AR41)+Data!$AK$49)</f>
        <v>419766.96768458054</v>
      </c>
      <c r="AS47" s="22">
        <f>((Data!$AJ$49*'Activity data'!AS41)+Data!$AK$49)</f>
        <v>419687.45573067979</v>
      </c>
      <c r="AT47" s="22">
        <f>((Data!$AJ$49*'Activity data'!AT41)+Data!$AK$49)</f>
        <v>419611.79685795837</v>
      </c>
      <c r="AU47" s="22">
        <f>((Data!$AJ$49*'Activity data'!AU41)+Data!$AK$49)</f>
        <v>419541.30289495736</v>
      </c>
      <c r="AV47" s="22">
        <f>((Data!$AJ$49*'Activity data'!AV41)+Data!$AK$49)</f>
        <v>419454.30590359418</v>
      </c>
      <c r="AW47" s="22">
        <f>((Data!$AJ$49*'Activity data'!AW41)+Data!$AK$49)</f>
        <v>419369.70612142794</v>
      </c>
      <c r="AX47" s="22">
        <f>((Data!$AJ$49*'Activity data'!AX41)+Data!$AK$49)</f>
        <v>419279.44845047552</v>
      </c>
      <c r="AY47" s="22">
        <f>((Data!$AJ$49*'Activity data'!AY41)+Data!$AK$49)</f>
        <v>419173.9619520469</v>
      </c>
      <c r="AZ47" s="22">
        <f>((Data!$AJ$49*'Activity data'!AZ41)+Data!$AK$49)</f>
        <v>419062.14209627442</v>
      </c>
      <c r="BA47" s="22">
        <f>((Data!$AJ$49*'Activity data'!BA41)+Data!$AK$49)</f>
        <v>418934.99702316866</v>
      </c>
      <c r="BB47" s="22">
        <f>((Data!$AJ$49*'Activity data'!BB41)+Data!$AK$49)</f>
        <v>418835.02935762791</v>
      </c>
      <c r="BC47" s="22">
        <f>((Data!$AJ$49*'Activity data'!BC41)+Data!$AK$49)</f>
        <v>418739.91039490787</v>
      </c>
      <c r="BD47" s="22">
        <f>((Data!$AJ$49*'Activity data'!BD41)+Data!$AK$49)</f>
        <v>418637.64165736601</v>
      </c>
      <c r="BE47" s="22">
        <f>((Data!$AJ$49*'Activity data'!BE41)+Data!$AK$49)</f>
        <v>418539.89988361229</v>
      </c>
      <c r="BF47" s="22">
        <f>((Data!$AJ$49*'Activity data'!BF41)+Data!$AK$49)</f>
        <v>418438.87737301656</v>
      </c>
      <c r="BG47" s="22">
        <f>((Data!$AJ$49*'Activity data'!BG41)+Data!$AK$49)</f>
        <v>418338.59100292105</v>
      </c>
      <c r="BH47" s="22">
        <f>((Data!$AJ$49*'Activity data'!BH41)+Data!$AK$49)</f>
        <v>418227.72368071467</v>
      </c>
      <c r="BI47" s="22">
        <f>((Data!$AJ$49*'Activity data'!BI41)+Data!$AK$49)</f>
        <v>418122.49333628028</v>
      </c>
      <c r="BJ47" s="22">
        <f>((Data!$AJ$49*'Activity data'!BJ41)+Data!$AK$49)</f>
        <v>418017.17678107158</v>
      </c>
      <c r="BK47" s="22">
        <f>((Data!$AJ$49*'Activity data'!BK41)+Data!$AK$49)</f>
        <v>417910.39934597863</v>
      </c>
      <c r="BL47" s="22">
        <f>((Data!$AJ$49*'Activity data'!BL41)+Data!$AK$49)</f>
        <v>417801.72774241609</v>
      </c>
      <c r="BM47" s="22">
        <f>((Data!$AJ$49*'Activity data'!BM41)+Data!$AK$49)</f>
        <v>417681.40669106657</v>
      </c>
      <c r="BN47" s="22">
        <f>((Data!$AJ$49*'Activity data'!BN41)+Data!$AK$49)</f>
        <v>417597.02160044829</v>
      </c>
      <c r="BO47" s="22">
        <f>((Data!$AJ$49*'Activity data'!BO41)+Data!$AK$49)</f>
        <v>417515.65825903474</v>
      </c>
      <c r="BP47" s="22">
        <f>((Data!$AJ$49*'Activity data'!BP41)+Data!$AK$49)</f>
        <v>417433.63535525859</v>
      </c>
    </row>
    <row r="48" spans="1:72" x14ac:dyDescent="0.2">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2773.6325242893713</v>
      </c>
      <c r="AN48" s="22">
        <f t="shared" ref="AN48:BP48" si="19">AN47*0.05*0.33*0.8*0.5</f>
        <v>2772.8543837181151</v>
      </c>
      <c r="AO48" s="22">
        <f t="shared" si="19"/>
        <v>2772.2453104513111</v>
      </c>
      <c r="AP48" s="22">
        <f t="shared" si="19"/>
        <v>2771.6814959894436</v>
      </c>
      <c r="AQ48" s="22">
        <f t="shared" si="19"/>
        <v>2771.0512717619386</v>
      </c>
      <c r="AR48" s="22">
        <f t="shared" si="19"/>
        <v>2770.4619867182323</v>
      </c>
      <c r="AS48" s="22">
        <f t="shared" si="19"/>
        <v>2769.9372078224869</v>
      </c>
      <c r="AT48" s="22">
        <f t="shared" si="19"/>
        <v>2769.4378592625258</v>
      </c>
      <c r="AU48" s="22">
        <f t="shared" si="19"/>
        <v>2768.9725991067189</v>
      </c>
      <c r="AV48" s="22">
        <f t="shared" si="19"/>
        <v>2768.3984189637222</v>
      </c>
      <c r="AW48" s="22">
        <f t="shared" si="19"/>
        <v>2767.8400604014246</v>
      </c>
      <c r="AX48" s="22">
        <f t="shared" si="19"/>
        <v>2767.244359773139</v>
      </c>
      <c r="AY48" s="22">
        <f t="shared" si="19"/>
        <v>2766.5481488835103</v>
      </c>
      <c r="AZ48" s="22">
        <f t="shared" si="19"/>
        <v>2765.8101378354118</v>
      </c>
      <c r="BA48" s="22">
        <f t="shared" si="19"/>
        <v>2764.9709803529136</v>
      </c>
      <c r="BB48" s="22">
        <f t="shared" si="19"/>
        <v>2764.3111937603444</v>
      </c>
      <c r="BC48" s="22">
        <f t="shared" si="19"/>
        <v>2763.6834086063927</v>
      </c>
      <c r="BD48" s="22">
        <f t="shared" si="19"/>
        <v>2763.0084349386161</v>
      </c>
      <c r="BE48" s="22">
        <f t="shared" si="19"/>
        <v>2762.3633392318416</v>
      </c>
      <c r="BF48" s="22">
        <f t="shared" si="19"/>
        <v>2761.6965906619098</v>
      </c>
      <c r="BG48" s="22">
        <f t="shared" si="19"/>
        <v>2761.0347006192796</v>
      </c>
      <c r="BH48" s="22">
        <f t="shared" si="19"/>
        <v>2760.3029762927172</v>
      </c>
      <c r="BI48" s="22">
        <f t="shared" si="19"/>
        <v>2759.6084560194504</v>
      </c>
      <c r="BJ48" s="22">
        <f t="shared" si="19"/>
        <v>2758.9133667550727</v>
      </c>
      <c r="BK48" s="22">
        <f t="shared" si="19"/>
        <v>2758.2086356834593</v>
      </c>
      <c r="BL48" s="22">
        <f t="shared" si="19"/>
        <v>2757.4914030999466</v>
      </c>
      <c r="BM48" s="22">
        <f t="shared" si="19"/>
        <v>2756.69728416104</v>
      </c>
      <c r="BN48" s="22">
        <f t="shared" si="19"/>
        <v>2756.1403425629596</v>
      </c>
      <c r="BO48" s="22">
        <f t="shared" si="19"/>
        <v>2755.6033445096296</v>
      </c>
      <c r="BP48" s="22">
        <f t="shared" si="19"/>
        <v>2755.0619933447069</v>
      </c>
    </row>
    <row r="49" spans="1:72" ht="18.75" customHeight="1" x14ac:dyDescent="0.2">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20399477.19036686</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20732497.185878474</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20351219.64173276</v>
      </c>
      <c r="AM50" s="22">
        <f>((AM5*Constants!$H63*Constants!$H81*(1-Constants!$H99))+(AM5*Constants!$H63*Constants!$H115))</f>
        <v>20585099.427393988</v>
      </c>
      <c r="AN50" s="22">
        <f>((AN5*Constants!$H63*Constants!$H81*(1-Constants!$H99))+(AN5*Constants!$H63*Constants!$H115))</f>
        <v>20768368.912325282</v>
      </c>
      <c r="AO50" s="22">
        <f>((AO5*Constants!$H63*Constants!$H81*(1-Constants!$H99))+(AO5*Constants!$H63*Constants!$H115))</f>
        <v>20941996.611549724</v>
      </c>
      <c r="AP50" s="22">
        <f>((AP5*Constants!$H63*Constants!$H81*(1-Constants!$H99))+(AP5*Constants!$H63*Constants!$H115))</f>
        <v>21144984.354040444</v>
      </c>
      <c r="AQ50" s="22">
        <f>((AQ5*Constants!$H63*Constants!$H81*(1-Constants!$H99))+(AQ5*Constants!$H63*Constants!$H115))</f>
        <v>21339380.253485564</v>
      </c>
      <c r="AR50" s="22">
        <f>((AR5*Constants!$H63*Constants!$H81*(1-Constants!$H99))+(AR5*Constants!$H63*Constants!$H115))</f>
        <v>21502418.759854395</v>
      </c>
      <c r="AS50" s="22">
        <f>((AS5*Constants!$H63*Constants!$H81*(1-Constants!$H99))+(AS5*Constants!$H63*Constants!$H115))</f>
        <v>21660928.933829267</v>
      </c>
      <c r="AT50" s="22">
        <f>((AT5*Constants!$H63*Constants!$H81*(1-Constants!$H99))+(AT5*Constants!$H63*Constants!$H115))</f>
        <v>21811277.954334289</v>
      </c>
      <c r="AU50" s="22">
        <f>((AU5*Constants!$H63*Constants!$H81*(1-Constants!$H99))+(AU5*Constants!$H63*Constants!$H115))</f>
        <v>22006855.304434437</v>
      </c>
      <c r="AV50" s="22">
        <f>((AV5*Constants!$H63*Constants!$H81*(1-Constants!$H99))+(AV5*Constants!$H63*Constants!$H115))</f>
        <v>22201426.965603035</v>
      </c>
      <c r="AW50" s="22">
        <f>((AW5*Constants!$H63*Constants!$H81*(1-Constants!$H99))+(AW5*Constants!$H63*Constants!$H115))</f>
        <v>22404421.476814177</v>
      </c>
      <c r="AX50" s="22">
        <f>((AX5*Constants!$H63*Constants!$H81*(1-Constants!$H99))+(AX5*Constants!$H63*Constants!$H115))</f>
        <v>22652070.222144246</v>
      </c>
      <c r="AY50" s="22">
        <f>((AY5*Constants!$H63*Constants!$H81*(1-Constants!$H99))+(AY5*Constants!$H63*Constants!$H115))</f>
        <v>22922806.907969814</v>
      </c>
      <c r="AZ50" s="22">
        <f>((AZ5*Constants!$H63*Constants!$H81*(1-Constants!$H99))+(AZ5*Constants!$H63*Constants!$H115))</f>
        <v>23241949.783026882</v>
      </c>
      <c r="BA50" s="22">
        <f>((BA5*Constants!$H63*Constants!$H81*(1-Constants!$H99))+(BA5*Constants!$H63*Constants!$H115))</f>
        <v>23494711.743205771</v>
      </c>
      <c r="BB50" s="22">
        <f>((BB5*Constants!$H63*Constants!$H81*(1-Constants!$H99))+(BB5*Constants!$H63*Constants!$H115))</f>
        <v>23729524.865001939</v>
      </c>
      <c r="BC50" s="22">
        <f>((BC5*Constants!$H63*Constants!$H81*(1-Constants!$H99))+(BC5*Constants!$H63*Constants!$H115))</f>
        <v>23990081.497488398</v>
      </c>
      <c r="BD50" s="22">
        <f>((BD5*Constants!$H63*Constants!$H81*(1-Constants!$H99))+(BD5*Constants!$H63*Constants!$H115))</f>
        <v>24243641.956789616</v>
      </c>
      <c r="BE50" s="22">
        <f>((BE5*Constants!$H63*Constants!$H81*(1-Constants!$H99))+(BE5*Constants!$H63*Constants!$H115))</f>
        <v>24512555.108726554</v>
      </c>
      <c r="BF50" s="22">
        <f>((BF5*Constants!$H63*Constants!$H81*(1-Constants!$H99))+(BF5*Constants!$H63*Constants!$H115))</f>
        <v>24785333.924038671</v>
      </c>
      <c r="BG50" s="22">
        <f>((BG5*Constants!$H63*Constants!$H81*(1-Constants!$H99))+(BG5*Constants!$H63*Constants!$H115))</f>
        <v>25086794.698578309</v>
      </c>
      <c r="BH50" s="22">
        <f>((BH5*Constants!$H63*Constants!$H81*(1-Constants!$H99))+(BH5*Constants!$H63*Constants!$H115))</f>
        <v>25377958.946405578</v>
      </c>
      <c r="BI50" s="22">
        <f>((BI5*Constants!$H63*Constants!$H81*(1-Constants!$H99))+(BI5*Constants!$H63*Constants!$H115))</f>
        <v>25676044.862011828</v>
      </c>
      <c r="BJ50" s="22">
        <f>((BJ5*Constants!$H63*Constants!$H81*(1-Constants!$H99))+(BJ5*Constants!$H63*Constants!$H115))</f>
        <v>25985572.225150976</v>
      </c>
      <c r="BK50" s="22">
        <f>((BK5*Constants!$H63*Constants!$H81*(1-Constants!$H99))+(BK5*Constants!$H63*Constants!$H115))</f>
        <v>26308310.600481872</v>
      </c>
      <c r="BL50" s="22">
        <f>((BL5*Constants!$H63*Constants!$H81*(1-Constants!$H99))+(BL5*Constants!$H63*Constants!$H115))</f>
        <v>26667677.379106637</v>
      </c>
      <c r="BM50" s="22">
        <f>((BM5*Constants!$H63*Constants!$H81*(1-Constants!$H99))+(BM5*Constants!$H63*Constants!$H115))</f>
        <v>26913461.900611591</v>
      </c>
      <c r="BN50" s="22">
        <f>((BN5*Constants!$H63*Constants!$H81*(1-Constants!$H99))+(BN5*Constants!$H63*Constants!$H115))</f>
        <v>27153593.695867002</v>
      </c>
      <c r="BO50" s="22">
        <f>((BO5*Constants!$H63*Constants!$H81*(1-Constants!$H99))+(BO5*Constants!$H63*Constants!$H115))</f>
        <v>27400529.957722116</v>
      </c>
      <c r="BP50" s="22">
        <f>((BP5*Constants!$H63*Constants!$H81*(1-Constants!$H99))+(BP5*Constants!$H63*Constants!$H115))</f>
        <v>27648999.866793547</v>
      </c>
    </row>
    <row r="51" spans="1:72" x14ac:dyDescent="0.2">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59647474.907762975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60621215.638502978</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59506371.246409237</v>
      </c>
      <c r="AM51" s="22">
        <f>((AM6*Constants!$H64*Constants!$H82*(1-Constants!$H100))+(AM6*Constants!$H64*Constants!$H116))</f>
        <v>60190228.901998997</v>
      </c>
      <c r="AN51" s="22">
        <f>((AN6*Constants!$H64*Constants!$H82*(1-Constants!$H100))+(AN6*Constants!$H64*Constants!$H116))</f>
        <v>60726103.517891616</v>
      </c>
      <c r="AO51" s="22">
        <f>((AO6*Constants!$H64*Constants!$H82*(1-Constants!$H100))+(AO6*Constants!$H64*Constants!$H116))</f>
        <v>61233785.834263571</v>
      </c>
      <c r="AP51" s="22">
        <f>((AP6*Constants!$H64*Constants!$H82*(1-Constants!$H100))+(AP6*Constants!$H64*Constants!$H116))</f>
        <v>61827316.058779135</v>
      </c>
      <c r="AQ51" s="22">
        <f>((AQ6*Constants!$H64*Constants!$H82*(1-Constants!$H100))+(AQ6*Constants!$H64*Constants!$H116))</f>
        <v>62395723.985419556</v>
      </c>
      <c r="AR51" s="22">
        <f>((AR6*Constants!$H64*Constants!$H82*(1-Constants!$H100))+(AR6*Constants!$H64*Constants!$H116))</f>
        <v>62872443.81146618</v>
      </c>
      <c r="AS51" s="22">
        <f>((AS6*Constants!$H64*Constants!$H82*(1-Constants!$H100))+(AS6*Constants!$H64*Constants!$H116))</f>
        <v>63335922.925982729</v>
      </c>
      <c r="AT51" s="22">
        <f>((AT6*Constants!$H64*Constants!$H82*(1-Constants!$H100))+(AT6*Constants!$H64*Constants!$H116))</f>
        <v>63775539.066351987</v>
      </c>
      <c r="AU51" s="22">
        <f>((AU6*Constants!$H64*Constants!$H82*(1-Constants!$H100))+(AU6*Constants!$H64*Constants!$H116))</f>
        <v>64347401.520166934</v>
      </c>
      <c r="AV51" s="22">
        <f>((AV6*Constants!$H64*Constants!$H82*(1-Constants!$H100))+(AV6*Constants!$H64*Constants!$H116))</f>
        <v>64916323.368948266</v>
      </c>
      <c r="AW51" s="22">
        <f>((AW6*Constants!$H64*Constants!$H82*(1-Constants!$H100))+(AW6*Constants!$H64*Constants!$H116))</f>
        <v>65509873.385004461</v>
      </c>
      <c r="AX51" s="22">
        <f>((AX6*Constants!$H64*Constants!$H82*(1-Constants!$H100))+(AX6*Constants!$H64*Constants!$H116))</f>
        <v>66233991.076118112</v>
      </c>
      <c r="AY51" s="22">
        <f>((AY6*Constants!$H64*Constants!$H82*(1-Constants!$H100))+(AY6*Constants!$H64*Constants!$H116))</f>
        <v>67025617.230244122</v>
      </c>
      <c r="AZ51" s="22">
        <f>((AZ6*Constants!$H64*Constants!$H82*(1-Constants!$H100))+(AZ6*Constants!$H64*Constants!$H116))</f>
        <v>67958781.666485012</v>
      </c>
      <c r="BA51" s="22">
        <f>((BA6*Constants!$H64*Constants!$H82*(1-Constants!$H100))+(BA6*Constants!$H64*Constants!$H116))</f>
        <v>68697850.248327255</v>
      </c>
      <c r="BB51" s="22">
        <f>((BB6*Constants!$H64*Constants!$H82*(1-Constants!$H100))+(BB6*Constants!$H64*Constants!$H116))</f>
        <v>69384436.951488674</v>
      </c>
      <c r="BC51" s="22">
        <f>((BC6*Constants!$H64*Constants!$H82*(1-Constants!$H100))+(BC6*Constants!$H64*Constants!$H116))</f>
        <v>70146296.927274033</v>
      </c>
      <c r="BD51" s="22">
        <f>((BD6*Constants!$H64*Constants!$H82*(1-Constants!$H100))+(BD6*Constants!$H64*Constants!$H116))</f>
        <v>70887700.29720512</v>
      </c>
      <c r="BE51" s="22">
        <f>((BE6*Constants!$H64*Constants!$H82*(1-Constants!$H100))+(BE6*Constants!$H64*Constants!$H116))</f>
        <v>71673994.491553441</v>
      </c>
      <c r="BF51" s="22">
        <f>((BF6*Constants!$H64*Constants!$H82*(1-Constants!$H100))+(BF6*Constants!$H64*Constants!$H116))</f>
        <v>72471591.772594631</v>
      </c>
      <c r="BG51" s="22">
        <f>((BG6*Constants!$H64*Constants!$H82*(1-Constants!$H100))+(BG6*Constants!$H64*Constants!$H116))</f>
        <v>73353054.263874516</v>
      </c>
      <c r="BH51" s="22">
        <f>((BH6*Constants!$H64*Constants!$H82*(1-Constants!$H100))+(BH6*Constants!$H64*Constants!$H116))</f>
        <v>74204410.012075558</v>
      </c>
      <c r="BI51" s="22">
        <f>((BI6*Constants!$H64*Constants!$H82*(1-Constants!$H100))+(BI6*Constants!$H64*Constants!$H116))</f>
        <v>75076004.514501199</v>
      </c>
      <c r="BJ51" s="22">
        <f>((BJ6*Constants!$H64*Constants!$H82*(1-Constants!$H100))+(BJ6*Constants!$H64*Constants!$H116))</f>
        <v>75981053.475012168</v>
      </c>
      <c r="BK51" s="22">
        <f>((BK6*Constants!$H64*Constants!$H82*(1-Constants!$H100))+(BK6*Constants!$H64*Constants!$H116))</f>
        <v>76924731.048936084</v>
      </c>
      <c r="BL51" s="22">
        <f>((BL6*Constants!$H64*Constants!$H82*(1-Constants!$H100))+(BL6*Constants!$H64*Constants!$H116))</f>
        <v>77975509.003227308</v>
      </c>
      <c r="BM51" s="22">
        <f>((BM6*Constants!$H64*Constants!$H82*(1-Constants!$H100))+(BM6*Constants!$H64*Constants!$H116))</f>
        <v>78694175.758378565</v>
      </c>
      <c r="BN51" s="22">
        <f>((BN6*Constants!$H64*Constants!$H82*(1-Constants!$H100))+(BN6*Constants!$H64*Constants!$H116))</f>
        <v>79396314.107238665</v>
      </c>
      <c r="BO51" s="22">
        <f>((BO6*Constants!$H64*Constants!$H82*(1-Constants!$H100))+(BO6*Constants!$H64*Constants!$H116))</f>
        <v>80118348.517501667</v>
      </c>
      <c r="BP51" s="22">
        <f>((BP6*Constants!$H64*Constants!$H82*(1-Constants!$H100))+(BP6*Constants!$H64*Constants!$H116))</f>
        <v>80844867.267387599</v>
      </c>
    </row>
    <row r="52" spans="1:72" x14ac:dyDescent="0.2">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3190803.5921112793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3242893.2308803126</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3183255.3418256845</v>
      </c>
      <c r="AM52" s="22">
        <f>((AM7*Constants!$H65*Constants!$H83*(1-Constants!$H101))+(AM7*Constants!$H65*Constants!$H117))</f>
        <v>3219837.8705466883</v>
      </c>
      <c r="AN52" s="22">
        <f>((AN7*Constants!$H65*Constants!$H83*(1-Constants!$H101))+(AN7*Constants!$H65*Constants!$H117))</f>
        <v>3248504.1410293123</v>
      </c>
      <c r="AO52" s="22">
        <f>((AO7*Constants!$H65*Constants!$H83*(1-Constants!$H101))+(AO7*Constants!$H65*Constants!$H117))</f>
        <v>3275662.2824466312</v>
      </c>
      <c r="AP52" s="22">
        <f>((AP7*Constants!$H65*Constants!$H83*(1-Constants!$H101))+(AP7*Constants!$H65*Constants!$H117))</f>
        <v>3307412.8029060382</v>
      </c>
      <c r="AQ52" s="22">
        <f>((AQ7*Constants!$H65*Constants!$H83*(1-Constants!$H101))+(AQ7*Constants!$H65*Constants!$H117))</f>
        <v>3337819.4220783231</v>
      </c>
      <c r="AR52" s="22">
        <f>((AR7*Constants!$H65*Constants!$H83*(1-Constants!$H101))+(AR7*Constants!$H65*Constants!$H117))</f>
        <v>3363321.244841692</v>
      </c>
      <c r="AS52" s="22">
        <f>((AS7*Constants!$H65*Constants!$H83*(1-Constants!$H101))+(AS7*Constants!$H65*Constants!$H117))</f>
        <v>3388114.7641944354</v>
      </c>
      <c r="AT52" s="22">
        <f>((AT7*Constants!$H65*Constants!$H83*(1-Constants!$H101))+(AT7*Constants!$H65*Constants!$H117))</f>
        <v>3411631.7489789464</v>
      </c>
      <c r="AU52" s="22">
        <f>((AU7*Constants!$H65*Constants!$H83*(1-Constants!$H101))+(AU7*Constants!$H65*Constants!$H117))</f>
        <v>3442223.1658771127</v>
      </c>
      <c r="AV52" s="22">
        <f>((AV7*Constants!$H65*Constants!$H83*(1-Constants!$H101))+(AV7*Constants!$H65*Constants!$H117))</f>
        <v>3472657.2769862451</v>
      </c>
      <c r="AW52" s="22">
        <f>((AW7*Constants!$H65*Constants!$H83*(1-Constants!$H101))+(AW7*Constants!$H65*Constants!$H117))</f>
        <v>3504408.8561814833</v>
      </c>
      <c r="AX52" s="22">
        <f>((AX7*Constants!$H65*Constants!$H83*(1-Constants!$H101))+(AX7*Constants!$H65*Constants!$H117))</f>
        <v>3543145.0698014172</v>
      </c>
      <c r="AY52" s="22">
        <f>((AY7*Constants!$H65*Constants!$H83*(1-Constants!$H101))+(AY7*Constants!$H65*Constants!$H117))</f>
        <v>3585492.6055537774</v>
      </c>
      <c r="AZ52" s="22">
        <f>((AZ7*Constants!$H65*Constants!$H83*(1-Constants!$H101))+(AZ7*Constants!$H65*Constants!$H117))</f>
        <v>3635411.6413518954</v>
      </c>
      <c r="BA52" s="22">
        <f>((BA7*Constants!$H65*Constants!$H83*(1-Constants!$H101))+(BA7*Constants!$H65*Constants!$H117))</f>
        <v>3674947.6433269242</v>
      </c>
      <c r="BB52" s="22">
        <f>((BB7*Constants!$H65*Constants!$H83*(1-Constants!$H101))+(BB7*Constants!$H65*Constants!$H117))</f>
        <v>3711676.1607055902</v>
      </c>
      <c r="BC52" s="22">
        <f>((BC7*Constants!$H65*Constants!$H83*(1-Constants!$H101))+(BC7*Constants!$H65*Constants!$H117))</f>
        <v>3752431.3737499127</v>
      </c>
      <c r="BD52" s="22">
        <f>((BD7*Constants!$H65*Constants!$H83*(1-Constants!$H101))+(BD7*Constants!$H65*Constants!$H117))</f>
        <v>3792092.2737232596</v>
      </c>
      <c r="BE52" s="22">
        <f>((BE7*Constants!$H65*Constants!$H83*(1-Constants!$H101))+(BE7*Constants!$H65*Constants!$H117))</f>
        <v>3834154.5796911567</v>
      </c>
      <c r="BF52" s="22">
        <f>((BF7*Constants!$H65*Constants!$H83*(1-Constants!$H101))+(BF7*Constants!$H65*Constants!$H117))</f>
        <v>3876821.5370659651</v>
      </c>
      <c r="BG52" s="22">
        <f>((BG7*Constants!$H65*Constants!$H83*(1-Constants!$H101))+(BG7*Constants!$H65*Constants!$H117))</f>
        <v>3923974.8103241618</v>
      </c>
      <c r="BH52" s="22">
        <f>((BH7*Constants!$H65*Constants!$H83*(1-Constants!$H101))+(BH7*Constants!$H65*Constants!$H117))</f>
        <v>3969517.5425810628</v>
      </c>
      <c r="BI52" s="22">
        <f>((BI7*Constants!$H65*Constants!$H83*(1-Constants!$H101))+(BI7*Constants!$H65*Constants!$H117))</f>
        <v>4016142.9340750836</v>
      </c>
      <c r="BJ52" s="22">
        <f>((BJ7*Constants!$H65*Constants!$H83*(1-Constants!$H101))+(BJ7*Constants!$H65*Constants!$H117))</f>
        <v>4064557.9504475389</v>
      </c>
      <c r="BK52" s="22">
        <f>((BK7*Constants!$H65*Constants!$H83*(1-Constants!$H101))+(BK7*Constants!$H65*Constants!$H117))</f>
        <v>4115039.3798345756</v>
      </c>
      <c r="BL52" s="22">
        <f>((BL7*Constants!$H65*Constants!$H83*(1-Constants!$H101))+(BL7*Constants!$H65*Constants!$H117))</f>
        <v>4171250.0756980376</v>
      </c>
      <c r="BM52" s="22">
        <f>((BM7*Constants!$H65*Constants!$H83*(1-Constants!$H101))+(BM7*Constants!$H65*Constants!$H117))</f>
        <v>4209694.6949784625</v>
      </c>
      <c r="BN52" s="22">
        <f>((BN7*Constants!$H65*Constants!$H83*(1-Constants!$H101))+(BN7*Constants!$H65*Constants!$H117))</f>
        <v>4247255.1377158351</v>
      </c>
      <c r="BO52" s="22">
        <f>((BO7*Constants!$H65*Constants!$H83*(1-Constants!$H101))+(BO7*Constants!$H65*Constants!$H117))</f>
        <v>4285879.907556599</v>
      </c>
      <c r="BP52" s="22">
        <f>((BP7*Constants!$H65*Constants!$H83*(1-Constants!$H101))+(BP7*Constants!$H65*Constants!$H117))</f>
        <v>4324744.5642827563</v>
      </c>
    </row>
    <row r="53" spans="1:72" x14ac:dyDescent="0.2">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25233773.06215195</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24326412.373308256</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20174983.688096881</v>
      </c>
      <c r="AM53" s="22">
        <f>((AM8*Constants!$H66*Constants!$H84*(1-Constants!$H102))+(AM8*Constants!$H66*Constants!$H118))</f>
        <v>20560890.775126126</v>
      </c>
      <c r="AN53" s="22">
        <f>((AN8*Constants!$H66*Constants!$H84*(1-Constants!$H102))+(AN8*Constants!$H66*Constants!$H118))</f>
        <v>20767220.543365587</v>
      </c>
      <c r="AO53" s="22">
        <f>((AO8*Constants!$H66*Constants!$H84*(1-Constants!$H102))+(AO8*Constants!$H66*Constants!$H118))</f>
        <v>20926051.290820532</v>
      </c>
      <c r="AP53" s="22">
        <f>((AP8*Constants!$H66*Constants!$H84*(1-Constants!$H102))+(AP8*Constants!$H66*Constants!$H118))</f>
        <v>21155854.707972445</v>
      </c>
      <c r="AQ53" s="22">
        <f>((AQ8*Constants!$H66*Constants!$H84*(1-Constants!$H102))+(AQ8*Constants!$H66*Constants!$H118))</f>
        <v>21342352.452669226</v>
      </c>
      <c r="AR53" s="22">
        <f>((AR8*Constants!$H66*Constants!$H84*(1-Constants!$H102))+(AR8*Constants!$H66*Constants!$H118))</f>
        <v>21462579.267217595</v>
      </c>
      <c r="AS53" s="22">
        <f>((AS8*Constants!$H66*Constants!$H84*(1-Constants!$H102))+(AS8*Constants!$H66*Constants!$H118))</f>
        <v>21556166.846436527</v>
      </c>
      <c r="AT53" s="22">
        <f>((AT8*Constants!$H66*Constants!$H84*(1-Constants!$H102))+(AT8*Constants!$H66*Constants!$H118))</f>
        <v>21614170.69805143</v>
      </c>
      <c r="AU53" s="22">
        <f>((AU8*Constants!$H66*Constants!$H84*(1-Constants!$H102))+(AU8*Constants!$H66*Constants!$H118))</f>
        <v>21785884.896587167</v>
      </c>
      <c r="AV53" s="22">
        <f>((AV8*Constants!$H66*Constants!$H84*(1-Constants!$H102))+(AV8*Constants!$H66*Constants!$H118))</f>
        <v>21940386.212964017</v>
      </c>
      <c r="AW53" s="22">
        <f>((AW8*Constants!$H66*Constants!$H84*(1-Constants!$H102))+(AW8*Constants!$H66*Constants!$H118))</f>
        <v>21948354.811983537</v>
      </c>
      <c r="AX53" s="22">
        <f>((AX8*Constants!$H66*Constants!$H84*(1-Constants!$H102))+(AX8*Constants!$H66*Constants!$H118))</f>
        <v>22051856.468690477</v>
      </c>
      <c r="AY53" s="22">
        <f>((AY8*Constants!$H66*Constants!$H84*(1-Constants!$H102))+(AY8*Constants!$H66*Constants!$H118))</f>
        <v>22188723.816823356</v>
      </c>
      <c r="AZ53" s="22">
        <f>((AZ8*Constants!$H66*Constants!$H84*(1-Constants!$H102))+(AZ8*Constants!$H66*Constants!$H118))</f>
        <v>22418510.35500766</v>
      </c>
      <c r="BA53" s="22">
        <f>((BA8*Constants!$H66*Constants!$H84*(1-Constants!$H102))+(BA8*Constants!$H66*Constants!$H118))</f>
        <v>22455210.933649883</v>
      </c>
      <c r="BB53" s="22">
        <f>((BB8*Constants!$H66*Constants!$H84*(1-Constants!$H102))+(BB8*Constants!$H66*Constants!$H118))</f>
        <v>22451358.435749538</v>
      </c>
      <c r="BC53" s="22">
        <f>((BC8*Constants!$H66*Constants!$H84*(1-Constants!$H102))+(BC8*Constants!$H66*Constants!$H118))</f>
        <v>22485072.449731551</v>
      </c>
      <c r="BD53" s="22">
        <f>((BD8*Constants!$H66*Constants!$H84*(1-Constants!$H102))+(BD8*Constants!$H66*Constants!$H118))</f>
        <v>22478849.786211781</v>
      </c>
      <c r="BE53" s="22">
        <f>((BE8*Constants!$H66*Constants!$H84*(1-Constants!$H102))+(BE8*Constants!$H66*Constants!$H118))</f>
        <v>22483610.882150181</v>
      </c>
      <c r="BF53" s="22">
        <f>((BF8*Constants!$H66*Constants!$H84*(1-Constants!$H102))+(BF8*Constants!$H66*Constants!$H118))</f>
        <v>22472805.694658604</v>
      </c>
      <c r="BG53" s="22">
        <f>((BG8*Constants!$H66*Constants!$H84*(1-Constants!$H102))+(BG8*Constants!$H66*Constants!$H118))</f>
        <v>22634100.766990907</v>
      </c>
      <c r="BH53" s="22">
        <f>((BH8*Constants!$H66*Constants!$H84*(1-Constants!$H102))+(BH8*Constants!$H66*Constants!$H118))</f>
        <v>22752097.269237734</v>
      </c>
      <c r="BI53" s="22">
        <f>((BI8*Constants!$H66*Constants!$H84*(1-Constants!$H102))+(BI8*Constants!$H66*Constants!$H118))</f>
        <v>22863285.672869198</v>
      </c>
      <c r="BJ53" s="22">
        <f>((BJ8*Constants!$H66*Constants!$H84*(1-Constants!$H102))+(BJ8*Constants!$H66*Constants!$H118))</f>
        <v>22976173.25345986</v>
      </c>
      <c r="BK53" s="22">
        <f>((BK8*Constants!$H66*Constants!$H84*(1-Constants!$H102))+(BK8*Constants!$H66*Constants!$H118))</f>
        <v>23093208.083480667</v>
      </c>
      <c r="BL53" s="22">
        <f>((BL8*Constants!$H66*Constants!$H84*(1-Constants!$H102))+(BL8*Constants!$H66*Constants!$H118))</f>
        <v>23276615.089275096</v>
      </c>
      <c r="BM53" s="22">
        <f>((BM8*Constants!$H66*Constants!$H84*(1-Constants!$H102))+(BM8*Constants!$H66*Constants!$H118))</f>
        <v>23224956.790672958</v>
      </c>
      <c r="BN53" s="22">
        <f>((BN8*Constants!$H66*Constants!$H84*(1-Constants!$H102))+(BN8*Constants!$H66*Constants!$H118))</f>
        <v>23147505.120255399</v>
      </c>
      <c r="BO53" s="22">
        <f>((BO8*Constants!$H66*Constants!$H84*(1-Constants!$H102))+(BO8*Constants!$H66*Constants!$H118))</f>
        <v>23067286.197060373</v>
      </c>
      <c r="BP53" s="22">
        <f>((BP8*Constants!$H66*Constants!$H84*(1-Constants!$H102))+(BP8*Constants!$H66*Constants!$H118))</f>
        <v>22974701.550642218</v>
      </c>
    </row>
    <row r="54" spans="1:72" x14ac:dyDescent="0.2">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167823532.13784513</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161788902.46317405</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134178785.51179624</v>
      </c>
      <c r="AM54" s="22">
        <f>((AM9*Constants!$H67*Constants!$H85*(1-Constants!$H103))+(AM9*Constants!$H67*Constants!$H119))</f>
        <v>136745357.31470326</v>
      </c>
      <c r="AN54" s="22">
        <f>((AN9*Constants!$H67*Constants!$H85*(1-Constants!$H103))+(AN9*Constants!$H67*Constants!$H119))</f>
        <v>138117605.1511977</v>
      </c>
      <c r="AO54" s="22">
        <f>((AO9*Constants!$H67*Constants!$H85*(1-Constants!$H103))+(AO9*Constants!$H67*Constants!$H119))</f>
        <v>139173948.84519577</v>
      </c>
      <c r="AP54" s="22">
        <f>((AP9*Constants!$H67*Constants!$H85*(1-Constants!$H103))+(AP9*Constants!$H67*Constants!$H119))</f>
        <v>140702314.06702724</v>
      </c>
      <c r="AQ54" s="22">
        <f>((AQ9*Constants!$H67*Constants!$H85*(1-Constants!$H103))+(AQ9*Constants!$H67*Constants!$H119))</f>
        <v>141942664.06041372</v>
      </c>
      <c r="AR54" s="22">
        <f>((AR9*Constants!$H67*Constants!$H85*(1-Constants!$H103))+(AR9*Constants!$H67*Constants!$H119))</f>
        <v>142742262.62324035</v>
      </c>
      <c r="AS54" s="22">
        <f>((AS9*Constants!$H67*Constants!$H85*(1-Constants!$H103))+(AS9*Constants!$H67*Constants!$H119))</f>
        <v>143364690.27486679</v>
      </c>
      <c r="AT54" s="22">
        <f>((AT9*Constants!$H67*Constants!$H85*(1-Constants!$H103))+(AT9*Constants!$H67*Constants!$H119))</f>
        <v>143750459.42764622</v>
      </c>
      <c r="AU54" s="22">
        <f>((AU9*Constants!$H67*Constants!$H85*(1-Constants!$H103))+(AU9*Constants!$H67*Constants!$H119))</f>
        <v>144892487.74206063</v>
      </c>
      <c r="AV54" s="22">
        <f>((AV9*Constants!$H67*Constants!$H85*(1-Constants!$H103))+(AV9*Constants!$H67*Constants!$H119))</f>
        <v>145920037.46958038</v>
      </c>
      <c r="AW54" s="22">
        <f>((AW9*Constants!$H67*Constants!$H85*(1-Constants!$H103))+(AW9*Constants!$H67*Constants!$H119))</f>
        <v>145973034.6345447</v>
      </c>
      <c r="AX54" s="22">
        <f>((AX9*Constants!$H67*Constants!$H85*(1-Constants!$H103))+(AX9*Constants!$H67*Constants!$H119))</f>
        <v>146661398.34328902</v>
      </c>
      <c r="AY54" s="22">
        <f>((AY9*Constants!$H67*Constants!$H85*(1-Constants!$H103))+(AY9*Constants!$H67*Constants!$H119))</f>
        <v>147571668.94536769</v>
      </c>
      <c r="AZ54" s="22">
        <f>((AZ9*Constants!$H67*Constants!$H85*(1-Constants!$H103))+(AZ9*Constants!$H67*Constants!$H119))</f>
        <v>149099921.90939468</v>
      </c>
      <c r="BA54" s="22">
        <f>((BA9*Constants!$H67*Constants!$H85*(1-Constants!$H103))+(BA9*Constants!$H67*Constants!$H119))</f>
        <v>149344008.30598983</v>
      </c>
      <c r="BB54" s="22">
        <f>((BB9*Constants!$H67*Constants!$H85*(1-Constants!$H103))+(BB9*Constants!$H67*Constants!$H119))</f>
        <v>149318386.30314475</v>
      </c>
      <c r="BC54" s="22">
        <f>((BC9*Constants!$H67*Constants!$H85*(1-Constants!$H103))+(BC9*Constants!$H67*Constants!$H119))</f>
        <v>149542609.80293891</v>
      </c>
      <c r="BD54" s="22">
        <f>((BD9*Constants!$H67*Constants!$H85*(1-Constants!$H103))+(BD9*Constants!$H67*Constants!$H119))</f>
        <v>149501224.41960278</v>
      </c>
      <c r="BE54" s="22">
        <f>((BE9*Constants!$H67*Constants!$H85*(1-Constants!$H103))+(BE9*Constants!$H67*Constants!$H119))</f>
        <v>149532889.28142351</v>
      </c>
      <c r="BF54" s="22">
        <f>((BF9*Constants!$H67*Constants!$H85*(1-Constants!$H103))+(BF9*Constants!$H67*Constants!$H119))</f>
        <v>149461026.67388636</v>
      </c>
      <c r="BG54" s="22">
        <f>((BG9*Constants!$H67*Constants!$H85*(1-Constants!$H103))+(BG9*Constants!$H67*Constants!$H119))</f>
        <v>150533759.97811967</v>
      </c>
      <c r="BH54" s="22">
        <f>((BH9*Constants!$H67*Constants!$H85*(1-Constants!$H103))+(BH9*Constants!$H67*Constants!$H119))</f>
        <v>151318525.28999749</v>
      </c>
      <c r="BI54" s="22">
        <f>((BI9*Constants!$H67*Constants!$H85*(1-Constants!$H103))+(BI9*Constants!$H67*Constants!$H119))</f>
        <v>152058011.63570732</v>
      </c>
      <c r="BJ54" s="22">
        <f>((BJ9*Constants!$H67*Constants!$H85*(1-Constants!$H103))+(BJ9*Constants!$H67*Constants!$H119))</f>
        <v>152808798.78365213</v>
      </c>
      <c r="BK54" s="22">
        <f>((BK9*Constants!$H67*Constants!$H85*(1-Constants!$H103))+(BK9*Constants!$H67*Constants!$H119))</f>
        <v>153587168.25336513</v>
      </c>
      <c r="BL54" s="22">
        <f>((BL9*Constants!$H67*Constants!$H85*(1-Constants!$H103))+(BL9*Constants!$H67*Constants!$H119))</f>
        <v>154806962.51304376</v>
      </c>
      <c r="BM54" s="22">
        <f>((BM9*Constants!$H67*Constants!$H85*(1-Constants!$H103))+(BM9*Constants!$H67*Constants!$H119))</f>
        <v>154463396.05097368</v>
      </c>
      <c r="BN54" s="22">
        <f>((BN9*Constants!$H67*Constants!$H85*(1-Constants!$H103))+(BN9*Constants!$H67*Constants!$H119))</f>
        <v>153948284.30500391</v>
      </c>
      <c r="BO54" s="22">
        <f>((BO9*Constants!$H67*Constants!$H85*(1-Constants!$H103))+(BO9*Constants!$H67*Constants!$H119))</f>
        <v>153414768.25087574</v>
      </c>
      <c r="BP54" s="22">
        <f>((BP9*Constants!$H67*Constants!$H85*(1-Constants!$H103))+(BP9*Constants!$H67*Constants!$H119))</f>
        <v>152799010.85520777</v>
      </c>
    </row>
    <row r="55" spans="1:72" x14ac:dyDescent="0.2">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22601454.870712783</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24632268.790066551</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23960869.441787548</v>
      </c>
      <c r="AM55" s="22">
        <f>((AM10*Constants!$H68*Constants!$H86*(1-Constants!$H104))+(AM10*Constants!$H68*Constants!$H120))</f>
        <v>25007517.087917022</v>
      </c>
      <c r="AN55" s="22">
        <f>((AN10*Constants!$H68*Constants!$H86*(1-Constants!$H104))+(AN10*Constants!$H68*Constants!$H120))</f>
        <v>25858657.0856186</v>
      </c>
      <c r="AO55" s="22">
        <f>((AO10*Constants!$H68*Constants!$H86*(1-Constants!$H104))+(AO10*Constants!$H68*Constants!$H120))</f>
        <v>26667707.746321682</v>
      </c>
      <c r="AP55" s="22">
        <f>((AP10*Constants!$H68*Constants!$H86*(1-Constants!$H104))+(AP10*Constants!$H68*Constants!$H120))</f>
        <v>27585610.193362545</v>
      </c>
      <c r="AQ55" s="22">
        <f>((AQ10*Constants!$H68*Constants!$H86*(1-Constants!$H104))+(AQ10*Constants!$H68*Constants!$H120))</f>
        <v>28466928.012285378</v>
      </c>
      <c r="AR55" s="22">
        <f>((AR10*Constants!$H68*Constants!$H86*(1-Constants!$H104))+(AR10*Constants!$H68*Constants!$H120))</f>
        <v>29277106.139368538</v>
      </c>
      <c r="AS55" s="22">
        <f>((AS10*Constants!$H68*Constants!$H86*(1-Constants!$H104))+(AS10*Constants!$H68*Constants!$H120))</f>
        <v>30065986.356847923</v>
      </c>
      <c r="AT55" s="22">
        <f>((AT10*Constants!$H68*Constants!$H86*(1-Constants!$H104))+(AT10*Constants!$H68*Constants!$H120))</f>
        <v>30818917.998539433</v>
      </c>
      <c r="AU55" s="22">
        <f>((AU10*Constants!$H68*Constants!$H86*(1-Constants!$H104))+(AU10*Constants!$H68*Constants!$H120))</f>
        <v>31750673.307203729</v>
      </c>
      <c r="AV55" s="22">
        <f>((AV10*Constants!$H68*Constants!$H86*(1-Constants!$H104))+(AV10*Constants!$H68*Constants!$H120))</f>
        <v>32677682.530993339</v>
      </c>
      <c r="AW55" s="22">
        <f>((AW10*Constants!$H68*Constants!$H86*(1-Constants!$H104))+(AW10*Constants!$H68*Constants!$H120))</f>
        <v>33773624.914301224</v>
      </c>
      <c r="AX55" s="22">
        <f>((AX10*Constants!$H68*Constants!$H86*(1-Constants!$H104))+(AX10*Constants!$H68*Constants!$H120))</f>
        <v>35060354.760028444</v>
      </c>
      <c r="AY55" s="22">
        <f>((AY10*Constants!$H68*Constants!$H86*(1-Constants!$H104))+(AY10*Constants!$H68*Constants!$H120))</f>
        <v>36453110.031016141</v>
      </c>
      <c r="AZ55" s="22">
        <f>((AZ10*Constants!$H68*Constants!$H86*(1-Constants!$H104))+(AZ10*Constants!$H68*Constants!$H120))</f>
        <v>38061387.859815918</v>
      </c>
      <c r="BA55" s="22">
        <f>((BA10*Constants!$H68*Constants!$H86*(1-Constants!$H104))+(BA10*Constants!$H68*Constants!$H120))</f>
        <v>39402508.30946023</v>
      </c>
      <c r="BB55" s="22">
        <f>((BB10*Constants!$H68*Constants!$H86*(1-Constants!$H104))+(BB10*Constants!$H68*Constants!$H120))</f>
        <v>40723042.284069747</v>
      </c>
      <c r="BC55" s="22">
        <f>((BC10*Constants!$H68*Constants!$H86*(1-Constants!$H104))+(BC10*Constants!$H68*Constants!$H120))</f>
        <v>42165137.391339362</v>
      </c>
      <c r="BD55" s="22">
        <f>((BD10*Constants!$H68*Constants!$H86*(1-Constants!$H104))+(BD10*Constants!$H68*Constants!$H120))</f>
        <v>43588766.305680811</v>
      </c>
      <c r="BE55" s="22">
        <f>((BE10*Constants!$H68*Constants!$H86*(1-Constants!$H104))+(BE10*Constants!$H68*Constants!$H120))</f>
        <v>45091679.991691351</v>
      </c>
      <c r="BF55" s="22">
        <f>((BF10*Constants!$H68*Constants!$H86*(1-Constants!$H104))+(BF10*Constants!$H68*Constants!$H120))</f>
        <v>46624614.639348105</v>
      </c>
      <c r="BG55" s="22">
        <f>((BG10*Constants!$H68*Constants!$H86*(1-Constants!$H104))+(BG10*Constants!$H68*Constants!$H120))</f>
        <v>48284222.013529047</v>
      </c>
      <c r="BH55" s="22">
        <f>((BH10*Constants!$H68*Constants!$H86*(1-Constants!$H104))+(BH10*Constants!$H68*Constants!$H120))</f>
        <v>49910125.199787423</v>
      </c>
      <c r="BI55" s="22">
        <f>((BI10*Constants!$H68*Constants!$H86*(1-Constants!$H104))+(BI10*Constants!$H68*Constants!$H120))</f>
        <v>51579564.261038475</v>
      </c>
      <c r="BJ55" s="22">
        <f>((BJ10*Constants!$H68*Constants!$H86*(1-Constants!$H104))+(BJ10*Constants!$H68*Constants!$H120))</f>
        <v>53313904.640262984</v>
      </c>
      <c r="BK55" s="22">
        <f>((BK10*Constants!$H68*Constants!$H86*(1-Constants!$H104))+(BK10*Constants!$H68*Constants!$H120))</f>
        <v>55122413.357529514</v>
      </c>
      <c r="BL55" s="22">
        <f>((BL10*Constants!$H68*Constants!$H86*(1-Constants!$H104))+(BL10*Constants!$H68*Constants!$H120))</f>
        <v>57162053.294700369</v>
      </c>
      <c r="BM55" s="22">
        <f>((BM10*Constants!$H68*Constants!$H86*(1-Constants!$H104))+(BM10*Constants!$H68*Constants!$H120))</f>
        <v>58688822.047714174</v>
      </c>
      <c r="BN55" s="22">
        <f>((BN10*Constants!$H68*Constants!$H86*(1-Constants!$H104))+(BN10*Constants!$H68*Constants!$H120))</f>
        <v>60199273.483975977</v>
      </c>
      <c r="BO55" s="22">
        <f>((BO10*Constants!$H68*Constants!$H86*(1-Constants!$H104))+(BO10*Constants!$H68*Constants!$H120))</f>
        <v>61751857.260784127</v>
      </c>
      <c r="BP55" s="22">
        <f>((BP10*Constants!$H68*Constants!$H86*(1-Constants!$H104))+(BP10*Constants!$H68*Constants!$H120))</f>
        <v>63322149.171438806</v>
      </c>
    </row>
    <row r="56" spans="1:72" x14ac:dyDescent="0.2">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3788658.4360195673</v>
      </c>
      <c r="AM56" s="22">
        <f>((AM11*Constants!$H69*Constants!$H87*(1-Constants!$H105))+(AM11*Constants!$H69*Constants!$H121))</f>
        <v>3794428.2552816616</v>
      </c>
      <c r="AN56" s="22">
        <f>((AN11*Constants!$H69*Constants!$H87*(1-Constants!$H105))+(AN11*Constants!$H69*Constants!$H121))</f>
        <v>3800949.5318680773</v>
      </c>
      <c r="AO56" s="22">
        <f>((AO11*Constants!$H69*Constants!$H87*(1-Constants!$H105))+(AO11*Constants!$H69*Constants!$H121))</f>
        <v>3808306.1084088241</v>
      </c>
      <c r="AP56" s="22">
        <f>((AP11*Constants!$H69*Constants!$H87*(1-Constants!$H105))+(AP11*Constants!$H69*Constants!$H121))</f>
        <v>3816581.7162559312</v>
      </c>
      <c r="AQ56" s="22">
        <f>((AQ11*Constants!$H69*Constants!$H87*(1-Constants!$H105))+(AQ11*Constants!$H69*Constants!$H121))</f>
        <v>3825603.7914531236</v>
      </c>
      <c r="AR56" s="22">
        <f>((AR11*Constants!$H69*Constants!$H87*(1-Constants!$H105))+(AR11*Constants!$H69*Constants!$H121))</f>
        <v>3831090.9436113676</v>
      </c>
      <c r="AS56" s="22">
        <f>((AS11*Constants!$H69*Constants!$H87*(1-Constants!$H105))+(AS11*Constants!$H69*Constants!$H121))</f>
        <v>3837219.777011706</v>
      </c>
      <c r="AT56" s="22">
        <f>((AT11*Constants!$H69*Constants!$H87*(1-Constants!$H105))+(AT11*Constants!$H69*Constants!$H121))</f>
        <v>3843945.3329419941</v>
      </c>
      <c r="AU56" s="22">
        <f>((AU11*Constants!$H69*Constants!$H87*(1-Constants!$H105))+(AU11*Constants!$H69*Constants!$H121))</f>
        <v>3851419.8827275084</v>
      </c>
      <c r="AV56" s="22">
        <f>((AV11*Constants!$H69*Constants!$H87*(1-Constants!$H105))+(AV11*Constants!$H69*Constants!$H121))</f>
        <v>3859459.7763734967</v>
      </c>
      <c r="AW56" s="22">
        <f>((AW11*Constants!$H69*Constants!$H87*(1-Constants!$H105))+(AW11*Constants!$H69*Constants!$H121))</f>
        <v>3864713.2912446312</v>
      </c>
      <c r="AX56" s="22">
        <f>((AX11*Constants!$H69*Constants!$H87*(1-Constants!$H105))+(AX11*Constants!$H69*Constants!$H121))</f>
        <v>3870610.3851667722</v>
      </c>
      <c r="AY56" s="22">
        <f>((AY11*Constants!$H69*Constants!$H87*(1-Constants!$H105))+(AY11*Constants!$H69*Constants!$H121))</f>
        <v>3877056.8509962708</v>
      </c>
      <c r="AZ56" s="22">
        <f>((AZ11*Constants!$H69*Constants!$H87*(1-Constants!$H105))+(AZ11*Constants!$H69*Constants!$H121))</f>
        <v>3884119.6367062987</v>
      </c>
      <c r="BA56" s="22">
        <f>((BA11*Constants!$H69*Constants!$H87*(1-Constants!$H105))+(BA11*Constants!$H69*Constants!$H121))</f>
        <v>3891391.4618014079</v>
      </c>
      <c r="BB56" s="22">
        <f>((BB11*Constants!$H69*Constants!$H87*(1-Constants!$H105))+(BB11*Constants!$H69*Constants!$H121))</f>
        <v>3895848.1827835292</v>
      </c>
      <c r="BC56" s="22">
        <f>((BC11*Constants!$H69*Constants!$H87*(1-Constants!$H105))+(BC11*Constants!$H69*Constants!$H121))</f>
        <v>3900771.5184512348</v>
      </c>
      <c r="BD56" s="22">
        <f>((BD11*Constants!$H69*Constants!$H87*(1-Constants!$H105))+(BD11*Constants!$H69*Constants!$H121))</f>
        <v>3906035.9688312565</v>
      </c>
      <c r="BE56" s="22">
        <f>((BE11*Constants!$H69*Constants!$H87*(1-Constants!$H105))+(BE11*Constants!$H69*Constants!$H121))</f>
        <v>3911704.1660941327</v>
      </c>
      <c r="BF56" s="22">
        <f>((BF11*Constants!$H69*Constants!$H87*(1-Constants!$H105))+(BF11*Constants!$H69*Constants!$H121))</f>
        <v>3917724.8895751154</v>
      </c>
      <c r="BG56" s="22">
        <f>((BG11*Constants!$H69*Constants!$H87*(1-Constants!$H105))+(BG11*Constants!$H69*Constants!$H121))</f>
        <v>3921216.4181451835</v>
      </c>
      <c r="BH56" s="22">
        <f>((BH11*Constants!$H69*Constants!$H87*(1-Constants!$H105))+(BH11*Constants!$H69*Constants!$H121))</f>
        <v>3924972.0085571846</v>
      </c>
      <c r="BI56" s="22">
        <f>((BI11*Constants!$H69*Constants!$H87*(1-Constants!$H105))+(BI11*Constants!$H69*Constants!$H121))</f>
        <v>3929039.6576005248</v>
      </c>
      <c r="BJ56" s="22">
        <f>((BJ11*Constants!$H69*Constants!$H87*(1-Constants!$H105))+(BJ11*Constants!$H69*Constants!$H121))</f>
        <v>3933424.9806070654</v>
      </c>
      <c r="BK56" s="22">
        <f>((BK11*Constants!$H69*Constants!$H87*(1-Constants!$H105))+(BK11*Constants!$H69*Constants!$H121))</f>
        <v>3938124.9120061914</v>
      </c>
      <c r="BL56" s="22">
        <f>((BL11*Constants!$H69*Constants!$H87*(1-Constants!$H105))+(BL11*Constants!$H69*Constants!$H121))</f>
        <v>3940226.4870370915</v>
      </c>
      <c r="BM56" s="22">
        <f>((BM11*Constants!$H69*Constants!$H87*(1-Constants!$H105))+(BM11*Constants!$H69*Constants!$H121))</f>
        <v>3942182.5518124872</v>
      </c>
      <c r="BN56" s="22">
        <f>((BN11*Constants!$H69*Constants!$H87*(1-Constants!$H105))+(BN11*Constants!$H69*Constants!$H121))</f>
        <v>3944351.0484233876</v>
      </c>
      <c r="BO56" s="22">
        <f>((BO11*Constants!$H69*Constants!$H87*(1-Constants!$H105))+(BO11*Constants!$H69*Constants!$H121))</f>
        <v>3946766.7357623582</v>
      </c>
      <c r="BP56" s="22">
        <f>((BP11*Constants!$H69*Constants!$H87*(1-Constants!$H105))+(BP11*Constants!$H69*Constants!$H121))</f>
        <v>3949404.746021946</v>
      </c>
    </row>
    <row r="57" spans="1:72" x14ac:dyDescent="0.2">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3083452.9701152244</v>
      </c>
      <c r="AM57" s="22">
        <f>((AM12*Constants!$H70*Constants!$H88*(1-Constants!$H106))+(AM12*Constants!$H70*Constants!$H122))</f>
        <v>3088148.8186962386</v>
      </c>
      <c r="AN57" s="22">
        <f>((AN12*Constants!$H70*Constants!$H88*(1-Constants!$H106))+(AN12*Constants!$H70*Constants!$H122))</f>
        <v>3093456.251392772</v>
      </c>
      <c r="AO57" s="22">
        <f>((AO12*Constants!$H70*Constants!$H88*(1-Constants!$H106))+(AO12*Constants!$H70*Constants!$H122))</f>
        <v>3099443.5047088242</v>
      </c>
      <c r="AP57" s="22">
        <f>((AP12*Constants!$H70*Constants!$H88*(1-Constants!$H106))+(AP12*Constants!$H70*Constants!$H122))</f>
        <v>3106178.7245832444</v>
      </c>
      <c r="AQ57" s="22">
        <f>((AQ12*Constants!$H70*Constants!$H88*(1-Constants!$H106))+(AQ12*Constants!$H70*Constants!$H122))</f>
        <v>3113521.467412448</v>
      </c>
      <c r="AR57" s="22">
        <f>((AR12*Constants!$H70*Constants!$H88*(1-Constants!$H106))+(AR12*Constants!$H70*Constants!$H122))</f>
        <v>3117987.2633942016</v>
      </c>
      <c r="AS57" s="22">
        <f>((AS12*Constants!$H70*Constants!$H88*(1-Constants!$H106))+(AS12*Constants!$H70*Constants!$H122))</f>
        <v>3122975.3006825317</v>
      </c>
      <c r="AT57" s="22">
        <f>((AT12*Constants!$H70*Constants!$H88*(1-Constants!$H106))+(AT12*Constants!$H70*Constants!$H122))</f>
        <v>3128448.9889970459</v>
      </c>
      <c r="AU57" s="22">
        <f>((AU12*Constants!$H70*Constants!$H88*(1-Constants!$H106))+(AU12*Constants!$H70*Constants!$H122))</f>
        <v>3134532.256498096</v>
      </c>
      <c r="AV57" s="22">
        <f>((AV12*Constants!$H70*Constants!$H88*(1-Constants!$H106))+(AV12*Constants!$H70*Constants!$H122))</f>
        <v>3141075.6370537155</v>
      </c>
      <c r="AW57" s="22">
        <f>((AW12*Constants!$H70*Constants!$H88*(1-Constants!$H106))+(AW12*Constants!$H70*Constants!$H122))</f>
        <v>3145351.2840423528</v>
      </c>
      <c r="AX57" s="22">
        <f>((AX12*Constants!$H70*Constants!$H88*(1-Constants!$H106))+(AX12*Constants!$H70*Constants!$H122))</f>
        <v>3150150.7168960511</v>
      </c>
      <c r="AY57" s="22">
        <f>((AY12*Constants!$H70*Constants!$H88*(1-Constants!$H106))+(AY12*Constants!$H70*Constants!$H122))</f>
        <v>3155397.2638055682</v>
      </c>
      <c r="AZ57" s="22">
        <f>((AZ12*Constants!$H70*Constants!$H88*(1-Constants!$H106))+(AZ12*Constants!$H70*Constants!$H122))</f>
        <v>3161145.4113207487</v>
      </c>
      <c r="BA57" s="22">
        <f>((BA12*Constants!$H70*Constants!$H88*(1-Constants!$H106))+(BA12*Constants!$H70*Constants!$H122))</f>
        <v>3167063.6884804154</v>
      </c>
      <c r="BB57" s="22">
        <f>((BB12*Constants!$H70*Constants!$H88*(1-Constants!$H106))+(BB12*Constants!$H70*Constants!$H122))</f>
        <v>3170690.8535525287</v>
      </c>
      <c r="BC57" s="22">
        <f>((BC12*Constants!$H70*Constants!$H88*(1-Constants!$H106))+(BC12*Constants!$H70*Constants!$H122))</f>
        <v>3174697.7795512229</v>
      </c>
      <c r="BD57" s="22">
        <f>((BD12*Constants!$H70*Constants!$H88*(1-Constants!$H106))+(BD12*Constants!$H70*Constants!$H122))</f>
        <v>3178982.3265576186</v>
      </c>
      <c r="BE57" s="22">
        <f>((BE12*Constants!$H70*Constants!$H88*(1-Constants!$H106))+(BE12*Constants!$H70*Constants!$H122))</f>
        <v>3183595.4686448681</v>
      </c>
      <c r="BF57" s="22">
        <f>((BF12*Constants!$H70*Constants!$H88*(1-Constants!$H106))+(BF12*Constants!$H70*Constants!$H122))</f>
        <v>3188495.5191543521</v>
      </c>
      <c r="BG57" s="22">
        <f>((BG12*Constants!$H70*Constants!$H88*(1-Constants!$H106))+(BG12*Constants!$H70*Constants!$H122))</f>
        <v>3191337.1488027959</v>
      </c>
      <c r="BH57" s="22">
        <f>((BH12*Constants!$H70*Constants!$H88*(1-Constants!$H106))+(BH12*Constants!$H70*Constants!$H122))</f>
        <v>3194393.6888963352</v>
      </c>
      <c r="BI57" s="22">
        <f>((BI12*Constants!$H70*Constants!$H88*(1-Constants!$H106))+(BI12*Constants!$H70*Constants!$H122))</f>
        <v>3197704.2022972875</v>
      </c>
      <c r="BJ57" s="22">
        <f>((BJ12*Constants!$H70*Constants!$H88*(1-Constants!$H106))+(BJ12*Constants!$H70*Constants!$H122))</f>
        <v>3201273.259122489</v>
      </c>
      <c r="BK57" s="22">
        <f>((BK12*Constants!$H70*Constants!$H88*(1-Constants!$H106))+(BK12*Constants!$H70*Constants!$H122))</f>
        <v>3205098.3644141653</v>
      </c>
      <c r="BL57" s="22">
        <f>((BL12*Constants!$H70*Constants!$H88*(1-Constants!$H106))+(BL12*Constants!$H70*Constants!$H122))</f>
        <v>3206808.7608197476</v>
      </c>
      <c r="BM57" s="22">
        <f>((BM12*Constants!$H70*Constants!$H88*(1-Constants!$H106))+(BM12*Constants!$H70*Constants!$H122))</f>
        <v>3208400.7316567306</v>
      </c>
      <c r="BN57" s="22">
        <f>((BN12*Constants!$H70*Constants!$H88*(1-Constants!$H106))+(BN12*Constants!$H70*Constants!$H122))</f>
        <v>3210165.5931317052</v>
      </c>
      <c r="BO57" s="22">
        <f>((BO12*Constants!$H70*Constants!$H88*(1-Constants!$H106))+(BO12*Constants!$H70*Constants!$H122))</f>
        <v>3212131.6342584011</v>
      </c>
      <c r="BP57" s="22">
        <f>((BP12*Constants!$H70*Constants!$H88*(1-Constants!$H106))+(BP12*Constants!$H70*Constants!$H122))</f>
        <v>3214278.6160218623</v>
      </c>
    </row>
    <row r="58" spans="1:72" x14ac:dyDescent="0.2">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459078.62878496025</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463923.78332724673</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471900.01049903809</v>
      </c>
      <c r="AK58" s="22">
        <f>((AK13*Constants!$H71*Constants!$H89*(1-Constants!$H107))+(AK13*Constants!$H71*Constants!$H123))</f>
        <v>475004.74383453937</v>
      </c>
      <c r="AL58" s="22">
        <f>((AL13*Constants!$H71*Constants!$H89*(1-Constants!$H107))+(AL13*Constants!$H71*Constants!$H123))</f>
        <v>477857.06577811105</v>
      </c>
      <c r="AM58" s="22">
        <f>((AM13*Constants!$H71*Constants!$H89*(1-Constants!$H107))+(AM13*Constants!$H71*Constants!$H123))</f>
        <v>479245.62366398319</v>
      </c>
      <c r="AN58" s="22">
        <f>((AN13*Constants!$H71*Constants!$H89*(1-Constants!$H107))+(AN13*Constants!$H71*Constants!$H123))</f>
        <v>480738.08933009149</v>
      </c>
      <c r="AO58" s="22">
        <f>((AO13*Constants!$H71*Constants!$H89*(1-Constants!$H107))+(AO13*Constants!$H71*Constants!$H123))</f>
        <v>482352.71430921811</v>
      </c>
      <c r="AP58" s="22">
        <f>((AP13*Constants!$H71*Constants!$H89*(1-Constants!$H107))+(AP13*Constants!$H71*Constants!$H123))</f>
        <v>484107.22674089344</v>
      </c>
      <c r="AQ58" s="22">
        <f>((AQ13*Constants!$H71*Constants!$H89*(1-Constants!$H107))+(AQ13*Constants!$H71*Constants!$H123))</f>
        <v>485970.4078824016</v>
      </c>
      <c r="AR58" s="22">
        <f>((AR13*Constants!$H71*Constants!$H89*(1-Constants!$H107))+(AR13*Constants!$H71*Constants!$H123))</f>
        <v>487135.19017047895</v>
      </c>
      <c r="AS58" s="22">
        <f>((AS13*Constants!$H71*Constants!$H89*(1-Constants!$H107))+(AS13*Constants!$H71*Constants!$H123))</f>
        <v>488395.17616043123</v>
      </c>
      <c r="AT58" s="22">
        <f>((AT13*Constants!$H71*Constants!$H89*(1-Constants!$H107))+(AT13*Constants!$H71*Constants!$H123))</f>
        <v>489742.95532613539</v>
      </c>
      <c r="AU58" s="22">
        <f>((AU13*Constants!$H71*Constants!$H89*(1-Constants!$H107))+(AU13*Constants!$H71*Constants!$H123))</f>
        <v>491208.03762759408</v>
      </c>
      <c r="AV58" s="22">
        <f>((AV13*Constants!$H71*Constants!$H89*(1-Constants!$H107))+(AV13*Constants!$H71*Constants!$H123))</f>
        <v>492756.67340077541</v>
      </c>
      <c r="AW58" s="22">
        <f>((AW13*Constants!$H71*Constants!$H89*(1-Constants!$H107))+(AW13*Constants!$H71*Constants!$H123))</f>
        <v>493763.45264209883</v>
      </c>
      <c r="AX58" s="22">
        <f>((AX13*Constants!$H71*Constants!$H89*(1-Constants!$H107))+(AX13*Constants!$H71*Constants!$H123))</f>
        <v>494872.28759373992</v>
      </c>
      <c r="AY58" s="22">
        <f>((AY13*Constants!$H71*Constants!$H89*(1-Constants!$H107))+(AY13*Constants!$H71*Constants!$H123))</f>
        <v>496066.03154384665</v>
      </c>
      <c r="AZ58" s="22">
        <f>((AZ13*Constants!$H71*Constants!$H89*(1-Constants!$H107))+(AZ13*Constants!$H71*Constants!$H123))</f>
        <v>497357.53105924244</v>
      </c>
      <c r="BA58" s="22">
        <f>((BA13*Constants!$H71*Constants!$H89*(1-Constants!$H107))+(BA13*Constants!$H71*Constants!$H123))</f>
        <v>498671.57997499395</v>
      </c>
      <c r="BB58" s="22">
        <f>((BB13*Constants!$H71*Constants!$H89*(1-Constants!$H107))+(BB13*Constants!$H71*Constants!$H123))</f>
        <v>499449.4156103417</v>
      </c>
      <c r="BC58" s="22">
        <f>((BC13*Constants!$H71*Constants!$H89*(1-Constants!$H107))+(BC13*Constants!$H71*Constants!$H123))</f>
        <v>500300.69651424827</v>
      </c>
      <c r="BD58" s="22">
        <f>((BD13*Constants!$H71*Constants!$H89*(1-Constants!$H107))+(BD13*Constants!$H71*Constants!$H123))</f>
        <v>501202.51084677252</v>
      </c>
      <c r="BE58" s="22">
        <f>((BE13*Constants!$H71*Constants!$H89*(1-Constants!$H107))+(BE13*Constants!$H71*Constants!$H123))</f>
        <v>502166.68519612448</v>
      </c>
      <c r="BF58" s="22">
        <f>((BF13*Constants!$H71*Constants!$H89*(1-Constants!$H107))+(BF13*Constants!$H71*Constants!$H123))</f>
        <v>503184.01806776854</v>
      </c>
      <c r="BG58" s="22">
        <f>((BG13*Constants!$H71*Constants!$H89*(1-Constants!$H107))+(BG13*Constants!$H71*Constants!$H123))</f>
        <v>503726.48781220638</v>
      </c>
      <c r="BH58" s="22">
        <f>((BH13*Constants!$H71*Constants!$H89*(1-Constants!$H107))+(BH13*Constants!$H71*Constants!$H123))</f>
        <v>504308.18059503846</v>
      </c>
      <c r="BI58" s="22">
        <f>((BI13*Constants!$H71*Constants!$H89*(1-Constants!$H107))+(BI13*Constants!$H71*Constants!$H123))</f>
        <v>504938.06996411079</v>
      </c>
      <c r="BJ58" s="22">
        <f>((BJ13*Constants!$H71*Constants!$H89*(1-Constants!$H107))+(BJ13*Constants!$H71*Constants!$H123))</f>
        <v>505617.31607810699</v>
      </c>
      <c r="BK58" s="22">
        <f>((BK13*Constants!$H71*Constants!$H89*(1-Constants!$H107))+(BK13*Constants!$H71*Constants!$H123))</f>
        <v>506345.47050023294</v>
      </c>
      <c r="BL58" s="22">
        <f>((BL13*Constants!$H71*Constants!$H89*(1-Constants!$H107))+(BL13*Constants!$H71*Constants!$H123))</f>
        <v>506593.17145955533</v>
      </c>
      <c r="BM58" s="22">
        <f>((BM13*Constants!$H71*Constants!$H89*(1-Constants!$H107))+(BM13*Constants!$H71*Constants!$H123))</f>
        <v>506808.18704943353</v>
      </c>
      <c r="BN58" s="22">
        <f>((BN13*Constants!$H71*Constants!$H89*(1-Constants!$H107))+(BN13*Constants!$H71*Constants!$H123))</f>
        <v>507055.79524549696</v>
      </c>
      <c r="BO58" s="22">
        <f>((BO13*Constants!$H71*Constants!$H89*(1-Constants!$H107))+(BO13*Constants!$H71*Constants!$H123))</f>
        <v>507342.37976376282</v>
      </c>
      <c r="BP58" s="22">
        <f>((BP13*Constants!$H71*Constants!$H89*(1-Constants!$H107))+(BP13*Constants!$H71*Constants!$H123))</f>
        <v>507663.5030621987</v>
      </c>
    </row>
    <row r="59" spans="1:72" x14ac:dyDescent="0.2">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5539270.0027186787</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5597731.9252125602</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5693973.5560297277</v>
      </c>
      <c r="AK59" s="22">
        <f>((AK14*Constants!$H72*Constants!$H90*(1-Constants!$H108))+(AK14*Constants!$H72*Constants!$H124))</f>
        <v>5731435.4528670963</v>
      </c>
      <c r="AL59" s="22">
        <f>((AL14*Constants!$H72*Constants!$H90*(1-Constants!$H108))+(AL14*Constants!$H72*Constants!$H124))</f>
        <v>5765851.7388570141</v>
      </c>
      <c r="AM59" s="22">
        <f>((AM14*Constants!$H72*Constants!$H90*(1-Constants!$H108))+(AM14*Constants!$H72*Constants!$H124))</f>
        <v>5782606.1607838357</v>
      </c>
      <c r="AN59" s="22">
        <f>((AN14*Constants!$H72*Constants!$H90*(1-Constants!$H108))+(AN14*Constants!$H72*Constants!$H124))</f>
        <v>5800614.3401587773</v>
      </c>
      <c r="AO59" s="22">
        <f>((AO14*Constants!$H72*Constants!$H90*(1-Constants!$H108))+(AO14*Constants!$H72*Constants!$H124))</f>
        <v>5820096.5010604691</v>
      </c>
      <c r="AP59" s="22">
        <f>((AP14*Constants!$H72*Constants!$H90*(1-Constants!$H108))+(AP14*Constants!$H72*Constants!$H124))</f>
        <v>5841266.5522734784</v>
      </c>
      <c r="AQ59" s="22">
        <f>((AQ14*Constants!$H72*Constants!$H90*(1-Constants!$H108))+(AQ14*Constants!$H72*Constants!$H124))</f>
        <v>5863747.8065939052</v>
      </c>
      <c r="AR59" s="22">
        <f>((AR14*Constants!$H72*Constants!$H90*(1-Constants!$H108))+(AR14*Constants!$H72*Constants!$H124))</f>
        <v>5877802.1388661824</v>
      </c>
      <c r="AS59" s="22">
        <f>((AS14*Constants!$H72*Constants!$H90*(1-Constants!$H108))+(AS14*Constants!$H72*Constants!$H124))</f>
        <v>5893005.2046600748</v>
      </c>
      <c r="AT59" s="22">
        <f>((AT14*Constants!$H72*Constants!$H90*(1-Constants!$H108))+(AT14*Constants!$H72*Constants!$H124))</f>
        <v>5909267.5881272247</v>
      </c>
      <c r="AU59" s="22">
        <f>((AU14*Constants!$H72*Constants!$H90*(1-Constants!$H108))+(AU14*Constants!$H72*Constants!$H124))</f>
        <v>5926945.3581978194</v>
      </c>
      <c r="AV59" s="22">
        <f>((AV14*Constants!$H72*Constants!$H90*(1-Constants!$H108))+(AV14*Constants!$H72*Constants!$H124))</f>
        <v>5945631.2894210285</v>
      </c>
      <c r="AW59" s="22">
        <f>((AW14*Constants!$H72*Constants!$H90*(1-Constants!$H108))+(AW14*Constants!$H72*Constants!$H124))</f>
        <v>5957779.147546296</v>
      </c>
      <c r="AX59" s="22">
        <f>((AX14*Constants!$H72*Constants!$H90*(1-Constants!$H108))+(AX14*Constants!$H72*Constants!$H124))</f>
        <v>5971158.4159340402</v>
      </c>
      <c r="AY59" s="22">
        <f>((AY14*Constants!$H72*Constants!$H90*(1-Constants!$H108))+(AY14*Constants!$H72*Constants!$H124))</f>
        <v>5985562.2013405943</v>
      </c>
      <c r="AZ59" s="22">
        <f>((AZ14*Constants!$H72*Constants!$H90*(1-Constants!$H108))+(AZ14*Constants!$H72*Constants!$H124))</f>
        <v>6001145.5112042911</v>
      </c>
      <c r="BA59" s="22">
        <f>((BA14*Constants!$H72*Constants!$H90*(1-Constants!$H108))+(BA14*Constants!$H72*Constants!$H124))</f>
        <v>6017000.9034720436</v>
      </c>
      <c r="BB59" s="22">
        <f>((BB14*Constants!$H72*Constants!$H90*(1-Constants!$H108))+(BB14*Constants!$H72*Constants!$H124))</f>
        <v>6026386.3144490924</v>
      </c>
      <c r="BC59" s="22">
        <f>((BC14*Constants!$H72*Constants!$H90*(1-Constants!$H108))+(BC14*Constants!$H72*Constants!$H124))</f>
        <v>6036657.9203989888</v>
      </c>
      <c r="BD59" s="22">
        <f>((BD14*Constants!$H72*Constants!$H90*(1-Constants!$H108))+(BD14*Constants!$H72*Constants!$H124))</f>
        <v>6047539.2657001074</v>
      </c>
      <c r="BE59" s="22">
        <f>((BE14*Constants!$H72*Constants!$H90*(1-Constants!$H108))+(BE14*Constants!$H72*Constants!$H124))</f>
        <v>6059173.0506682536</v>
      </c>
      <c r="BF59" s="22">
        <f>((BF14*Constants!$H72*Constants!$H90*(1-Constants!$H108))+(BF14*Constants!$H72*Constants!$H124))</f>
        <v>6071448.2495238222</v>
      </c>
      <c r="BG59" s="22">
        <f>((BG14*Constants!$H72*Constants!$H90*(1-Constants!$H108))+(BG14*Constants!$H72*Constants!$H124))</f>
        <v>6077993.7216811748</v>
      </c>
      <c r="BH59" s="22">
        <f>((BH14*Constants!$H72*Constants!$H90*(1-Constants!$H108))+(BH14*Constants!$H72*Constants!$H124))</f>
        <v>6085012.4613495143</v>
      </c>
      <c r="BI59" s="22">
        <f>((BI14*Constants!$H72*Constants!$H90*(1-Constants!$H108))+(BI14*Constants!$H72*Constants!$H124))</f>
        <v>6092612.7438901514</v>
      </c>
      <c r="BJ59" s="22">
        <f>((BJ14*Constants!$H72*Constants!$H90*(1-Constants!$H108))+(BJ14*Constants!$H72*Constants!$H124))</f>
        <v>6100808.5678466717</v>
      </c>
      <c r="BK59" s="22">
        <f>((BK14*Constants!$H72*Constants!$H90*(1-Constants!$H108))+(BK14*Constants!$H72*Constants!$H124))</f>
        <v>6109594.5223540813</v>
      </c>
      <c r="BL59" s="22">
        <f>((BL14*Constants!$H72*Constants!$H90*(1-Constants!$H108))+(BL14*Constants!$H72*Constants!$H124))</f>
        <v>6112583.2968419092</v>
      </c>
      <c r="BM59" s="22">
        <f>((BM14*Constants!$H72*Constants!$H90*(1-Constants!$H108))+(BM14*Constants!$H72*Constants!$H124))</f>
        <v>6115177.6877206163</v>
      </c>
      <c r="BN59" s="22">
        <f>((BN14*Constants!$H72*Constants!$H90*(1-Constants!$H108))+(BN14*Constants!$H72*Constants!$H124))</f>
        <v>6118165.3429214507</v>
      </c>
      <c r="BO59" s="22">
        <f>((BO14*Constants!$H72*Constants!$H90*(1-Constants!$H108))+(BO14*Constants!$H72*Constants!$H124))</f>
        <v>6121623.2887410484</v>
      </c>
      <c r="BP59" s="22">
        <f>((BP14*Constants!$H72*Constants!$H90*(1-Constants!$H108))+(BP14*Constants!$H72*Constants!$H124))</f>
        <v>6125497.9815336708</v>
      </c>
    </row>
    <row r="60" spans="1:72" x14ac:dyDescent="0.2">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7887809.550391132</v>
      </c>
      <c r="AF62" s="22">
        <f>((AF17*Constants!$H75*Constants!$H93*(1-Constants!$H111))+(AF17*Constants!$H75*Constants!$H127))</f>
        <v>7891347.8708342705</v>
      </c>
      <c r="AG62" s="22">
        <f>((AG17*Constants!$H75*Constants!$H93*(1-Constants!$H111))+(AG17*Constants!$H75*Constants!$H127))</f>
        <v>7818899.2502508275</v>
      </c>
      <c r="AH62" s="22">
        <f>((AH17*Constants!$H75*Constants!$H93*(1-Constants!$H111))+(AH17*Constants!$H75*Constants!$H127))</f>
        <v>7700573.9427559124</v>
      </c>
      <c r="AI62" s="22">
        <f>((AI17*Constants!$H75*Constants!$H93*(1-Constants!$H111))+(AI17*Constants!$H75*Constants!$H127))</f>
        <v>7538263.503845348</v>
      </c>
      <c r="AJ62" s="22">
        <f>((AJ17*Constants!$H75*Constants!$H93*(1-Constants!$H111))+(AJ17*Constants!$H75*Constants!$H127))</f>
        <v>7420408.12542935</v>
      </c>
      <c r="AK62" s="22">
        <f>((AK17*Constants!$H75*Constants!$H93*(1-Constants!$H111))+(AK17*Constants!$H75*Constants!$H127))</f>
        <v>7312981.3674521055</v>
      </c>
      <c r="AL62" s="22">
        <f>((AL17*Constants!$H75*Constants!$H93*(1-Constants!$H111))+(AL17*Constants!$H75*Constants!$H127))</f>
        <v>6515821.9221795555</v>
      </c>
      <c r="AM62" s="22">
        <f>((AM17*Constants!$H75*Constants!$H93*(1-Constants!$H111))+(AM17*Constants!$H75*Constants!$H127))</f>
        <v>6617555.0007121535</v>
      </c>
      <c r="AN62" s="22">
        <f>((AN17*Constants!$H75*Constants!$H93*(1-Constants!$H111))+(AN17*Constants!$H75*Constants!$H127))</f>
        <v>6660761.9733956745</v>
      </c>
      <c r="AO62" s="22">
        <f>((AO17*Constants!$H75*Constants!$H93*(1-Constants!$H111))+(AO17*Constants!$H75*Constants!$H127))</f>
        <v>6689217.0027276985</v>
      </c>
      <c r="AP62" s="22">
        <f>((AP17*Constants!$H75*Constants!$H93*(1-Constants!$H111))+(AP17*Constants!$H75*Constants!$H127))</f>
        <v>6741906.5181250935</v>
      </c>
      <c r="AQ62" s="22">
        <f>((AQ17*Constants!$H75*Constants!$H93*(1-Constants!$H111))+(AQ17*Constants!$H75*Constants!$H127))</f>
        <v>6781150.0234559448</v>
      </c>
      <c r="AR62" s="22">
        <f>((AR17*Constants!$H75*Constants!$H93*(1-Constants!$H111))+(AR17*Constants!$H75*Constants!$H127))</f>
        <v>6801734.6978052463</v>
      </c>
      <c r="AS62" s="22">
        <f>((AS17*Constants!$H75*Constants!$H93*(1-Constants!$H111))+(AS17*Constants!$H75*Constants!$H127))</f>
        <v>6814346.8123261752</v>
      </c>
      <c r="AT62" s="22">
        <f>((AT17*Constants!$H75*Constants!$H93*(1-Constants!$H111))+(AT17*Constants!$H75*Constants!$H127))</f>
        <v>6816057.661851394</v>
      </c>
      <c r="AU62" s="22">
        <f>((AU17*Constants!$H75*Constants!$H93*(1-Constants!$H111))+(AU17*Constants!$H75*Constants!$H127))</f>
        <v>6855638.3756331299</v>
      </c>
      <c r="AV62" s="22">
        <f>((AV17*Constants!$H75*Constants!$H93*(1-Constants!$H111))+(AV17*Constants!$H75*Constants!$H127))</f>
        <v>6890211.8848309526</v>
      </c>
      <c r="AW62" s="22">
        <f>((AW17*Constants!$H75*Constants!$H93*(1-Constants!$H111))+(AW17*Constants!$H75*Constants!$H127))</f>
        <v>6939956.8675000258</v>
      </c>
      <c r="AX62" s="22">
        <f>((AX17*Constants!$H75*Constants!$H93*(1-Constants!$H111))+(AX17*Constants!$H75*Constants!$H127))</f>
        <v>7023985.5444901688</v>
      </c>
      <c r="AY62" s="22">
        <f>((AY17*Constants!$H75*Constants!$H93*(1-Constants!$H111))+(AY17*Constants!$H75*Constants!$H127))</f>
        <v>7122387.7998732105</v>
      </c>
      <c r="AZ62" s="22">
        <f>((AZ17*Constants!$H75*Constants!$H93*(1-Constants!$H111))+(AZ17*Constants!$H75*Constants!$H127))</f>
        <v>7255616.4857752174</v>
      </c>
      <c r="BA62" s="22">
        <f>((BA17*Constants!$H75*Constants!$H93*(1-Constants!$H111))+(BA17*Constants!$H75*Constants!$H127))</f>
        <v>7327539.1183104618</v>
      </c>
      <c r="BB62" s="22">
        <f>((BB17*Constants!$H75*Constants!$H93*(1-Constants!$H111))+(BB17*Constants!$H75*Constants!$H127))</f>
        <v>7390356.2550580334</v>
      </c>
      <c r="BC62" s="22">
        <f>((BC17*Constants!$H75*Constants!$H93*(1-Constants!$H111))+(BC17*Constants!$H75*Constants!$H127))</f>
        <v>7469299.3952171905</v>
      </c>
      <c r="BD62" s="22">
        <f>((BD17*Constants!$H75*Constants!$H93*(1-Constants!$H111))+(BD17*Constants!$H75*Constants!$H127))</f>
        <v>7537839.0369844297</v>
      </c>
      <c r="BE62" s="22">
        <f>((BE17*Constants!$H75*Constants!$H93*(1-Constants!$H111))+(BE17*Constants!$H75*Constants!$H127))</f>
        <v>7613677.4415375479</v>
      </c>
      <c r="BF62" s="22">
        <f>((BF17*Constants!$H75*Constants!$H93*(1-Constants!$H111))+(BF17*Constants!$H75*Constants!$H127))</f>
        <v>7687651.852086544</v>
      </c>
      <c r="BG62" s="22">
        <f>((BG17*Constants!$H75*Constants!$H93*(1-Constants!$H111))+(BG17*Constants!$H75*Constants!$H127))</f>
        <v>7787246.2315615909</v>
      </c>
      <c r="BH62" s="22">
        <f>((BH17*Constants!$H75*Constants!$H93*(1-Constants!$H111))+(BH17*Constants!$H75*Constants!$H127))</f>
        <v>7873730.6618896183</v>
      </c>
      <c r="BI62" s="22">
        <f>((BI17*Constants!$H75*Constants!$H93*(1-Constants!$H111))+(BI17*Constants!$H75*Constants!$H127))</f>
        <v>7960138.2327717757</v>
      </c>
      <c r="BJ62" s="22">
        <f>((BJ17*Constants!$H75*Constants!$H93*(1-Constants!$H111))+(BJ17*Constants!$H75*Constants!$H127))</f>
        <v>8049614.637012532</v>
      </c>
      <c r="BK62" s="22">
        <f>((BK17*Constants!$H75*Constants!$H93*(1-Constants!$H111))+(BK17*Constants!$H75*Constants!$H127))</f>
        <v>8143165.6766666947</v>
      </c>
      <c r="BL62" s="22">
        <f>((BL17*Constants!$H75*Constants!$H93*(1-Constants!$H111))+(BL17*Constants!$H75*Constants!$H127))</f>
        <v>8265081.1272461321</v>
      </c>
      <c r="BM62" s="22">
        <f>((BM17*Constants!$H75*Constants!$H93*(1-Constants!$H111))+(BM17*Constants!$H75*Constants!$H127))</f>
        <v>8302837.310170711</v>
      </c>
      <c r="BN62" s="22">
        <f>((BN17*Constants!$H75*Constants!$H93*(1-Constants!$H111))+(BN17*Constants!$H75*Constants!$H127))</f>
        <v>8332993.7300041039</v>
      </c>
      <c r="BO62" s="22">
        <f>((BO17*Constants!$H75*Constants!$H93*(1-Constants!$H111))+(BO17*Constants!$H75*Constants!$H127))</f>
        <v>8364093.7359206118</v>
      </c>
      <c r="BP62" s="22">
        <f>((BP17*Constants!$H75*Constants!$H93*(1-Constants!$H111))+(BP17*Constants!$H75*Constants!$H127))</f>
        <v>8392556.8417220842</v>
      </c>
    </row>
    <row r="63" spans="1:72" x14ac:dyDescent="0.2">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2012104.5308388225</v>
      </c>
      <c r="AE63" s="22">
        <f>((AE18*Constants!$H76*Constants!$H94*(1-Constants!$H112))+(AE18*Constants!$H76*Constants!$H128))</f>
        <v>2001167.4043936597</v>
      </c>
      <c r="AF63" s="22">
        <f>((AF18*Constants!$H76*Constants!$H94*(1-Constants!$H112))+(AF18*Constants!$H76*Constants!$H128))</f>
        <v>2002065.0898019946</v>
      </c>
      <c r="AG63" s="22">
        <f>((AG18*Constants!$H76*Constants!$H94*(1-Constants!$H112))+(AG18*Constants!$H76*Constants!$H128))</f>
        <v>1983684.5980978459</v>
      </c>
      <c r="AH63" s="22">
        <f>((AH18*Constants!$H76*Constants!$H94*(1-Constants!$H112))+(AH18*Constants!$H76*Constants!$H128))</f>
        <v>1953665.0157333175</v>
      </c>
      <c r="AI63" s="22">
        <f>((AI18*Constants!$H76*Constants!$H94*(1-Constants!$H112))+(AI18*Constants!$H76*Constants!$H128))</f>
        <v>1912486.2375610499</v>
      </c>
      <c r="AJ63" s="22">
        <f>((AJ18*Constants!$H76*Constants!$H94*(1-Constants!$H112))+(AJ18*Constants!$H76*Constants!$H128))</f>
        <v>1882585.8779983774</v>
      </c>
      <c r="AK63" s="22">
        <f>((AK18*Constants!$H76*Constants!$H94*(1-Constants!$H112))+(AK18*Constants!$H76*Constants!$H128))</f>
        <v>1855331.2992651616</v>
      </c>
      <c r="AL63" s="22">
        <f>((AL18*Constants!$H76*Constants!$H94*(1-Constants!$H112))+(AL18*Constants!$H76*Constants!$H128))</f>
        <v>1653088.9038583331</v>
      </c>
      <c r="AM63" s="22">
        <f>((AM18*Constants!$H76*Constants!$H94*(1-Constants!$H112))+(AM18*Constants!$H76*Constants!$H128))</f>
        <v>1678898.9743737858</v>
      </c>
      <c r="AN63" s="22">
        <f>((AN18*Constants!$H76*Constants!$H94*(1-Constants!$H112))+(AN18*Constants!$H76*Constants!$H128))</f>
        <v>1689860.7483396013</v>
      </c>
      <c r="AO63" s="22">
        <f>((AO18*Constants!$H76*Constants!$H94*(1-Constants!$H112))+(AO18*Constants!$H76*Constants!$H128))</f>
        <v>1697079.8979433707</v>
      </c>
      <c r="AP63" s="22">
        <f>((AP18*Constants!$H76*Constants!$H94*(1-Constants!$H112))+(AP18*Constants!$H76*Constants!$H128))</f>
        <v>1710447.4292070195</v>
      </c>
      <c r="AQ63" s="22">
        <f>((AQ18*Constants!$H76*Constants!$H94*(1-Constants!$H112))+(AQ18*Constants!$H76*Constants!$H128))</f>
        <v>1720403.6563700293</v>
      </c>
      <c r="AR63" s="22">
        <f>((AR18*Constants!$H76*Constants!$H94*(1-Constants!$H112))+(AR18*Constants!$H76*Constants!$H128))</f>
        <v>1725626.0668598763</v>
      </c>
      <c r="AS63" s="22">
        <f>((AS18*Constants!$H76*Constants!$H94*(1-Constants!$H112))+(AS18*Constants!$H76*Constants!$H128))</f>
        <v>1728825.808476167</v>
      </c>
      <c r="AT63" s="22">
        <f>((AT18*Constants!$H76*Constants!$H94*(1-Constants!$H112))+(AT18*Constants!$H76*Constants!$H128))</f>
        <v>1729259.8575339969</v>
      </c>
      <c r="AU63" s="22">
        <f>((AU18*Constants!$H76*Constants!$H94*(1-Constants!$H112))+(AU18*Constants!$H76*Constants!$H128))</f>
        <v>1739301.6357687057</v>
      </c>
      <c r="AV63" s="22">
        <f>((AV18*Constants!$H76*Constants!$H94*(1-Constants!$H112))+(AV18*Constants!$H76*Constants!$H128))</f>
        <v>1748073.0670792856</v>
      </c>
      <c r="AW63" s="22">
        <f>((AW18*Constants!$H76*Constants!$H94*(1-Constants!$H112))+(AW18*Constants!$H76*Constants!$H128))</f>
        <v>1760693.5591453675</v>
      </c>
      <c r="AX63" s="22">
        <f>((AX18*Constants!$H76*Constants!$H94*(1-Constants!$H112))+(AX18*Constants!$H76*Constants!$H128))</f>
        <v>1782011.95538107</v>
      </c>
      <c r="AY63" s="22">
        <f>((AY18*Constants!$H76*Constants!$H94*(1-Constants!$H112))+(AY18*Constants!$H76*Constants!$H128))</f>
        <v>1806976.9833439472</v>
      </c>
      <c r="AZ63" s="22">
        <f>((AZ18*Constants!$H76*Constants!$H94*(1-Constants!$H112))+(AZ18*Constants!$H76*Constants!$H128))</f>
        <v>1840777.6097224168</v>
      </c>
      <c r="BA63" s="22">
        <f>((BA18*Constants!$H76*Constants!$H94*(1-Constants!$H112))+(BA18*Constants!$H76*Constants!$H128))</f>
        <v>1859024.6562501283</v>
      </c>
      <c r="BB63" s="22">
        <f>((BB18*Constants!$H76*Constants!$H94*(1-Constants!$H112))+(BB18*Constants!$H76*Constants!$H128))</f>
        <v>1874961.6037250259</v>
      </c>
      <c r="BC63" s="22">
        <f>((BC18*Constants!$H76*Constants!$H94*(1-Constants!$H112))+(BC18*Constants!$H76*Constants!$H128))</f>
        <v>1894989.779846387</v>
      </c>
      <c r="BD63" s="22">
        <f>((BD18*Constants!$H76*Constants!$H94*(1-Constants!$H112))+(BD18*Constants!$H76*Constants!$H128))</f>
        <v>1912378.5486975077</v>
      </c>
      <c r="BE63" s="22">
        <f>((BE18*Constants!$H76*Constants!$H94*(1-Constants!$H112))+(BE18*Constants!$H76*Constants!$H128))</f>
        <v>1931619.0415394523</v>
      </c>
      <c r="BF63" s="22">
        <f>((BF18*Constants!$H76*Constants!$H94*(1-Constants!$H112))+(BF18*Constants!$H76*Constants!$H128))</f>
        <v>1950386.6319844502</v>
      </c>
      <c r="BG63" s="22">
        <f>((BG18*Constants!$H76*Constants!$H94*(1-Constants!$H112))+(BG18*Constants!$H76*Constants!$H128))</f>
        <v>1975654.1063818757</v>
      </c>
      <c r="BH63" s="22">
        <f>((BH18*Constants!$H76*Constants!$H94*(1-Constants!$H112))+(BH18*Constants!$H76*Constants!$H128))</f>
        <v>1997595.5366172725</v>
      </c>
      <c r="BI63" s="22">
        <f>((BI18*Constants!$H76*Constants!$H94*(1-Constants!$H112))+(BI18*Constants!$H76*Constants!$H128))</f>
        <v>2019517.467317746</v>
      </c>
      <c r="BJ63" s="22">
        <f>((BJ18*Constants!$H76*Constants!$H94*(1-Constants!$H112))+(BJ18*Constants!$H76*Constants!$H128))</f>
        <v>2042217.9727603595</v>
      </c>
      <c r="BK63" s="22">
        <f>((BK18*Constants!$H76*Constants!$H94*(1-Constants!$H112))+(BK18*Constants!$H76*Constants!$H128))</f>
        <v>2065952.22876731</v>
      </c>
      <c r="BL63" s="22">
        <f>((BL18*Constants!$H76*Constants!$H94*(1-Constants!$H112))+(BL18*Constants!$H76*Constants!$H128))</f>
        <v>2096882.6441421886</v>
      </c>
      <c r="BM63" s="22">
        <f>((BM18*Constants!$H76*Constants!$H94*(1-Constants!$H112))+(BM18*Constants!$H76*Constants!$H128))</f>
        <v>2106461.5319310357</v>
      </c>
      <c r="BN63" s="22">
        <f>((BN18*Constants!$H76*Constants!$H94*(1-Constants!$H112))+(BN18*Constants!$H76*Constants!$H128))</f>
        <v>2114112.3308021626</v>
      </c>
      <c r="BO63" s="22">
        <f>((BO18*Constants!$H76*Constants!$H94*(1-Constants!$H112))+(BO18*Constants!$H76*Constants!$H128))</f>
        <v>2122002.5210658819</v>
      </c>
      <c r="BP63" s="22">
        <f>((BP18*Constants!$H76*Constants!$H94*(1-Constants!$H112))+(BP18*Constants!$H76*Constants!$H128))</f>
        <v>2129223.7197007919</v>
      </c>
    </row>
    <row r="64" spans="1:72" x14ac:dyDescent="0.2">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10194527.393101329</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10760627.916590165</v>
      </c>
      <c r="AI64" s="22">
        <f>((AI19*Constants!$H77*Constants!$H95*(1-Constants!$H113))+(AI19*Constants!$H77*Constants!$H129))</f>
        <v>10870140.745282179</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10710303.464636415</v>
      </c>
      <c r="AM64" s="22">
        <f>((AM19*Constants!$H77*Constants!$H95*(1-Constants!$H113))+(AM19*Constants!$H77*Constants!$H129))</f>
        <v>10994372.654490085</v>
      </c>
      <c r="AN64" s="22">
        <f>((AN19*Constants!$H77*Constants!$H95*(1-Constants!$H113))+(AN19*Constants!$H77*Constants!$H129))</f>
        <v>11231400.1367264</v>
      </c>
      <c r="AO64" s="22">
        <f>((AO19*Constants!$H77*Constants!$H95*(1-Constants!$H113))+(AO19*Constants!$H77*Constants!$H129))</f>
        <v>11458061.298826911</v>
      </c>
      <c r="AP64" s="22">
        <f>((AP19*Constants!$H77*Constants!$H95*(1-Constants!$H113))+(AP19*Constants!$H77*Constants!$H129))</f>
        <v>11710058.99499004</v>
      </c>
      <c r="AQ64" s="22">
        <f>((AQ19*Constants!$H77*Constants!$H95*(1-Constants!$H113))+(AQ19*Constants!$H77*Constants!$H129))</f>
        <v>11952984.564101353</v>
      </c>
      <c r="AR64" s="22">
        <f>((AR19*Constants!$H77*Constants!$H95*(1-Constants!$H113))+(AR19*Constants!$H77*Constants!$H129))</f>
        <v>12171102.030511944</v>
      </c>
      <c r="AS64" s="22">
        <f>((AS19*Constants!$H77*Constants!$H95*(1-Constants!$H113))+(AS19*Constants!$H77*Constants!$H129))</f>
        <v>12383769.185071761</v>
      </c>
      <c r="AT64" s="22">
        <f>((AT19*Constants!$H77*Constants!$H95*(1-Constants!$H113))+(AT19*Constants!$H77*Constants!$H129))</f>
        <v>12587617.018165184</v>
      </c>
      <c r="AU64" s="22">
        <f>((AU19*Constants!$H77*Constants!$H95*(1-Constants!$H113))+(AU19*Constants!$H77*Constants!$H129))</f>
        <v>12832727.678664703</v>
      </c>
      <c r="AV64" s="22">
        <f>((AV19*Constants!$H77*Constants!$H95*(1-Constants!$H113))+(AV19*Constants!$H77*Constants!$H129))</f>
        <v>13076157.85556367</v>
      </c>
      <c r="AW64" s="22">
        <f>((AW19*Constants!$H77*Constants!$H95*(1-Constants!$H113))+(AW19*Constants!$H77*Constants!$H129))</f>
        <v>13331305.886024131</v>
      </c>
      <c r="AX64" s="22">
        <f>((AX19*Constants!$H77*Constants!$H95*(1-Constants!$H113))+(AX19*Constants!$H77*Constants!$H129))</f>
        <v>13628431.271230768</v>
      </c>
      <c r="AY64" s="22">
        <f>((AY19*Constants!$H77*Constants!$H95*(1-Constants!$H113))+(AY19*Constants!$H77*Constants!$H129))</f>
        <v>13947513.933693949</v>
      </c>
      <c r="AZ64" s="22">
        <f>((AZ19*Constants!$H77*Constants!$H95*(1-Constants!$H113))+(AZ19*Constants!$H77*Constants!$H129))</f>
        <v>14313129.068051679</v>
      </c>
      <c r="BA64" s="22">
        <f>((BA19*Constants!$H77*Constants!$H95*(1-Constants!$H113))+(BA19*Constants!$H77*Constants!$H129))</f>
        <v>14615348.061379433</v>
      </c>
      <c r="BB64" s="22">
        <f>((BB19*Constants!$H77*Constants!$H95*(1-Constants!$H113))+(BB19*Constants!$H77*Constants!$H129))</f>
        <v>14904511.219647441</v>
      </c>
      <c r="BC64" s="22">
        <f>((BC19*Constants!$H77*Constants!$H95*(1-Constants!$H113))+(BC19*Constants!$H77*Constants!$H129))</f>
        <v>15218622.212449079</v>
      </c>
      <c r="BD64" s="22">
        <f>((BD19*Constants!$H77*Constants!$H95*(1-Constants!$H113))+(BD19*Constants!$H77*Constants!$H129))</f>
        <v>15526102.630409626</v>
      </c>
      <c r="BE64" s="22">
        <f>((BE19*Constants!$H77*Constants!$H95*(1-Constants!$H113))+(BE19*Constants!$H77*Constants!$H129))</f>
        <v>15848734.774418624</v>
      </c>
      <c r="BF64" s="22">
        <f>((BF19*Constants!$H77*Constants!$H95*(1-Constants!$H113))+(BF19*Constants!$H77*Constants!$H129))</f>
        <v>16175428.29542481</v>
      </c>
      <c r="BG64" s="22">
        <f>((BG19*Constants!$H77*Constants!$H95*(1-Constants!$H113))+(BG19*Constants!$H77*Constants!$H129))</f>
        <v>16534715.524528449</v>
      </c>
      <c r="BH64" s="22">
        <f>((BH19*Constants!$H77*Constants!$H95*(1-Constants!$H113))+(BH19*Constants!$H77*Constants!$H129))</f>
        <v>16884399.420097206</v>
      </c>
      <c r="BI64" s="22">
        <f>((BI19*Constants!$H77*Constants!$H95*(1-Constants!$H113))+(BI19*Constants!$H77*Constants!$H129))</f>
        <v>17241443.854431707</v>
      </c>
      <c r="BJ64" s="22">
        <f>((BJ19*Constants!$H77*Constants!$H95*(1-Constants!$H113))+(BJ19*Constants!$H77*Constants!$H129))</f>
        <v>17610415.894571539</v>
      </c>
      <c r="BK64" s="22">
        <f>((BK19*Constants!$H77*Constants!$H95*(1-Constants!$H113))+(BK19*Constants!$H77*Constants!$H129))</f>
        <v>17993195.091040943</v>
      </c>
      <c r="BL64" s="22">
        <f>((BL19*Constants!$H77*Constants!$H95*(1-Constants!$H113))+(BL19*Constants!$H77*Constants!$H129))</f>
        <v>18417511.199191276</v>
      </c>
      <c r="BM64" s="22">
        <f>((BM19*Constants!$H77*Constants!$H95*(1-Constants!$H113))+(BM19*Constants!$H77*Constants!$H129))</f>
        <v>18728797.739212025</v>
      </c>
      <c r="BN64" s="22">
        <f>((BN19*Constants!$H77*Constants!$H95*(1-Constants!$H113))+(BN19*Constants!$H77*Constants!$H129))</f>
        <v>19034671.444452167</v>
      </c>
      <c r="BO64" s="22">
        <f>((BO19*Constants!$H77*Constants!$H95*(1-Constants!$H113))+(BO19*Constants!$H77*Constants!$H129))</f>
        <v>19347670.590936031</v>
      </c>
      <c r="BP64" s="22">
        <f>((BP19*Constants!$H77*Constants!$H95*(1-Constants!$H113))+(BP19*Constants!$H77*Constants!$H129))</f>
        <v>19662525.367234178</v>
      </c>
    </row>
    <row r="65" spans="1:68" x14ac:dyDescent="0.2">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50689904.185566783</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50687682.526318602</v>
      </c>
      <c r="AL65" s="22">
        <f>((AL20*Constants!$H78*Constants!$H96*(1-Constants!$H114))+(AL20*Constants!$H78*Constants!$H130))</f>
        <v>43332515.83780472</v>
      </c>
      <c r="AM65" s="22">
        <f>((AM20*Constants!$H78*Constants!$H96*(1-Constants!$H114))+(AM20*Constants!$H78*Constants!$H130))</f>
        <v>45242411.291472271</v>
      </c>
      <c r="AN65" s="22">
        <f>((AN20*Constants!$H78*Constants!$H96*(1-Constants!$H114))+(AN20*Constants!$H78*Constants!$H130))</f>
        <v>46558560.275036</v>
      </c>
      <c r="AO65" s="22">
        <f>((AO20*Constants!$H78*Constants!$H96*(1-Constants!$H114))+(AO20*Constants!$H78*Constants!$H130))</f>
        <v>47726614.738263972</v>
      </c>
      <c r="AP65" s="22">
        <f>((AP20*Constants!$H78*Constants!$H96*(1-Constants!$H114))+(AP20*Constants!$H78*Constants!$H130))</f>
        <v>49164761.375426106</v>
      </c>
      <c r="AQ65" s="22">
        <f>((AQ20*Constants!$H78*Constants!$H96*(1-Constants!$H114))+(AQ20*Constants!$H78*Constants!$H130))</f>
        <v>50470133.840781398</v>
      </c>
      <c r="AR65" s="22">
        <f>((AR20*Constants!$H78*Constants!$H96*(1-Constants!$H114))+(AR20*Constants!$H78*Constants!$H130))</f>
        <v>51622308.892009228</v>
      </c>
      <c r="AS65" s="22">
        <f>((AS20*Constants!$H78*Constants!$H96*(1-Constants!$H114))+(AS20*Constants!$H78*Constants!$H130))</f>
        <v>52692810.56873174</v>
      </c>
      <c r="AT65" s="22">
        <f>((AT20*Constants!$H78*Constants!$H96*(1-Constants!$H114))+(AT20*Constants!$H78*Constants!$H130))</f>
        <v>53645672.058875352</v>
      </c>
      <c r="AU65" s="22">
        <f>((AU20*Constants!$H78*Constants!$H96*(1-Constants!$H114))+(AU20*Constants!$H78*Constants!$H130))</f>
        <v>55041778.68182043</v>
      </c>
      <c r="AV65" s="22">
        <f>((AV20*Constants!$H78*Constants!$H96*(1-Constants!$H114))+(AV20*Constants!$H78*Constants!$H130))</f>
        <v>56396003.067401759</v>
      </c>
      <c r="AW65" s="22">
        <f>((AW20*Constants!$H78*Constants!$H96*(1-Constants!$H114))+(AW20*Constants!$H78*Constants!$H130))</f>
        <v>57980418.644081697</v>
      </c>
      <c r="AX65" s="22">
        <f>((AX20*Constants!$H78*Constants!$H96*(1-Constants!$H114))+(AX20*Constants!$H78*Constants!$H130))</f>
        <v>59999337.750962332</v>
      </c>
      <c r="AY65" s="22">
        <f>((AY20*Constants!$H78*Constants!$H96*(1-Constants!$H114))+(AY20*Constants!$H78*Constants!$H130))</f>
        <v>62227003.469454981</v>
      </c>
      <c r="AZ65" s="22">
        <f>((AZ20*Constants!$H78*Constants!$H96*(1-Constants!$H114))+(AZ20*Constants!$H78*Constants!$H130))</f>
        <v>64923710.866144873</v>
      </c>
      <c r="BA65" s="22">
        <f>((BA20*Constants!$H78*Constants!$H96*(1-Constants!$H114))+(BA20*Constants!$H78*Constants!$H130))</f>
        <v>66905878.169113509</v>
      </c>
      <c r="BB65" s="22">
        <f>((BB20*Constants!$H78*Constants!$H96*(1-Constants!$H114))+(BB20*Constants!$H78*Constants!$H130))</f>
        <v>68837785.686430648</v>
      </c>
      <c r="BC65" s="22">
        <f>((BC20*Constants!$H78*Constants!$H96*(1-Constants!$H114))+(BC20*Constants!$H78*Constants!$H130))</f>
        <v>71008371.289164439</v>
      </c>
      <c r="BD65" s="22">
        <f>((BD20*Constants!$H78*Constants!$H96*(1-Constants!$H114))+(BD20*Constants!$H78*Constants!$H130))</f>
        <v>73082380.415655836</v>
      </c>
      <c r="BE65" s="22">
        <f>((BE20*Constants!$H78*Constants!$H96*(1-Constants!$H114))+(BE20*Constants!$H78*Constants!$H130))</f>
        <v>75288671.068129048</v>
      </c>
      <c r="BF65" s="22">
        <f>((BF20*Constants!$H78*Constants!$H96*(1-Constants!$H114))+(BF20*Constants!$H78*Constants!$H130))</f>
        <v>77510217.697244078</v>
      </c>
      <c r="BG65" s="22">
        <f>((BG20*Constants!$H78*Constants!$H96*(1-Constants!$H114))+(BG20*Constants!$H78*Constants!$H130))</f>
        <v>80146839.333480716</v>
      </c>
      <c r="BH65" s="22">
        <f>((BH20*Constants!$H78*Constants!$H96*(1-Constants!$H114))+(BH20*Constants!$H78*Constants!$H130))</f>
        <v>82655525.083631635</v>
      </c>
      <c r="BI65" s="22">
        <f>((BI20*Constants!$H78*Constants!$H96*(1-Constants!$H114))+(BI20*Constants!$H78*Constants!$H130))</f>
        <v>85211273.397275239</v>
      </c>
      <c r="BJ65" s="22">
        <f>((BJ20*Constants!$H78*Constants!$H96*(1-Constants!$H114))+(BJ20*Constants!$H78*Constants!$H130))</f>
        <v>87859690.196190953</v>
      </c>
      <c r="BK65" s="22">
        <f>((BK20*Constants!$H78*Constants!$H96*(1-Constants!$H114))+(BK20*Constants!$H78*Constants!$H130))</f>
        <v>90618341.209029764</v>
      </c>
      <c r="BL65" s="22">
        <f>((BL20*Constants!$H78*Constants!$H96*(1-Constants!$H114))+(BL20*Constants!$H78*Constants!$H130))</f>
        <v>93869088.657616109</v>
      </c>
      <c r="BM65" s="22">
        <f>((BM20*Constants!$H78*Constants!$H96*(1-Constants!$H114))+(BM20*Constants!$H78*Constants!$H130))</f>
        <v>95962632.978201896</v>
      </c>
      <c r="BN65" s="22">
        <f>((BN20*Constants!$H78*Constants!$H96*(1-Constants!$H114))+(BN20*Constants!$H78*Constants!$H130))</f>
        <v>97982353.294952989</v>
      </c>
      <c r="BO65" s="22">
        <f>((BO20*Constants!$H78*Constants!$H96*(1-Constants!$H114))+(BO20*Constants!$H78*Constants!$H130))</f>
        <v>100052908.19085179</v>
      </c>
      <c r="BP65" s="22">
        <f>((BP20*Constants!$H78*Constants!$H96*(1-Constants!$H114))+(BP20*Constants!$H78*Constants!$H130))</f>
        <v>102122033.30754922</v>
      </c>
    </row>
    <row r="66" spans="1:68" x14ac:dyDescent="0.2">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34478309.195238709</v>
      </c>
      <c r="AF67" s="22">
        <f>AF6*Constants!$H64*(1-Constants!$H82)</f>
        <v>34750269.993448354</v>
      </c>
      <c r="AG67" s="22">
        <f>AG6*Constants!$H64*(1-Constants!$H82)</f>
        <v>34925033.77609212</v>
      </c>
      <c r="AH67" s="22">
        <f>AH6*Constants!$H64*(1-Constants!$H82)</f>
        <v>35041165.108961262</v>
      </c>
      <c r="AI67" s="22">
        <f>AI6*Constants!$H64*(1-Constants!$H82)</f>
        <v>35097521.000428297</v>
      </c>
      <c r="AJ67" s="22">
        <f>AJ6*Constants!$H64*(1-Constants!$H82)</f>
        <v>35222032.138192892</v>
      </c>
      <c r="AK67" s="22">
        <f>AK6*Constants!$H64*(1-Constants!$H82)</f>
        <v>35364867.326667361</v>
      </c>
      <c r="AL67" s="22">
        <f>AL6*Constants!$H64*(1-Constants!$H82)</f>
        <v>34396746.385207653</v>
      </c>
      <c r="AM67" s="22">
        <f>AM6*Constants!$H64*(1-Constants!$H82)</f>
        <v>34792039.827745087</v>
      </c>
      <c r="AN67" s="22">
        <f>AN6*Constants!$H64*(1-Constants!$H82)</f>
        <v>35101793.940977812</v>
      </c>
      <c r="AO67" s="22">
        <f>AO6*Constants!$H64*(1-Constants!$H82)</f>
        <v>35395251.927319981</v>
      </c>
      <c r="AP67" s="22">
        <f>AP6*Constants!$H64*(1-Constants!$H82)</f>
        <v>35738332.981953256</v>
      </c>
      <c r="AQ67" s="22">
        <f>AQ6*Constants!$H64*(1-Constants!$H82)</f>
        <v>36066892.47712113</v>
      </c>
      <c r="AR67" s="22">
        <f>AR6*Constants!$H64*(1-Constants!$H82)</f>
        <v>36342453.070211664</v>
      </c>
      <c r="AS67" s="22">
        <f>AS6*Constants!$H64*(1-Constants!$H82)</f>
        <v>36610360.072822385</v>
      </c>
      <c r="AT67" s="22">
        <f>AT6*Constants!$H64*(1-Constants!$H82)</f>
        <v>36864473.448758371</v>
      </c>
      <c r="AU67" s="22">
        <f>AU6*Constants!$H64*(1-Constants!$H82)</f>
        <v>37195029.780443318</v>
      </c>
      <c r="AV67" s="22">
        <f>AV6*Constants!$H64*(1-Constants!$H82)</f>
        <v>37523886.340432517</v>
      </c>
      <c r="AW67" s="22">
        <f>AW6*Constants!$H64*(1-Constants!$H82)</f>
        <v>37866978.835262693</v>
      </c>
      <c r="AX67" s="22">
        <f>AX6*Constants!$H64*(1-Constants!$H82)</f>
        <v>38285543.974634744</v>
      </c>
      <c r="AY67" s="22">
        <f>AY6*Constants!$H64*(1-Constants!$H82)</f>
        <v>38743131.346961923</v>
      </c>
      <c r="AZ67" s="22">
        <f>AZ6*Constants!$H64*(1-Constants!$H82)</f>
        <v>39282532.755193651</v>
      </c>
      <c r="BA67" s="22">
        <f>BA6*Constants!$H64*(1-Constants!$H82)</f>
        <v>39709740.027934827</v>
      </c>
      <c r="BB67" s="22">
        <f>BB6*Constants!$H64*(1-Constants!$H82)</f>
        <v>40106610.954617731</v>
      </c>
      <c r="BC67" s="22">
        <f>BC6*Constants!$H64*(1-Constants!$H82)</f>
        <v>40546992.443511002</v>
      </c>
      <c r="BD67" s="22">
        <f>BD6*Constants!$H64*(1-Constants!$H82)</f>
        <v>40975549.304742843</v>
      </c>
      <c r="BE67" s="22">
        <f>BE6*Constants!$H64*(1-Constants!$H82)</f>
        <v>41430054.619395055</v>
      </c>
      <c r="BF67" s="22">
        <f>BF6*Constants!$H64*(1-Constants!$H82)</f>
        <v>41891093.510170303</v>
      </c>
      <c r="BG67" s="22">
        <f>BG6*Constants!$H64*(1-Constants!$H82)</f>
        <v>42400609.401083536</v>
      </c>
      <c r="BH67" s="22">
        <f>BH6*Constants!$H64*(1-Constants!$H82)</f>
        <v>42892722.550332695</v>
      </c>
      <c r="BI67" s="22">
        <f>BI6*Constants!$H64*(1-Constants!$H82)</f>
        <v>43396534.401445776</v>
      </c>
      <c r="BJ67" s="22">
        <f>BJ6*Constants!$H64*(1-Constants!$H82)</f>
        <v>43919684.089602403</v>
      </c>
      <c r="BK67" s="22">
        <f>BK6*Constants!$H64*(1-Constants!$H82)</f>
        <v>44465162.456032418</v>
      </c>
      <c r="BL67" s="22">
        <f>BL6*Constants!$H64*(1-Constants!$H82)</f>
        <v>45072548.556778789</v>
      </c>
      <c r="BM67" s="22">
        <f>BM6*Constants!$H64*(1-Constants!$H82)</f>
        <v>45487962.866114773</v>
      </c>
      <c r="BN67" s="22">
        <f>BN6*Constants!$H64*(1-Constants!$H82)</f>
        <v>45893823.183374949</v>
      </c>
      <c r="BO67" s="22">
        <f>BO6*Constants!$H64*(1-Constants!$H82)</f>
        <v>46311184.11416281</v>
      </c>
      <c r="BP67" s="22">
        <f>BP6*Constants!$H64*(1-Constants!$H82)</f>
        <v>46731137.148778953</v>
      </c>
    </row>
    <row r="68" spans="1:68" x14ac:dyDescent="0.2">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23479964.465574864</v>
      </c>
      <c r="AF68" s="22">
        <f>AF7*Constants!$H65*(1-Constants!$H83)</f>
        <v>23665171.629935287</v>
      </c>
      <c r="AG68" s="22">
        <f>AG7*Constants!$H65*(1-Constants!$H83)</f>
        <v>23784186.961664833</v>
      </c>
      <c r="AH68" s="22">
        <f>AH7*Constants!$H65*(1-Constants!$H83)</f>
        <v>23863273.193929486</v>
      </c>
      <c r="AI68" s="22">
        <f>AI7*Constants!$H65*(1-Constants!$H83)</f>
        <v>23901651.941610489</v>
      </c>
      <c r="AJ68" s="22">
        <f>AJ7*Constants!$H65*(1-Constants!$H83)</f>
        <v>23986444.878344316</v>
      </c>
      <c r="AK68" s="22">
        <f>AK7*Constants!$H65*(1-Constants!$H83)</f>
        <v>24083716.61898632</v>
      </c>
      <c r="AL68" s="22">
        <f>AL7*Constants!$H65*(1-Constants!$H83)</f>
        <v>23424419.633883812</v>
      </c>
      <c r="AM68" s="22">
        <f>AM7*Constants!$H65*(1-Constants!$H83)</f>
        <v>23693617.17288423</v>
      </c>
      <c r="AN68" s="22">
        <f>AN7*Constants!$H65*(1-Constants!$H83)</f>
        <v>23904561.843360543</v>
      </c>
      <c r="AO68" s="22">
        <f>AO7*Constants!$H65*(1-Constants!$H83)</f>
        <v>24104408.739924859</v>
      </c>
      <c r="AP68" s="22">
        <f>AP7*Constants!$H65*(1-Constants!$H83)</f>
        <v>24338049.285520807</v>
      </c>
      <c r="AQ68" s="22">
        <f>AQ7*Constants!$H65*(1-Constants!$H83)</f>
        <v>24561800.549763024</v>
      </c>
      <c r="AR68" s="22">
        <f>AR7*Constants!$H65*(1-Constants!$H83)</f>
        <v>24749459.199067444</v>
      </c>
      <c r="AS68" s="22">
        <f>AS7*Constants!$H65*(1-Constants!$H83)</f>
        <v>24931905.700888567</v>
      </c>
      <c r="AT68" s="22">
        <f>AT7*Constants!$H65*(1-Constants!$H83)</f>
        <v>25104958.648566995</v>
      </c>
      <c r="AU68" s="22">
        <f>AU7*Constants!$H65*(1-Constants!$H83)</f>
        <v>25330069.772139866</v>
      </c>
      <c r="AV68" s="22">
        <f>AV7*Constants!$H65*(1-Constants!$H83)</f>
        <v>25554023.339557957</v>
      </c>
      <c r="AW68" s="22">
        <f>AW7*Constants!$H65*(1-Constants!$H83)</f>
        <v>25787671.676006265</v>
      </c>
      <c r="AX68" s="22">
        <f>AX7*Constants!$H65*(1-Constants!$H83)</f>
        <v>26072717.399778049</v>
      </c>
      <c r="AY68" s="22">
        <f>AY7*Constants!$H65*(1-Constants!$H83)</f>
        <v>26384337.531185813</v>
      </c>
      <c r="AZ68" s="22">
        <f>AZ7*Constants!$H65*(1-Constants!$H83)</f>
        <v>26751673.580823399</v>
      </c>
      <c r="BA68" s="22">
        <f>BA7*Constants!$H65*(1-Constants!$H83)</f>
        <v>27042604.656549789</v>
      </c>
      <c r="BB68" s="22">
        <f>BB7*Constants!$H65*(1-Constants!$H83)</f>
        <v>27312876.473046552</v>
      </c>
      <c r="BC68" s="22">
        <f>BC7*Constants!$H65*(1-Constants!$H83)</f>
        <v>27612779.28011167</v>
      </c>
      <c r="BD68" s="22">
        <f>BD7*Constants!$H65*(1-Constants!$H83)</f>
        <v>27904629.434834208</v>
      </c>
      <c r="BE68" s="22">
        <f>BE7*Constants!$H65*(1-Constants!$H83)</f>
        <v>28214150.663877606</v>
      </c>
      <c r="BF68" s="22">
        <f>BF7*Constants!$H65*(1-Constants!$H83)</f>
        <v>28528121.30296411</v>
      </c>
      <c r="BG68" s="22">
        <f>BG7*Constants!$H65*(1-Constants!$H83)</f>
        <v>28875105.110828456</v>
      </c>
      <c r="BH68" s="22">
        <f>BH7*Constants!$H65*(1-Constants!$H83)</f>
        <v>29210237.532548487</v>
      </c>
      <c r="BI68" s="22">
        <f>BI7*Constants!$H65*(1-Constants!$H83)</f>
        <v>29553336.850281402</v>
      </c>
      <c r="BJ68" s="22">
        <f>BJ7*Constants!$H65*(1-Constants!$H83)</f>
        <v>29909605.367352139</v>
      </c>
      <c r="BK68" s="22">
        <f>BK7*Constants!$H65*(1-Constants!$H83)</f>
        <v>30281079.867101829</v>
      </c>
      <c r="BL68" s="22">
        <f>BL7*Constants!$H65*(1-Constants!$H83)</f>
        <v>30694713.957499113</v>
      </c>
      <c r="BM68" s="22">
        <f>BM7*Constants!$H65*(1-Constants!$H83)</f>
        <v>30977613.944458086</v>
      </c>
      <c r="BN68" s="22">
        <f>BN7*Constants!$H65*(1-Constants!$H83)</f>
        <v>31254007.597444173</v>
      </c>
      <c r="BO68" s="22">
        <f>BO7*Constants!$H65*(1-Constants!$H83)</f>
        <v>31538233.246930819</v>
      </c>
      <c r="BP68" s="22">
        <f>BP7*Constants!$H65*(1-Constants!$H83)</f>
        <v>31824224.136859939</v>
      </c>
    </row>
    <row r="69" spans="1:68" x14ac:dyDescent="0.2">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484284533.51604748</v>
      </c>
      <c r="AF69" s="22">
        <f>AF8*Constants!$H66*(1-Constants!$H84)</f>
        <v>482671716.04202372</v>
      </c>
      <c r="AG69" s="22">
        <f>AG8*Constants!$H66*(1-Constants!$H84)</f>
        <v>476226267.07794696</v>
      </c>
      <c r="AH69" s="22">
        <f>AH8*Constants!$H66*(1-Constants!$H84)</f>
        <v>466870540.49783516</v>
      </c>
      <c r="AI69" s="22">
        <f>AI8*Constants!$H66*(1-Constants!$H84)</f>
        <v>454797998.08090121</v>
      </c>
      <c r="AJ69" s="22">
        <f>AJ8*Constants!$H66*(1-Constants!$H84)</f>
        <v>445276030.79173326</v>
      </c>
      <c r="AK69" s="22">
        <f>AK8*Constants!$H66*(1-Constants!$H84)</f>
        <v>436267167.24004084</v>
      </c>
      <c r="AL69" s="22">
        <f>AL8*Constants!$H66*(1-Constants!$H84)</f>
        <v>387196656.64024311</v>
      </c>
      <c r="AM69" s="22">
        <f>AM8*Constants!$H66*(1-Constants!$H84)</f>
        <v>394602954.27009732</v>
      </c>
      <c r="AN69" s="22">
        <f>AN8*Constants!$H66*(1-Constants!$H84)</f>
        <v>398562818.50903648</v>
      </c>
      <c r="AO69" s="22">
        <f>AO8*Constants!$H66*(1-Constants!$H84)</f>
        <v>401611085.37938392</v>
      </c>
      <c r="AP69" s="22">
        <f>AP8*Constants!$H66*(1-Constants!$H84)</f>
        <v>406021453.99139035</v>
      </c>
      <c r="AQ69" s="22">
        <f>AQ8*Constants!$H66*(1-Constants!$H84)</f>
        <v>409600703.63708609</v>
      </c>
      <c r="AR69" s="22">
        <f>AR8*Constants!$H66*(1-Constants!$H84)</f>
        <v>411908086.94660026</v>
      </c>
      <c r="AS69" s="22">
        <f>AS8*Constants!$H66*(1-Constants!$H84)</f>
        <v>413704212.2043373</v>
      </c>
      <c r="AT69" s="22">
        <f>AT8*Constants!$H66*(1-Constants!$H84)</f>
        <v>414817417.43735069</v>
      </c>
      <c r="AU69" s="22">
        <f>AU8*Constants!$H66*(1-Constants!$H84)</f>
        <v>418112942.45975363</v>
      </c>
      <c r="AV69" s="22">
        <f>AV8*Constants!$H66*(1-Constants!$H84)</f>
        <v>421078119.23870331</v>
      </c>
      <c r="AW69" s="22">
        <f>AW8*Constants!$H66*(1-Constants!$H84)</f>
        <v>421231051.94715875</v>
      </c>
      <c r="AX69" s="22">
        <f>AX8*Constants!$H66*(1-Constants!$H84)</f>
        <v>423217447.37890804</v>
      </c>
      <c r="AY69" s="22">
        <f>AY8*Constants!$H66*(1-Constants!$H84)</f>
        <v>425844194.46428657</v>
      </c>
      <c r="AZ69" s="22">
        <f>AZ8*Constants!$H66*(1-Constants!$H84)</f>
        <v>430254239.13651061</v>
      </c>
      <c r="BA69" s="22">
        <f>BA8*Constants!$H66*(1-Constants!$H84)</f>
        <v>430958593.67610884</v>
      </c>
      <c r="BB69" s="22">
        <f>BB8*Constants!$H66*(1-Constants!$H84)</f>
        <v>430884656.84771836</v>
      </c>
      <c r="BC69" s="22">
        <f>BC8*Constants!$H66*(1-Constants!$H84)</f>
        <v>431531693.47969645</v>
      </c>
      <c r="BD69" s="22">
        <f>BD8*Constants!$H66*(1-Constants!$H84)</f>
        <v>431412268.62426645</v>
      </c>
      <c r="BE69" s="22">
        <f>BE8*Constants!$H66*(1-Constants!$H84)</f>
        <v>431503643.19278115</v>
      </c>
      <c r="BF69" s="22">
        <f>BF8*Constants!$H66*(1-Constants!$H84)</f>
        <v>431296270.90758932</v>
      </c>
      <c r="BG69" s="22">
        <f>BG8*Constants!$H66*(1-Constants!$H84)</f>
        <v>434391832.90184563</v>
      </c>
      <c r="BH69" s="22">
        <f>BH8*Constants!$H66*(1-Constants!$H84)</f>
        <v>436656412.23789585</v>
      </c>
      <c r="BI69" s="22">
        <f>BI8*Constants!$H66*(1-Constants!$H84)</f>
        <v>438790331.09546936</v>
      </c>
      <c r="BJ69" s="22">
        <f>BJ8*Constants!$H66*(1-Constants!$H84)</f>
        <v>440956860.41993666</v>
      </c>
      <c r="BK69" s="22">
        <f>BK8*Constants!$H66*(1-Constants!$H84)</f>
        <v>443202983.42033601</v>
      </c>
      <c r="BL69" s="22">
        <f>BL8*Constants!$H66*(1-Constants!$H84)</f>
        <v>446722915.85477448</v>
      </c>
      <c r="BM69" s="22">
        <f>BM8*Constants!$H66*(1-Constants!$H84)</f>
        <v>445731493.96241027</v>
      </c>
      <c r="BN69" s="22">
        <f>BN8*Constants!$H66*(1-Constants!$H84)</f>
        <v>444245047.76247734</v>
      </c>
      <c r="BO69" s="22">
        <f>BO8*Constants!$H66*(1-Constants!$H84)</f>
        <v>442705492.67085552</v>
      </c>
      <c r="BP69" s="22">
        <f>BP8*Constants!$H66*(1-Constants!$H84)</f>
        <v>440928615.61838597</v>
      </c>
    </row>
    <row r="70" spans="1:68" x14ac:dyDescent="0.2">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307182602.50561374</v>
      </c>
      <c r="AE70" s="22">
        <f>AE9*Constants!$H67*(1-Constants!$H85)</f>
        <v>304518505.89528352</v>
      </c>
      <c r="AF70" s="22">
        <f>AF9*Constants!$H67*(1-Constants!$H85)</f>
        <v>303504364.96473229</v>
      </c>
      <c r="AG70" s="22">
        <f>AG9*Constants!$H67*(1-Constants!$H85)</f>
        <v>299451461.44928294</v>
      </c>
      <c r="AH70" s="22">
        <f>AH9*Constants!$H67*(1-Constants!$H85)</f>
        <v>293568573.01785618</v>
      </c>
      <c r="AI70" s="22">
        <f>AI9*Constants!$H67*(1-Constants!$H85)</f>
        <v>285977348.59350574</v>
      </c>
      <c r="AJ70" s="22">
        <f>AJ9*Constants!$H67*(1-Constants!$H85)</f>
        <v>279989927.86993009</v>
      </c>
      <c r="AK70" s="22">
        <f>AK9*Constants!$H67*(1-Constants!$H85)</f>
        <v>274325147.19098037</v>
      </c>
      <c r="AL70" s="22">
        <f>AL9*Constants!$H67*(1-Constants!$H85)</f>
        <v>243469570.48511413</v>
      </c>
      <c r="AM70" s="22">
        <f>AM9*Constants!$H67*(1-Constants!$H85)</f>
        <v>248126656.41780832</v>
      </c>
      <c r="AN70" s="22">
        <f>AN9*Constants!$H67*(1-Constants!$H85)</f>
        <v>250616622.25015712</v>
      </c>
      <c r="AO70" s="22">
        <f>AO9*Constants!$H67*(1-Constants!$H85)</f>
        <v>252533374.92071816</v>
      </c>
      <c r="AP70" s="22">
        <f>AP9*Constants!$H67*(1-Constants!$H85)</f>
        <v>255306618.2667833</v>
      </c>
      <c r="AQ70" s="22">
        <f>AQ9*Constants!$H67*(1-Constants!$H85)</f>
        <v>257557253.33542812</v>
      </c>
      <c r="AR70" s="22">
        <f>AR9*Constants!$H67*(1-Constants!$H85)</f>
        <v>259008137.82442802</v>
      </c>
      <c r="AS70" s="22">
        <f>AS9*Constants!$H67*(1-Constants!$H85)</f>
        <v>260137542.83745989</v>
      </c>
      <c r="AT70" s="22">
        <f>AT9*Constants!$H67*(1-Constants!$H85)</f>
        <v>260837527.18726125</v>
      </c>
      <c r="AU70" s="22">
        <f>AU9*Constants!$H67*(1-Constants!$H85)</f>
        <v>262909755.98357776</v>
      </c>
      <c r="AV70" s="22">
        <f>AV9*Constants!$H67*(1-Constants!$H85)</f>
        <v>264774261.53754503</v>
      </c>
      <c r="AW70" s="22">
        <f>AW9*Constants!$H67*(1-Constants!$H85)</f>
        <v>264870425.74816579</v>
      </c>
      <c r="AX70" s="22">
        <f>AX9*Constants!$H67*(1-Constants!$H85)</f>
        <v>266119472.80032283</v>
      </c>
      <c r="AY70" s="22">
        <f>AY9*Constants!$H67*(1-Constants!$H85)</f>
        <v>267771173.48957843</v>
      </c>
      <c r="AZ70" s="22">
        <f>AZ9*Constants!$H67*(1-Constants!$H85)</f>
        <v>270544213.14204681</v>
      </c>
      <c r="BA70" s="22">
        <f>BA9*Constants!$H67*(1-Constants!$H85)</f>
        <v>270987111.84554607</v>
      </c>
      <c r="BB70" s="22">
        <f>BB9*Constants!$H67*(1-Constants!$H85)</f>
        <v>270940620.30812556</v>
      </c>
      <c r="BC70" s="22">
        <f>BC9*Constants!$H67*(1-Constants!$H85)</f>
        <v>271347477.46501011</v>
      </c>
      <c r="BD70" s="22">
        <f>BD9*Constants!$H67*(1-Constants!$H85)</f>
        <v>271272383.01944053</v>
      </c>
      <c r="BE70" s="22">
        <f>BE9*Constants!$H67*(1-Constants!$H85)</f>
        <v>271329839.42193782</v>
      </c>
      <c r="BF70" s="22">
        <f>BF9*Constants!$H67*(1-Constants!$H85)</f>
        <v>271199443.56148732</v>
      </c>
      <c r="BG70" s="22">
        <f>BG9*Constants!$H67*(1-Constants!$H85)</f>
        <v>273145935.44416875</v>
      </c>
      <c r="BH70" s="22">
        <f>BH9*Constants!$H67*(1-Constants!$H85)</f>
        <v>274569904.76007611</v>
      </c>
      <c r="BI70" s="22">
        <f>BI9*Constants!$H67*(1-Constants!$H85)</f>
        <v>275911714.66156566</v>
      </c>
      <c r="BJ70" s="22">
        <f>BJ9*Constants!$H67*(1-Constants!$H85)</f>
        <v>277274030.05098164</v>
      </c>
      <c r="BK70" s="22">
        <f>BK9*Constants!$H67*(1-Constants!$H85)</f>
        <v>278686394.00812215</v>
      </c>
      <c r="BL70" s="22">
        <f>BL9*Constants!$H67*(1-Constants!$H85)</f>
        <v>280899730.36641002</v>
      </c>
      <c r="BM70" s="22">
        <f>BM9*Constants!$H67*(1-Constants!$H85)</f>
        <v>280276323.47958934</v>
      </c>
      <c r="BN70" s="22">
        <f>BN9*Constants!$H67*(1-Constants!$H85)</f>
        <v>279341644.90827322</v>
      </c>
      <c r="BO70" s="22">
        <f>BO9*Constants!$H67*(1-Constants!$H85)</f>
        <v>278373571.42296004</v>
      </c>
      <c r="BP70" s="22">
        <f>BP9*Constants!$H67*(1-Constants!$H85)</f>
        <v>277256269.6969496</v>
      </c>
    </row>
    <row r="71" spans="1:68" x14ac:dyDescent="0.2">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376583519.24290884</v>
      </c>
      <c r="AM72" s="22">
        <f>AM11*Constants!$H69*(1-Constants!$H87)</f>
        <v>377157025.37438202</v>
      </c>
      <c r="AN72" s="22">
        <f>AN11*Constants!$H69*(1-Constants!$H87)</f>
        <v>377805224.55315232</v>
      </c>
      <c r="AO72" s="22">
        <f>AO11*Constants!$H69*(1-Constants!$H87)</f>
        <v>378536450.53461206</v>
      </c>
      <c r="AP72" s="22">
        <f>AP11*Constants!$H69*(1-Constants!$H87)</f>
        <v>379359026.01339078</v>
      </c>
      <c r="AQ72" s="22">
        <f>AQ11*Constants!$H69*(1-Constants!$H87)</f>
        <v>380255798.54805142</v>
      </c>
      <c r="AR72" s="22">
        <f>AR11*Constants!$H69*(1-Constants!$H87)</f>
        <v>380801208.2505275</v>
      </c>
      <c r="AS72" s="22">
        <f>AS11*Constants!$H69*(1-Constants!$H87)</f>
        <v>381410399.52224785</v>
      </c>
      <c r="AT72" s="22">
        <f>AT11*Constants!$H69*(1-Constants!$H87)</f>
        <v>382078903.57555962</v>
      </c>
      <c r="AU72" s="22">
        <f>AU11*Constants!$H69*(1-Constants!$H87)</f>
        <v>382821855.81327641</v>
      </c>
      <c r="AV72" s="22">
        <f>AV11*Constants!$H69*(1-Constants!$H87)</f>
        <v>383621001.86844999</v>
      </c>
      <c r="AW72" s="22">
        <f>AW11*Constants!$H69*(1-Constants!$H87)</f>
        <v>384143188.58756876</v>
      </c>
      <c r="AX72" s="22">
        <f>AX11*Constants!$H69*(1-Constants!$H87)</f>
        <v>384729345.51356471</v>
      </c>
      <c r="AY72" s="22">
        <f>AY11*Constants!$H69*(1-Constants!$H87)</f>
        <v>385370108.68336421</v>
      </c>
      <c r="AZ72" s="22">
        <f>AZ11*Constants!$H69*(1-Constants!$H87)</f>
        <v>386072132.56418031</v>
      </c>
      <c r="BA72" s="22">
        <f>BA11*Constants!$H69*(1-Constants!$H87)</f>
        <v>386794934.456164</v>
      </c>
      <c r="BB72" s="22">
        <f>BB11*Constants!$H69*(1-Constants!$H87)</f>
        <v>387237921.78270018</v>
      </c>
      <c r="BC72" s="22">
        <f>BC11*Constants!$H69*(1-Constants!$H87)</f>
        <v>387727289.48461068</v>
      </c>
      <c r="BD72" s="22">
        <f>BD11*Constants!$H69*(1-Constants!$H87)</f>
        <v>388250563.16696227</v>
      </c>
      <c r="BE72" s="22">
        <f>BE11*Constants!$H69*(1-Constants!$H87)</f>
        <v>388813968.31658548</v>
      </c>
      <c r="BF72" s="22">
        <f>BF11*Constants!$H69*(1-Constants!$H87)</f>
        <v>389412413.72282773</v>
      </c>
      <c r="BG72" s="22">
        <f>BG11*Constants!$H69*(1-Constants!$H87)</f>
        <v>389759463.24937063</v>
      </c>
      <c r="BH72" s="22">
        <f>BH11*Constants!$H69*(1-Constants!$H87)</f>
        <v>390132759.88670808</v>
      </c>
      <c r="BI72" s="22">
        <f>BI11*Constants!$H69*(1-Constants!$H87)</f>
        <v>390537074.40005213</v>
      </c>
      <c r="BJ72" s="22">
        <f>BJ11*Constants!$H69*(1-Constants!$H87)</f>
        <v>390972964.93985891</v>
      </c>
      <c r="BK72" s="22">
        <f>BK11*Constants!$H69*(1-Constants!$H87)</f>
        <v>391440126.7957961</v>
      </c>
      <c r="BL72" s="22">
        <f>BL11*Constants!$H69*(1-Constants!$H87)</f>
        <v>391649018.2898314</v>
      </c>
      <c r="BM72" s="22">
        <f>BM11*Constants!$H69*(1-Constants!$H87)</f>
        <v>391843446.41509658</v>
      </c>
      <c r="BN72" s="22">
        <f>BN11*Constants!$H69*(1-Constants!$H87)</f>
        <v>392058989.75292712</v>
      </c>
      <c r="BO72" s="22">
        <f>BO11*Constants!$H69*(1-Constants!$H87)</f>
        <v>392299103.25348741</v>
      </c>
      <c r="BP72" s="22">
        <f>BP11*Constants!$H69*(1-Constants!$H87)</f>
        <v>392561315.1166392</v>
      </c>
    </row>
    <row r="73" spans="1:68" x14ac:dyDescent="0.2">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42037840.096857853</v>
      </c>
      <c r="AM73" s="22">
        <f>AM12*Constants!$H70*(1-Constants!$H88)</f>
        <v>42101860.314996727</v>
      </c>
      <c r="AN73" s="22">
        <f>AN12*Constants!$H70*(1-Constants!$H88)</f>
        <v>42174218.482669167</v>
      </c>
      <c r="AO73" s="22">
        <f>AO12*Constants!$H70*(1-Constants!$H88)</f>
        <v>42255844.893047065</v>
      </c>
      <c r="AP73" s="22">
        <f>AP12*Constants!$H70*(1-Constants!$H88)</f>
        <v>42347668.604594544</v>
      </c>
      <c r="AQ73" s="22">
        <f>AQ12*Constants!$H70*(1-Constants!$H88)</f>
        <v>42447774.898388565</v>
      </c>
      <c r="AR73" s="22">
        <f>AR12*Constants!$H70*(1-Constants!$H88)</f>
        <v>42508658.725450516</v>
      </c>
      <c r="AS73" s="22">
        <f>AS12*Constants!$H70*(1-Constants!$H88)</f>
        <v>42576662.458913051</v>
      </c>
      <c r="AT73" s="22">
        <f>AT12*Constants!$H70*(1-Constants!$H88)</f>
        <v>42651287.250124641</v>
      </c>
      <c r="AU73" s="22">
        <f>AU12*Constants!$H70*(1-Constants!$H88)</f>
        <v>42734222.656940974</v>
      </c>
      <c r="AV73" s="22">
        <f>AV12*Constants!$H70*(1-Constants!$H88)</f>
        <v>42823430.953015536</v>
      </c>
      <c r="AW73" s="22">
        <f>AW12*Constants!$H70*(1-Constants!$H88)</f>
        <v>42881722.409431763</v>
      </c>
      <c r="AX73" s="22">
        <f>AX12*Constants!$H70*(1-Constants!$H88)</f>
        <v>42947154.829778299</v>
      </c>
      <c r="AY73" s="22">
        <f>AY12*Constants!$H70*(1-Constants!$H88)</f>
        <v>43018682.919287227</v>
      </c>
      <c r="AZ73" s="22">
        <f>AZ12*Constants!$H70*(1-Constants!$H88)</f>
        <v>43097049.512985349</v>
      </c>
      <c r="BA73" s="22">
        <f>BA12*Constants!$H70*(1-Constants!$H88)</f>
        <v>43177735.546240352</v>
      </c>
      <c r="BB73" s="22">
        <f>BB12*Constants!$H70*(1-Constants!$H88)</f>
        <v>43227186.011930674</v>
      </c>
      <c r="BC73" s="22">
        <f>BC12*Constants!$H70*(1-Constants!$H88)</f>
        <v>43281813.896982141</v>
      </c>
      <c r="BD73" s="22">
        <f>BD12*Constants!$H70*(1-Constants!$H88)</f>
        <v>43340226.690589823</v>
      </c>
      <c r="BE73" s="22">
        <f>BE12*Constants!$H70*(1-Constants!$H88)</f>
        <v>43403119.340903424</v>
      </c>
      <c r="BF73" s="22">
        <f>BF12*Constants!$H70*(1-Constants!$H88)</f>
        <v>43469923.518486358</v>
      </c>
      <c r="BG73" s="22">
        <f>BG12*Constants!$H70*(1-Constants!$H88)</f>
        <v>43508664.492950223</v>
      </c>
      <c r="BH73" s="22">
        <f>BH12*Constants!$H70*(1-Constants!$H88)</f>
        <v>43550335.419974945</v>
      </c>
      <c r="BI73" s="22">
        <f>BI12*Constants!$H70*(1-Constants!$H88)</f>
        <v>43595468.857824184</v>
      </c>
      <c r="BJ73" s="22">
        <f>BJ12*Constants!$H70*(1-Constants!$H88)</f>
        <v>43644127.112569287</v>
      </c>
      <c r="BK73" s="22">
        <f>BK12*Constants!$H70*(1-Constants!$H88)</f>
        <v>43696276.169540025</v>
      </c>
      <c r="BL73" s="22">
        <f>BL12*Constants!$H70*(1-Constants!$H88)</f>
        <v>43719594.628195629</v>
      </c>
      <c r="BM73" s="22">
        <f>BM12*Constants!$H70*(1-Constants!$H88)</f>
        <v>43741298.547837846</v>
      </c>
      <c r="BN73" s="22">
        <f>BN12*Constants!$H70*(1-Constants!$H88)</f>
        <v>43765359.548669428</v>
      </c>
      <c r="BO73" s="22">
        <f>BO12*Constants!$H70*(1-Constants!$H88)</f>
        <v>43792163.305142745</v>
      </c>
      <c r="BP73" s="22">
        <f>BP12*Constants!$H70*(1-Constants!$H88)</f>
        <v>43821433.891377725</v>
      </c>
    </row>
    <row r="74" spans="1:68" x14ac:dyDescent="0.2">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45631309.487661712</v>
      </c>
      <c r="AE74" s="22">
        <f>AE13*Constants!$H71*(1-Constants!$H89)</f>
        <v>45749928.866340876</v>
      </c>
      <c r="AF74" s="22">
        <f>AF13*Constants!$H71*(1-Constants!$H89)</f>
        <v>45913560.107367672</v>
      </c>
      <c r="AG74" s="22">
        <f>AG13*Constants!$H71*(1-Constants!$H89)</f>
        <v>46112906.174093798</v>
      </c>
      <c r="AH74" s="22">
        <f>AH13*Constants!$H71*(1-Constants!$H89)</f>
        <v>46347682.746242367</v>
      </c>
      <c r="AI74" s="22">
        <f>AI13*Constants!$H71*(1-Constants!$H89)</f>
        <v>46616460.850456975</v>
      </c>
      <c r="AJ74" s="22">
        <f>AJ13*Constants!$H71*(1-Constants!$H89)</f>
        <v>46905723.935145356</v>
      </c>
      <c r="AK74" s="22">
        <f>AK13*Constants!$H71*(1-Constants!$H89)</f>
        <v>47214326.947409034</v>
      </c>
      <c r="AL74" s="22">
        <f>AL13*Constants!$H71*(1-Constants!$H89)</f>
        <v>47497840.875535138</v>
      </c>
      <c r="AM74" s="22">
        <f>AM13*Constants!$H71*(1-Constants!$H89)</f>
        <v>47635860.183468208</v>
      </c>
      <c r="AN74" s="22">
        <f>AN13*Constants!$H71*(1-Constants!$H89)</f>
        <v>47784207.674376555</v>
      </c>
      <c r="AO74" s="22">
        <f>AO13*Constants!$H71*(1-Constants!$H89)</f>
        <v>47944697.506639145</v>
      </c>
      <c r="AP74" s="22">
        <f>AP13*Constants!$H71*(1-Constants!$H89)</f>
        <v>48119091.814606875</v>
      </c>
      <c r="AQ74" s="22">
        <f>AQ13*Constants!$H71*(1-Constants!$H89)</f>
        <v>48304287.530479677</v>
      </c>
      <c r="AR74" s="22">
        <f>AR13*Constants!$H71*(1-Constants!$H89)</f>
        <v>48420064.083210252</v>
      </c>
      <c r="AS74" s="22">
        <f>AS13*Constants!$H71*(1-Constants!$H89)</f>
        <v>48545303.654500693</v>
      </c>
      <c r="AT74" s="22">
        <f>AT13*Constants!$H71*(1-Constants!$H89)</f>
        <v>48679269.655911043</v>
      </c>
      <c r="AU74" s="22">
        <f>AU13*Constants!$H71*(1-Constants!$H89)</f>
        <v>48824895.306357242</v>
      </c>
      <c r="AV74" s="22">
        <f>AV13*Constants!$H71*(1-Constants!$H89)</f>
        <v>48978825.970559001</v>
      </c>
      <c r="AW74" s="22">
        <f>AW13*Constants!$H71*(1-Constants!$H89)</f>
        <v>49078897.401172474</v>
      </c>
      <c r="AX74" s="22">
        <f>AX13*Constants!$H71*(1-Constants!$H89)</f>
        <v>49189112.923474148</v>
      </c>
      <c r="AY74" s="22">
        <f>AY13*Constants!$H71*(1-Constants!$H89)</f>
        <v>49307768.195623308</v>
      </c>
      <c r="AZ74" s="22">
        <f>AZ13*Constants!$H71*(1-Constants!$H89)</f>
        <v>49436140.135406628</v>
      </c>
      <c r="BA74" s="22">
        <f>BA13*Constants!$H71*(1-Constants!$H89)</f>
        <v>49566753.431249395</v>
      </c>
      <c r="BB74" s="22">
        <f>BB13*Constants!$H71*(1-Constants!$H89)</f>
        <v>49644068.419100225</v>
      </c>
      <c r="BC74" s="22">
        <f>BC13*Constants!$H71*(1-Constants!$H89)</f>
        <v>49728683.689669259</v>
      </c>
      <c r="BD74" s="22">
        <f>BD13*Constants!$H71*(1-Constants!$H89)</f>
        <v>49818321.861275576</v>
      </c>
      <c r="BE74" s="22">
        <f>BE13*Constants!$H71*(1-Constants!$H89)</f>
        <v>49914158.46828948</v>
      </c>
      <c r="BF74" s="22">
        <f>BF13*Constants!$H71*(1-Constants!$H89)</f>
        <v>50015278.904326387</v>
      </c>
      <c r="BG74" s="22">
        <f>BG13*Constants!$H71*(1-Constants!$H89)</f>
        <v>50069199.089767501</v>
      </c>
      <c r="BH74" s="22">
        <f>BH13*Constants!$H71*(1-Constants!$H89)</f>
        <v>50127017.950711653</v>
      </c>
      <c r="BI74" s="22">
        <f>BI13*Constants!$H71*(1-Constants!$H89)</f>
        <v>50189627.436191738</v>
      </c>
      <c r="BJ74" s="22">
        <f>BJ13*Constants!$H71*(1-Constants!$H89)</f>
        <v>50257142.863185331</v>
      </c>
      <c r="BK74" s="22">
        <f>BK13*Constants!$H71*(1-Constants!$H89)</f>
        <v>50329519.65815568</v>
      </c>
      <c r="BL74" s="22">
        <f>BL13*Constants!$H71*(1-Constants!$H89)</f>
        <v>50354140.536642544</v>
      </c>
      <c r="BM74" s="22">
        <f>BM13*Constants!$H71*(1-Constants!$H89)</f>
        <v>50375512.568166584</v>
      </c>
      <c r="BN74" s="22">
        <f>BN13*Constants!$H71*(1-Constants!$H89)</f>
        <v>50400124.22620903</v>
      </c>
      <c r="BO74" s="22">
        <f>BO13*Constants!$H71*(1-Constants!$H89)</f>
        <v>50428610.036759555</v>
      </c>
      <c r="BP74" s="22">
        <f>BP13*Constants!$H71*(1-Constants!$H89)</f>
        <v>50460528.918833002</v>
      </c>
    </row>
    <row r="75" spans="1:68" x14ac:dyDescent="0.2">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75518890.310465008</v>
      </c>
      <c r="AE75" s="22">
        <f>AE14*Constants!$H72*(1-Constants!$H90)</f>
        <v>75715202.97270821</v>
      </c>
      <c r="AF75" s="22">
        <f>AF14*Constants!$H72*(1-Constants!$H90)</f>
        <v>75986009.352827772</v>
      </c>
      <c r="AG75" s="22">
        <f>AG14*Constants!$H72*(1-Constants!$H90)</f>
        <v>76315923.044017896</v>
      </c>
      <c r="AH75" s="22">
        <f>AH14*Constants!$H72*(1-Constants!$H90)</f>
        <v>76704473.501995638</v>
      </c>
      <c r="AI75" s="22">
        <f>AI14*Constants!$H72*(1-Constants!$H90)</f>
        <v>77149295.804882318</v>
      </c>
      <c r="AJ75" s="22">
        <f>AJ14*Constants!$H72*(1-Constants!$H90)</f>
        <v>77628020.334349424</v>
      </c>
      <c r="AK75" s="22">
        <f>AK14*Constants!$H72*(1-Constants!$H90)</f>
        <v>78138752.051108971</v>
      </c>
      <c r="AL75" s="22">
        <f>AL14*Constants!$H72*(1-Constants!$H90)</f>
        <v>78607961.843245953</v>
      </c>
      <c r="AM75" s="22">
        <f>AM14*Constants!$H72*(1-Constants!$H90)</f>
        <v>78836380.994340926</v>
      </c>
      <c r="AN75" s="22">
        <f>AN14*Constants!$H72*(1-Constants!$H90)</f>
        <v>79081893.078467518</v>
      </c>
      <c r="AO75" s="22">
        <f>AO14*Constants!$H72*(1-Constants!$H90)</f>
        <v>79347500.490892544</v>
      </c>
      <c r="AP75" s="22">
        <f>AP14*Constants!$H72*(1-Constants!$H90)</f>
        <v>79636119.528173193</v>
      </c>
      <c r="AQ75" s="22">
        <f>AQ14*Constants!$H72*(1-Constants!$H90)</f>
        <v>79942614.676131785</v>
      </c>
      <c r="AR75" s="22">
        <f>AR14*Constants!$H72*(1-Constants!$H90)</f>
        <v>80134222.51917538</v>
      </c>
      <c r="AS75" s="22">
        <f>AS14*Constants!$H72*(1-Constants!$H90)</f>
        <v>80341491.465716764</v>
      </c>
      <c r="AT75" s="22">
        <f>AT14*Constants!$H72*(1-Constants!$H90)</f>
        <v>80563202.476849928</v>
      </c>
      <c r="AU75" s="22">
        <f>AU14*Constants!$H72*(1-Constants!$H90)</f>
        <v>80804209.970299363</v>
      </c>
      <c r="AV75" s="22">
        <f>AV14*Constants!$H72*(1-Constants!$H90)</f>
        <v>81058962.092817634</v>
      </c>
      <c r="AW75" s="22">
        <f>AW14*Constants!$H72*(1-Constants!$H90)</f>
        <v>81224578.27776961</v>
      </c>
      <c r="AX75" s="22">
        <f>AX14*Constants!$H72*(1-Constants!$H90)</f>
        <v>81406982.728412464</v>
      </c>
      <c r="AY75" s="22">
        <f>AY14*Constants!$H72*(1-Constants!$H90)</f>
        <v>81603354.793619454</v>
      </c>
      <c r="AZ75" s="22">
        <f>AZ14*Constants!$H72*(1-Constants!$H90)</f>
        <v>81815807.74638994</v>
      </c>
      <c r="BA75" s="22">
        <f>BA14*Constants!$H72*(1-Constants!$H90)</f>
        <v>82031970.097911</v>
      </c>
      <c r="BB75" s="22">
        <f>BB14*Constants!$H72*(1-Constants!$H90)</f>
        <v>82159924.832333863</v>
      </c>
      <c r="BC75" s="22">
        <f>BC14*Constants!$H72*(1-Constants!$H90)</f>
        <v>82299961.386367485</v>
      </c>
      <c r="BD75" s="22">
        <f>BD14*Constants!$H72*(1-Constants!$H90)</f>
        <v>82448310.739589512</v>
      </c>
      <c r="BE75" s="22">
        <f>BE14*Constants!$H72*(1-Constants!$H90)</f>
        <v>82606918.377504572</v>
      </c>
      <c r="BF75" s="22">
        <f>BF14*Constants!$H72*(1-Constants!$H90)</f>
        <v>82774270.645124286</v>
      </c>
      <c r="BG75" s="22">
        <f>BG14*Constants!$H72*(1-Constants!$H90)</f>
        <v>82863507.456768915</v>
      </c>
      <c r="BH75" s="22">
        <f>BH14*Constants!$H72*(1-Constants!$H90)</f>
        <v>82959196.497178718</v>
      </c>
      <c r="BI75" s="22">
        <f>BI14*Constants!$H72*(1-Constants!$H90)</f>
        <v>83062813.923885345</v>
      </c>
      <c r="BJ75" s="22">
        <f>BJ14*Constants!$H72*(1-Constants!$H90)</f>
        <v>83174550.584144294</v>
      </c>
      <c r="BK75" s="22">
        <f>BK14*Constants!$H72*(1-Constants!$H90)</f>
        <v>83294332.709657624</v>
      </c>
      <c r="BL75" s="22">
        <f>BL14*Constants!$H72*(1-Constants!$H90)</f>
        <v>83335079.763438746</v>
      </c>
      <c r="BM75" s="22">
        <f>BM14*Constants!$H72*(1-Constants!$H90)</f>
        <v>83370450.041489005</v>
      </c>
      <c r="BN75" s="22">
        <f>BN14*Constants!$H72*(1-Constants!$H90)</f>
        <v>83411181.835621893</v>
      </c>
      <c r="BO75" s="22">
        <f>BO14*Constants!$H72*(1-Constants!$H90)</f>
        <v>83458325.273461476</v>
      </c>
      <c r="BP75" s="22">
        <f>BP14*Constants!$H72*(1-Constants!$H90)</f>
        <v>83511150.374936774</v>
      </c>
    </row>
    <row r="76" spans="1:68" x14ac:dyDescent="0.2">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12243954.503070904</v>
      </c>
      <c r="AF76" s="22">
        <f>AF15*Constants!$H73*(1-Constants!$H91)</f>
        <v>12333541.940265566</v>
      </c>
      <c r="AG76" s="22">
        <f>AG15*Constants!$H73*(1-Constants!$H91)</f>
        <v>12352693.798490599</v>
      </c>
      <c r="AH76" s="22">
        <f>AH15*Constants!$H73*(1-Constants!$H91)</f>
        <v>12325276.158381391</v>
      </c>
      <c r="AI76" s="22">
        <f>AI15*Constants!$H73*(1-Constants!$H91)</f>
        <v>12252292.423443839</v>
      </c>
      <c r="AJ76" s="22">
        <f>AJ15*Constants!$H73*(1-Constants!$H91)</f>
        <v>12211826.078492031</v>
      </c>
      <c r="AK76" s="22">
        <f>AK15*Constants!$H73*(1-Constants!$H91)</f>
        <v>12175458.752937714</v>
      </c>
      <c r="AL76" s="22">
        <f>AL15*Constants!$H73*(1-Constants!$H91)</f>
        <v>11530894.473081894</v>
      </c>
      <c r="AM76" s="22">
        <f>AM15*Constants!$H73*(1-Constants!$H91)</f>
        <v>11691440.120139277</v>
      </c>
      <c r="AN76" s="22">
        <f>AN15*Constants!$H73*(1-Constants!$H91)</f>
        <v>11799817.178527689</v>
      </c>
      <c r="AO76" s="22">
        <f>AO15*Constants!$H73*(1-Constants!$H91)</f>
        <v>11894009.788953485</v>
      </c>
      <c r="AP76" s="22">
        <f>AP15*Constants!$H73*(1-Constants!$H91)</f>
        <v>12009357.062937154</v>
      </c>
      <c r="AQ76" s="22">
        <f>AQ15*Constants!$H73*(1-Constants!$H91)</f>
        <v>12111817.651020631</v>
      </c>
      <c r="AR76" s="22">
        <f>AR15*Constants!$H73*(1-Constants!$H91)</f>
        <v>12206189.808059853</v>
      </c>
      <c r="AS76" s="22">
        <f>AS15*Constants!$H73*(1-Constants!$H91)</f>
        <v>12292441.797141798</v>
      </c>
      <c r="AT76" s="22">
        <f>AT15*Constants!$H73*(1-Constants!$H91)</f>
        <v>12367611.25888158</v>
      </c>
      <c r="AU76" s="22">
        <f>AU15*Constants!$H73*(1-Constants!$H91)</f>
        <v>12478537.556143736</v>
      </c>
      <c r="AV76" s="22">
        <f>AV15*Constants!$H73*(1-Constants!$H91)</f>
        <v>12584614.891000433</v>
      </c>
      <c r="AW76" s="22">
        <f>AW15*Constants!$H73*(1-Constants!$H91)</f>
        <v>12714148.887689697</v>
      </c>
      <c r="AX76" s="22">
        <f>AX15*Constants!$H73*(1-Constants!$H91)</f>
        <v>12878599.545601591</v>
      </c>
      <c r="AY76" s="22">
        <f>AY15*Constants!$H73*(1-Constants!$H91)</f>
        <v>13059081.557105292</v>
      </c>
      <c r="AZ76" s="22">
        <f>AZ15*Constants!$H73*(1-Constants!$H91)</f>
        <v>13277005.427032374</v>
      </c>
      <c r="BA76" s="22">
        <f>BA15*Constants!$H73*(1-Constants!$H91)</f>
        <v>13434412.48571449</v>
      </c>
      <c r="BB76" s="22">
        <f>BB15*Constants!$H73*(1-Constants!$H91)</f>
        <v>13592676.06332026</v>
      </c>
      <c r="BC76" s="22">
        <f>BC15*Constants!$H73*(1-Constants!$H91)</f>
        <v>13769633.04006782</v>
      </c>
      <c r="BD76" s="22">
        <f>BD15*Constants!$H73*(1-Constants!$H91)</f>
        <v>13937596.08512122</v>
      </c>
      <c r="BE76" s="22">
        <f>BE15*Constants!$H73*(1-Constants!$H91)</f>
        <v>14115387.305942642</v>
      </c>
      <c r="BF76" s="22">
        <f>BF15*Constants!$H73*(1-Constants!$H91)</f>
        <v>14293329.280025233</v>
      </c>
      <c r="BG76" s="22">
        <f>BG15*Constants!$H73*(1-Constants!$H91)</f>
        <v>14511019.172336299</v>
      </c>
      <c r="BH76" s="22">
        <f>BH15*Constants!$H73*(1-Constants!$H91)</f>
        <v>14717422.465515371</v>
      </c>
      <c r="BI76" s="22">
        <f>BI15*Constants!$H73*(1-Constants!$H91)</f>
        <v>14926879.784275431</v>
      </c>
      <c r="BJ76" s="22">
        <f>BJ15*Constants!$H73*(1-Constants!$H91)</f>
        <v>15143095.910392791</v>
      </c>
      <c r="BK76" s="22">
        <f>BK15*Constants!$H73*(1-Constants!$H91)</f>
        <v>15367467.502018906</v>
      </c>
      <c r="BL76" s="22">
        <f>BL15*Constants!$H73*(1-Constants!$H91)</f>
        <v>15639280.621768335</v>
      </c>
      <c r="BM76" s="22">
        <f>BM15*Constants!$H73*(1-Constants!$H91)</f>
        <v>15815708.870655632</v>
      </c>
      <c r="BN76" s="22">
        <f>BN15*Constants!$H73*(1-Constants!$H91)</f>
        <v>15985554.877888378</v>
      </c>
      <c r="BO76" s="22">
        <f>BO15*Constants!$H73*(1-Constants!$H91)</f>
        <v>16159030.844090464</v>
      </c>
      <c r="BP76" s="22">
        <f>BP15*Constants!$H73*(1-Constants!$H91)</f>
        <v>16331831.282176627</v>
      </c>
    </row>
    <row r="77" spans="1:68" x14ac:dyDescent="0.2">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101085866.44910184</v>
      </c>
      <c r="AN82" s="22">
        <f>((AN41*Constants!$H$45*Constants!$H$48)*(1+Constants!$H$51))*Constants!$H$54*Constants!$H$42*Constants!$H$57*Constants!$H$58*ttokg</f>
        <v>101613982.47834931</v>
      </c>
      <c r="AO82" s="22">
        <f>((AO41*Constants!$H$45*Constants!$H$48)*(1+Constants!$H$51))*Constants!$H$54*Constants!$H$42*Constants!$H$57*Constants!$H$58*ttokg</f>
        <v>102027354.26111871</v>
      </c>
      <c r="AP82" s="22">
        <f>((AP41*Constants!$H$45*Constants!$H$48)*(1+Constants!$H$51))*Constants!$H$54*Constants!$H$42*Constants!$H$57*Constants!$H$58*ttokg</f>
        <v>102410009.35691056</v>
      </c>
      <c r="AQ82" s="22">
        <f>((AQ41*Constants!$H$45*Constants!$H$48)*(1+Constants!$H$51))*Constants!$H$54*Constants!$H$42*Constants!$H$57*Constants!$H$58*ttokg</f>
        <v>102837736.07989646</v>
      </c>
      <c r="AR82" s="22">
        <f>((AR41*Constants!$H$45*Constants!$H$48)*(1+Constants!$H$51))*Constants!$H$54*Constants!$H$42*Constants!$H$57*Constants!$H$58*ttokg</f>
        <v>103237677.79849203</v>
      </c>
      <c r="AS82" s="22">
        <f>((AS41*Constants!$H$45*Constants!$H$48)*(1+Constants!$H$51))*Constants!$H$54*Constants!$H$42*Constants!$H$57*Constants!$H$58*ttokg</f>
        <v>103593839.85569745</v>
      </c>
      <c r="AT82" s="22">
        <f>((AT41*Constants!$H$45*Constants!$H$48)*(1+Constants!$H$51))*Constants!$H$54*Constants!$H$42*Constants!$H$57*Constants!$H$58*ttokg</f>
        <v>103932742.60468498</v>
      </c>
      <c r="AU82" s="22">
        <f>((AU41*Constants!$H$45*Constants!$H$48)*(1+Constants!$H$51))*Constants!$H$54*Constants!$H$42*Constants!$H$57*Constants!$H$58*ttokg</f>
        <v>104248509.90320137</v>
      </c>
      <c r="AV82" s="22">
        <f>((AV41*Constants!$H$45*Constants!$H$48)*(1+Constants!$H$51))*Constants!$H$54*Constants!$H$42*Constants!$H$57*Constants!$H$58*ttokg</f>
        <v>104638200.08052093</v>
      </c>
      <c r="AW82" s="22">
        <f>((AW41*Constants!$H$45*Constants!$H$48)*(1+Constants!$H$51))*Constants!$H$54*Constants!$H$42*Constants!$H$57*Constants!$H$58*ttokg</f>
        <v>105017152.31320129</v>
      </c>
      <c r="AX82" s="22">
        <f>((AX41*Constants!$H$45*Constants!$H$48)*(1+Constants!$H$51))*Constants!$H$54*Constants!$H$42*Constants!$H$57*Constants!$H$58*ttokg</f>
        <v>105421448.2232869</v>
      </c>
      <c r="AY82" s="22">
        <f>((AY41*Constants!$H$45*Constants!$H$48)*(1+Constants!$H$51))*Constants!$H$54*Constants!$H$42*Constants!$H$57*Constants!$H$58*ttokg</f>
        <v>105893959.41744839</v>
      </c>
      <c r="AZ82" s="22">
        <f>((AZ41*Constants!$H$45*Constants!$H$48)*(1+Constants!$H$51))*Constants!$H$54*Constants!$H$42*Constants!$H$57*Constants!$H$58*ttokg</f>
        <v>106394839.95068327</v>
      </c>
      <c r="BA82" s="22">
        <f>((BA41*Constants!$H$45*Constants!$H$48)*(1+Constants!$H$51))*Constants!$H$54*Constants!$H$42*Constants!$H$57*Constants!$H$58*ttokg</f>
        <v>106964367.53212632</v>
      </c>
      <c r="BB82" s="22">
        <f>((BB41*Constants!$H$45*Constants!$H$48)*(1+Constants!$H$51))*Constants!$H$54*Constants!$H$42*Constants!$H$57*Constants!$H$58*ttokg</f>
        <v>107412157.92924675</v>
      </c>
      <c r="BC82" s="22">
        <f>((BC41*Constants!$H$45*Constants!$H$48)*(1+Constants!$H$51))*Constants!$H$54*Constants!$H$42*Constants!$H$57*Constants!$H$58*ttokg</f>
        <v>107838229.27801409</v>
      </c>
      <c r="BD82" s="22">
        <f>((BD41*Constants!$H$45*Constants!$H$48)*(1+Constants!$H$51))*Constants!$H$54*Constants!$H$42*Constants!$H$57*Constants!$H$58*ttokg</f>
        <v>108296326.98739994</v>
      </c>
      <c r="BE82" s="22">
        <f>((BE41*Constants!$H$45*Constants!$H$48)*(1+Constants!$H$51))*Constants!$H$54*Constants!$H$42*Constants!$H$57*Constants!$H$58*ttokg</f>
        <v>108734146.83092308</v>
      </c>
      <c r="BF82" s="22">
        <f>((BF41*Constants!$H$45*Constants!$H$48)*(1+Constants!$H$51))*Constants!$H$54*Constants!$H$42*Constants!$H$57*Constants!$H$58*ttokg</f>
        <v>109186662.25071469</v>
      </c>
      <c r="BG82" s="22">
        <f>((BG41*Constants!$H$45*Constants!$H$48)*(1+Constants!$H$51))*Constants!$H$54*Constants!$H$42*Constants!$H$57*Constants!$H$58*ttokg</f>
        <v>109635880.23782983</v>
      </c>
      <c r="BH82" s="22">
        <f>((BH41*Constants!$H$45*Constants!$H$48)*(1+Constants!$H$51))*Constants!$H$54*Constants!$H$42*Constants!$H$57*Constants!$H$58*ttokg</f>
        <v>110132494.03760129</v>
      </c>
      <c r="BI82" s="22">
        <f>((BI41*Constants!$H$45*Constants!$H$48)*(1+Constants!$H$51))*Constants!$H$54*Constants!$H$42*Constants!$H$57*Constants!$H$58*ttokg</f>
        <v>110603857.82776785</v>
      </c>
      <c r="BJ82" s="22">
        <f>((BJ41*Constants!$H$45*Constants!$H$48)*(1+Constants!$H$51))*Constants!$H$54*Constants!$H$42*Constants!$H$57*Constants!$H$58*ttokg</f>
        <v>111075607.78636846</v>
      </c>
      <c r="BK82" s="22">
        <f>((BK41*Constants!$H$45*Constants!$H$48)*(1+Constants!$H$51))*Constants!$H$54*Constants!$H$42*Constants!$H$57*Constants!$H$58*ttokg</f>
        <v>111553901.54070519</v>
      </c>
      <c r="BL82" s="22">
        <f>((BL41*Constants!$H$45*Constants!$H$48)*(1+Constants!$H$51))*Constants!$H$54*Constants!$H$42*Constants!$H$57*Constants!$H$58*ttokg</f>
        <v>112040679.94301893</v>
      </c>
      <c r="BM82" s="22">
        <f>((BM41*Constants!$H$45*Constants!$H$48)*(1+Constants!$H$51))*Constants!$H$54*Constants!$H$42*Constants!$H$57*Constants!$H$58*ttokg</f>
        <v>112579640.3266021</v>
      </c>
      <c r="BN82" s="22">
        <f>((BN41*Constants!$H$45*Constants!$H$48)*(1+Constants!$H$51))*Constants!$H$54*Constants!$H$42*Constants!$H$57*Constants!$H$58*ttokg</f>
        <v>112957630.88019344</v>
      </c>
      <c r="BO82" s="22">
        <f>((BO41*Constants!$H$45*Constants!$H$48)*(1+Constants!$H$51))*Constants!$H$54*Constants!$H$42*Constants!$H$57*Constants!$H$58*ttokg</f>
        <v>113322085.9543971</v>
      </c>
      <c r="BP82" s="22">
        <f>((BP41*Constants!$H$45*Constants!$H$48)*(1+Constants!$H$51))*Constants!$H$54*Constants!$H$42*Constants!$H$57*Constants!$H$58*ttokg</f>
        <v>113689495.44081658</v>
      </c>
    </row>
    <row r="83" spans="1:72" x14ac:dyDescent="0.2">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188915786.69683638</v>
      </c>
      <c r="AN85" s="22">
        <f>SUM(AN82:AN84)/Constants!$H$41</f>
        <v>189795980.07891554</v>
      </c>
      <c r="AO85" s="22">
        <f>SUM(AO82:AO84)/Constants!$H$41</f>
        <v>190484933.05019784</v>
      </c>
      <c r="AP85" s="22">
        <f>SUM(AP82:AP84)/Constants!$H$41</f>
        <v>191122691.54318425</v>
      </c>
      <c r="AQ85" s="22">
        <f>SUM(AQ82:AQ84)/Constants!$H$41</f>
        <v>191835569.41482747</v>
      </c>
      <c r="AR85" s="22">
        <f>SUM(AR82:AR84)/Constants!$H$41</f>
        <v>192502138.94582006</v>
      </c>
      <c r="AS85" s="22">
        <f>SUM(AS82:AS84)/Constants!$H$41</f>
        <v>193095742.37449574</v>
      </c>
      <c r="AT85" s="22">
        <f>SUM(AT82:AT84)/Constants!$H$41</f>
        <v>193660580.28947496</v>
      </c>
      <c r="AU85" s="22">
        <f>SUM(AU82:AU84)/Constants!$H$41</f>
        <v>194186859.12033561</v>
      </c>
      <c r="AV85" s="22">
        <f>SUM(AV82:AV84)/Constants!$H$41</f>
        <v>194836342.74920154</v>
      </c>
      <c r="AW85" s="22">
        <f>SUM(AW82:AW84)/Constants!$H$41</f>
        <v>195467929.80366883</v>
      </c>
      <c r="AX85" s="22">
        <f>SUM(AX82:AX84)/Constants!$H$41</f>
        <v>196141756.32047814</v>
      </c>
      <c r="AY85" s="22">
        <f>SUM(AY82:AY84)/Constants!$H$41</f>
        <v>196929274.97741398</v>
      </c>
      <c r="AZ85" s="22">
        <f>SUM(AZ82:AZ84)/Constants!$H$41</f>
        <v>197764075.86613876</v>
      </c>
      <c r="BA85" s="22">
        <f>SUM(BA82:BA84)/Constants!$H$41</f>
        <v>198713288.50187722</v>
      </c>
      <c r="BB85" s="22">
        <f>SUM(BB82:BB84)/Constants!$H$41</f>
        <v>199459605.83041126</v>
      </c>
      <c r="BC85" s="22">
        <f>SUM(BC82:BC84)/Constants!$H$41</f>
        <v>200169724.74502349</v>
      </c>
      <c r="BD85" s="22">
        <f>SUM(BD82:BD84)/Constants!$H$41</f>
        <v>200933220.92733321</v>
      </c>
      <c r="BE85" s="22">
        <f>SUM(BE82:BE84)/Constants!$H$41</f>
        <v>201662920.66653845</v>
      </c>
      <c r="BF85" s="22">
        <f>SUM(BF82:BF84)/Constants!$H$41</f>
        <v>202417113.03285781</v>
      </c>
      <c r="BG85" s="22">
        <f>SUM(BG82:BG84)/Constants!$H$41</f>
        <v>203165809.67804971</v>
      </c>
      <c r="BH85" s="22">
        <f>SUM(BH82:BH84)/Constants!$H$41</f>
        <v>203993499.34433547</v>
      </c>
      <c r="BI85" s="22">
        <f>SUM(BI82:BI84)/Constants!$H$41</f>
        <v>204779105.66127974</v>
      </c>
      <c r="BJ85" s="22">
        <f>SUM(BJ82:BJ84)/Constants!$H$41</f>
        <v>205565355.59228075</v>
      </c>
      <c r="BK85" s="22">
        <f>SUM(BK82:BK84)/Constants!$H$41</f>
        <v>206362511.84950867</v>
      </c>
      <c r="BL85" s="22">
        <f>SUM(BL82:BL84)/Constants!$H$41</f>
        <v>207173809.18669823</v>
      </c>
      <c r="BM85" s="22">
        <f>SUM(BM82:BM84)/Constants!$H$41</f>
        <v>208072076.49267015</v>
      </c>
      <c r="BN85" s="22">
        <f>SUM(BN82:BN84)/Constants!$H$41</f>
        <v>208702060.74865574</v>
      </c>
      <c r="BO85" s="22">
        <f>SUM(BO82:BO84)/Constants!$H$41</f>
        <v>209309485.87232852</v>
      </c>
      <c r="BP85" s="22">
        <f>SUM(BP82:BP84)/Constants!$H$41</f>
        <v>209921835.01636097</v>
      </c>
    </row>
    <row r="86" spans="1:72" ht="18.75" customHeight="1" x14ac:dyDescent="0.2">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2">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2">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2">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2">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2">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2">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2">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2">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2">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2">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2">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2">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2">
      <c r="AB99" s="11"/>
    </row>
    <row r="100" spans="1:69" x14ac:dyDescent="0.2">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baseColWidth="10" defaultColWidth="8.83203125" defaultRowHeight="15" x14ac:dyDescent="0.2"/>
  <cols>
    <col min="1" max="1" width="19.5" customWidth="1"/>
    <col min="2" max="2" width="33.1640625" customWidth="1"/>
    <col min="3" max="3" width="27.6640625" customWidth="1"/>
    <col min="4" max="4" width="27.5" customWidth="1"/>
    <col min="5" max="5" width="24.5" customWidth="1"/>
    <col min="6" max="6" width="9" customWidth="1"/>
    <col min="7" max="7" width="16.5" customWidth="1"/>
    <col min="8" max="8" width="9.83203125" customWidth="1"/>
    <col min="12" max="12" width="9.83203125" customWidth="1"/>
    <col min="17" max="17" width="12" bestFit="1" customWidth="1"/>
  </cols>
  <sheetData>
    <row r="1" spans="1:41" ht="19" x14ac:dyDescent="0.25">
      <c r="A1" s="1" t="s">
        <v>143</v>
      </c>
    </row>
    <row r="3" spans="1:41" s="19" customFormat="1" ht="29.25" customHeight="1" x14ac:dyDescent="0.2">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2">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2">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2">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2">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2">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2">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2">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2">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2">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2">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2">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2">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2">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2">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2">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2">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2">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2">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2">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7" x14ac:dyDescent="0.2">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2">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2">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2">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2">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2">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2">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2">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2">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2">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2">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2">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2">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2">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2">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2">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2">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2">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2">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2">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2">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2">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2">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2">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2">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2">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2">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2">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2">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2">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2">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2">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2">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2">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2">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2">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2">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2">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2">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2">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2">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2">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2">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2">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2">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2">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2">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2">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2">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2">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2">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2">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2">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2">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2">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2">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2">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2">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2">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2">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2">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2">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2">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2">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2">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2">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2">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2">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2">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2">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2">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2">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2">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2">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2">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2">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2">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2">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2">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2">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2">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2">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2">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2">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2">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2">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2">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2">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2">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2">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2">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2">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2">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2">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2">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2">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2">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2">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2">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2">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2">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2">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2">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2">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2">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2">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2">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2">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2">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2">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2">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2">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2">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2">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2">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2">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2">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2">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2">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2">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2">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2">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2">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2">
      <c r="A149" t="str">
        <f>'IPCC Categories'!A59</f>
        <v>3C Aggregated and non-CO2 emissions on land</v>
      </c>
      <c r="B149" t="str">
        <f>'IPCC Categories'!B71</f>
        <v>3C2 Liming (CO2)</v>
      </c>
      <c r="E149" t="s">
        <v>378</v>
      </c>
      <c r="F149" t="s">
        <v>380</v>
      </c>
      <c r="G149" t="s">
        <v>379</v>
      </c>
      <c r="H149" s="26">
        <v>0.125</v>
      </c>
    </row>
    <row r="150" spans="1:8" x14ac:dyDescent="0.2">
      <c r="A150" t="str">
        <f>A149</f>
        <v>3C Aggregated and non-CO2 emissions on land</v>
      </c>
      <c r="B150" t="str">
        <f>'IPCC Categories'!B72</f>
        <v>3C3 Urea application (CO2)</v>
      </c>
      <c r="E150" t="s">
        <v>385</v>
      </c>
      <c r="F150" t="s">
        <v>380</v>
      </c>
      <c r="G150" t="s">
        <v>386</v>
      </c>
      <c r="H150" s="26">
        <v>0.2</v>
      </c>
    </row>
    <row r="152" spans="1:8" x14ac:dyDescent="0.2">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2">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2">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2">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2">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2">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2">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2">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2">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2">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2">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2">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2">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2">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2">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2">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2">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2">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2">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2">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2">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2">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2">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2">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2">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2">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2">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2">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2">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2">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2">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2">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2">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2">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2">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2">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2">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2">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2">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2">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2">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2">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2">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2">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2">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2">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2">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2">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2">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2">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2">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2">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2">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2">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2">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2">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2">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2">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2">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2">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2">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2">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2">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2">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2">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2">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2">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2">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baseColWidth="10" defaultColWidth="8.83203125" defaultRowHeight="15" x14ac:dyDescent="0.2"/>
  <cols>
    <col min="1" max="1" width="62.83203125" customWidth="1"/>
    <col min="2" max="2" width="20.5" customWidth="1"/>
    <col min="3" max="3" width="8.5" customWidth="1"/>
    <col min="5" max="5" width="15.33203125" customWidth="1"/>
    <col min="6" max="6" width="19.1640625" customWidth="1"/>
    <col min="8" max="8" width="10.5" customWidth="1"/>
    <col min="10" max="10" width="23.33203125" customWidth="1"/>
    <col min="13" max="13" width="15.5" customWidth="1"/>
    <col min="14" max="14" width="10.6640625" customWidth="1"/>
    <col min="16" max="16" width="21.6640625" customWidth="1"/>
    <col min="19" max="19" width="13.33203125" customWidth="1"/>
    <col min="20" max="20" width="10.5" customWidth="1"/>
  </cols>
  <sheetData>
    <row r="1" spans="1:20" ht="19" x14ac:dyDescent="0.25">
      <c r="A1" s="1" t="s">
        <v>277</v>
      </c>
    </row>
    <row r="3" spans="1:20" ht="16" x14ac:dyDescent="0.2">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2">
      <c r="A4" s="13" t="s">
        <v>2</v>
      </c>
    </row>
    <row r="5" spans="1:20" ht="16" x14ac:dyDescent="0.2">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ht="16" x14ac:dyDescent="0.2">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ht="16" x14ac:dyDescent="0.2">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ht="16" x14ac:dyDescent="0.2">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ht="16" x14ac:dyDescent="0.2">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ht="16" x14ac:dyDescent="0.2">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2">
      <c r="A11" s="13" t="s">
        <v>151</v>
      </c>
      <c r="M11" s="13"/>
    </row>
    <row r="12" spans="1:20" ht="16" x14ac:dyDescent="0.2">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ht="16" x14ac:dyDescent="0.2">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ht="16" x14ac:dyDescent="0.2">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ht="16" x14ac:dyDescent="0.2">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ht="16" x14ac:dyDescent="0.2">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ht="16" x14ac:dyDescent="0.2">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ht="16" x14ac:dyDescent="0.2">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ht="16" x14ac:dyDescent="0.2">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ht="16" x14ac:dyDescent="0.2">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ht="16" x14ac:dyDescent="0.2">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ht="16" x14ac:dyDescent="0.2">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ht="16" x14ac:dyDescent="0.2">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ht="16" x14ac:dyDescent="0.2">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ht="16" x14ac:dyDescent="0.2">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ht="16" x14ac:dyDescent="0.2">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ht="16" x14ac:dyDescent="0.2">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ht="16" x14ac:dyDescent="0.2">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ht="16" x14ac:dyDescent="0.2">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ht="16" x14ac:dyDescent="0.2">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ht="16" x14ac:dyDescent="0.2">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ht="16" x14ac:dyDescent="0.2">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ht="16" x14ac:dyDescent="0.2">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ht="16" x14ac:dyDescent="0.2">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2">
      <c r="A35" s="13" t="s">
        <v>152</v>
      </c>
      <c r="M35" s="13"/>
    </row>
    <row r="36" spans="1:20" ht="16" x14ac:dyDescent="0.2">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ht="16" x14ac:dyDescent="0.2">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ht="16" x14ac:dyDescent="0.2">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ht="16" x14ac:dyDescent="0.2">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ht="16" x14ac:dyDescent="0.2">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ht="16" x14ac:dyDescent="0.2">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ht="16" x14ac:dyDescent="0.2">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ht="16" x14ac:dyDescent="0.2">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ht="16" x14ac:dyDescent="0.2">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ht="16" x14ac:dyDescent="0.2">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ht="16" x14ac:dyDescent="0.2">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ht="16" x14ac:dyDescent="0.2">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ht="16" x14ac:dyDescent="0.2">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ht="16" x14ac:dyDescent="0.2">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ht="16" x14ac:dyDescent="0.2">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ht="16" x14ac:dyDescent="0.2">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ht="16" x14ac:dyDescent="0.2">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ht="16" x14ac:dyDescent="0.2">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ht="16" x14ac:dyDescent="0.2">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ht="16" x14ac:dyDescent="0.2">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ht="16" x14ac:dyDescent="0.2">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ht="16" x14ac:dyDescent="0.2">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ht="16" x14ac:dyDescent="0.2">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ht="16" x14ac:dyDescent="0.2">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ht="16" x14ac:dyDescent="0.2">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ht="16" x14ac:dyDescent="0.2">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ht="16" x14ac:dyDescent="0.2">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ht="16" x14ac:dyDescent="0.2">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ht="16" x14ac:dyDescent="0.2">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ht="16" x14ac:dyDescent="0.2">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ht="16" x14ac:dyDescent="0.2">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ht="16" x14ac:dyDescent="0.2">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ht="16" x14ac:dyDescent="0.2">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ht="16" x14ac:dyDescent="0.2">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ht="16" x14ac:dyDescent="0.2">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ht="16" x14ac:dyDescent="0.2">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ht="16" x14ac:dyDescent="0.2">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ht="16" x14ac:dyDescent="0.2">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ht="16" x14ac:dyDescent="0.2">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ht="16" x14ac:dyDescent="0.2">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ht="16" x14ac:dyDescent="0.2">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ht="16" x14ac:dyDescent="0.2">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ht="16" x14ac:dyDescent="0.2">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ht="16" x14ac:dyDescent="0.2">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ht="16" x14ac:dyDescent="0.2">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ht="16" x14ac:dyDescent="0.2">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ht="16" x14ac:dyDescent="0.2">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ht="16" x14ac:dyDescent="0.2">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2">
      <c r="A84" s="13" t="s">
        <v>153</v>
      </c>
      <c r="M84" s="13"/>
    </row>
    <row r="85" spans="1:20" ht="16" x14ac:dyDescent="0.2">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ht="16" x14ac:dyDescent="0.2">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ht="16" x14ac:dyDescent="0.2">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ht="16" x14ac:dyDescent="0.2">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ht="16" x14ac:dyDescent="0.2">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ht="16" x14ac:dyDescent="0.2">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ht="16" x14ac:dyDescent="0.2">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ht="16" x14ac:dyDescent="0.2">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ht="16" x14ac:dyDescent="0.2">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ht="16" x14ac:dyDescent="0.2">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ht="16" x14ac:dyDescent="0.2">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ht="16" x14ac:dyDescent="0.2">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ht="16" x14ac:dyDescent="0.2">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ht="16" x14ac:dyDescent="0.2">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ht="16" x14ac:dyDescent="0.2">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ht="16" x14ac:dyDescent="0.2">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ht="16" x14ac:dyDescent="0.2">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ht="16" x14ac:dyDescent="0.2">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ht="16" x14ac:dyDescent="0.2">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ht="16" x14ac:dyDescent="0.2">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ht="16" x14ac:dyDescent="0.2">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ht="16" x14ac:dyDescent="0.2">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ht="16" x14ac:dyDescent="0.2">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ht="16" x14ac:dyDescent="0.2">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2">
      <c r="A109" s="13" t="s">
        <v>3</v>
      </c>
      <c r="M109" s="13"/>
    </row>
    <row r="110" spans="1:20" ht="16" x14ac:dyDescent="0.2">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2">
      <c r="A111" s="13" t="s">
        <v>154</v>
      </c>
      <c r="M111" s="13"/>
    </row>
    <row r="112" spans="1:20" ht="16" x14ac:dyDescent="0.2">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2">
      <c r="A113" s="13" t="s">
        <v>155</v>
      </c>
      <c r="M113" s="13"/>
    </row>
    <row r="114" spans="1:20" ht="16" x14ac:dyDescent="0.2">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ht="16" x14ac:dyDescent="0.2">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ht="16" x14ac:dyDescent="0.2">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ht="16" x14ac:dyDescent="0.2">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ht="16" x14ac:dyDescent="0.2">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ht="16" x14ac:dyDescent="0.2">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ht="16" x14ac:dyDescent="0.2">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ht="16" x14ac:dyDescent="0.2">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ht="16" x14ac:dyDescent="0.2">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ht="16" x14ac:dyDescent="0.2">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ht="16" x14ac:dyDescent="0.2">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ht="16" x14ac:dyDescent="0.2">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ht="16" x14ac:dyDescent="0.2">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ht="16" x14ac:dyDescent="0.2">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ht="16" x14ac:dyDescent="0.2">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ht="16" x14ac:dyDescent="0.2">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ht="16" x14ac:dyDescent="0.2">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ht="16" x14ac:dyDescent="0.2">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ht="16" x14ac:dyDescent="0.2">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ht="16" x14ac:dyDescent="0.2">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2">
      <c r="A134" s="13" t="s">
        <v>288</v>
      </c>
      <c r="M134" s="13"/>
    </row>
    <row r="135" spans="1:20" ht="16" x14ac:dyDescent="0.2">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ht="16" x14ac:dyDescent="0.2">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ht="16" x14ac:dyDescent="0.2">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ht="16" x14ac:dyDescent="0.2">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baseColWidth="10" defaultColWidth="8.83203125" defaultRowHeight="15" x14ac:dyDescent="0.2"/>
  <cols>
    <col min="1" max="1" width="15.5" customWidth="1"/>
    <col min="2" max="2" width="31" customWidth="1"/>
    <col min="3" max="3" width="27.6640625" customWidth="1"/>
    <col min="4" max="4" width="48.5" customWidth="1"/>
    <col min="5" max="5" width="33.33203125" customWidth="1"/>
    <col min="6" max="6" width="7.5" customWidth="1"/>
    <col min="7" max="7" width="14" customWidth="1"/>
    <col min="8" max="35" width="9.6640625" customWidth="1"/>
    <col min="36" max="36" width="9.5" customWidth="1"/>
    <col min="51" max="52" width="9.5" customWidth="1"/>
    <col min="53" max="53" width="9.6640625" customWidth="1"/>
  </cols>
  <sheetData>
    <row r="1" spans="1:74" ht="19" x14ac:dyDescent="0.25">
      <c r="A1" s="1" t="s">
        <v>658</v>
      </c>
    </row>
    <row r="3" spans="1:74" s="19" customFormat="1" ht="16" x14ac:dyDescent="0.2">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2">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72.649957574793405</v>
      </c>
      <c r="AF4" s="27">
        <f>IF(('Activity data'!AF5*EF!$H4)*kgtoGg=0,"NO",('Activity data'!AF5*EF!$H4)*kgtoGg)</f>
        <v>73.223011790998029</v>
      </c>
      <c r="AG4" s="27">
        <f>IF(('Activity data'!AG5*EF!$H4)*kgtoGg=0,"NO",('Activity data'!AG5*EF!$H4)*kgtoGg)</f>
        <v>73.591260167761035</v>
      </c>
      <c r="AH4" s="27">
        <f>IF(('Activity data'!AH5*EF!$H4)*kgtoGg=0,"NO",('Activity data'!AH5*EF!$H4)*kgtoGg)</f>
        <v>73.83596289834658</v>
      </c>
      <c r="AI4" s="27">
        <f>IF(('Activity data'!AI5*EF!$H4)*kgtoGg=0,"NO",('Activity data'!AI5*EF!$H4)*kgtoGg)</f>
        <v>73.954711561483904</v>
      </c>
      <c r="AJ4" s="27">
        <f>IF(('Activity data'!AJ5*EF!$H4)*kgtoGg=0,"NO",('Activity data'!AJ5*EF!$H4)*kgtoGg)</f>
        <v>74.217071552078707</v>
      </c>
      <c r="AK4" s="27">
        <f>IF(('Activity data'!AK5*EF!$H4)*kgtoGg=0,"NO",('Activity data'!AK5*EF!$H4)*kgtoGg)</f>
        <v>74.518042528471312</v>
      </c>
      <c r="AL4" s="27">
        <f>IF(('Activity data'!AL5*EF!$H4)*kgtoGg=0,"NO",('Activity data'!AL5*EF!$H4)*kgtoGg)</f>
        <v>72.478094892813189</v>
      </c>
      <c r="AM4" s="27">
        <f>IF(('Activity data'!AM5*EF!$H4)*kgtoGg=0,"NO",('Activity data'!AM5*EF!$H4)*kgtoGg)</f>
        <v>73.311025871745997</v>
      </c>
      <c r="AN4" s="27">
        <f>IF(('Activity data'!AN5*EF!$H4)*kgtoGg=0,"NO",('Activity data'!AN5*EF!$H4)*kgtoGg)</f>
        <v>73.963715162788233</v>
      </c>
      <c r="AO4" s="27">
        <f>IF(('Activity data'!AO5*EF!$H4)*kgtoGg=0,"NO",('Activity data'!AO5*EF!$H4)*kgtoGg)</f>
        <v>74.582066548206157</v>
      </c>
      <c r="AP4" s="27">
        <f>IF(('Activity data'!AP5*EF!$H4)*kgtoGg=0,"NO",('Activity data'!AP5*EF!$H4)*kgtoGg)</f>
        <v>75.304979725957494</v>
      </c>
      <c r="AQ4" s="27">
        <f>IF(('Activity data'!AQ5*EF!$H4)*kgtoGg=0,"NO",('Activity data'!AQ5*EF!$H4)*kgtoGg)</f>
        <v>75.997294225765899</v>
      </c>
      <c r="AR4" s="27">
        <f>IF(('Activity data'!AR5*EF!$H4)*kgtoGg=0,"NO",('Activity data'!AR5*EF!$H4)*kgtoGg)</f>
        <v>76.577933644130326</v>
      </c>
      <c r="AS4" s="27">
        <f>IF(('Activity data'!AS5*EF!$H4)*kgtoGg=0,"NO",('Activity data'!AS5*EF!$H4)*kgtoGg)</f>
        <v>77.142446023883181</v>
      </c>
      <c r="AT4" s="27">
        <f>IF(('Activity data'!AT5*EF!$H4)*kgtoGg=0,"NO",('Activity data'!AT5*EF!$H4)*kgtoGg)</f>
        <v>77.677893567914339</v>
      </c>
      <c r="AU4" s="27">
        <f>IF(('Activity data'!AU5*EF!$H4)*kgtoGg=0,"NO",('Activity data'!AU5*EF!$H4)*kgtoGg)</f>
        <v>78.37441564319947</v>
      </c>
      <c r="AV4" s="27">
        <f>IF(('Activity data'!AV5*EF!$H4)*kgtoGg=0,"NO",('Activity data'!AV5*EF!$H4)*kgtoGg)</f>
        <v>79.067356094429798</v>
      </c>
      <c r="AW4" s="27">
        <f>IF(('Activity data'!AW5*EF!$H4)*kgtoGg=0,"NO",('Activity data'!AW5*EF!$H4)*kgtoGg)</f>
        <v>79.790293378056347</v>
      </c>
      <c r="AX4" s="27">
        <f>IF(('Activity data'!AX5*EF!$H4)*kgtoGg=0,"NO",('Activity data'!AX5*EF!$H4)*kgtoGg)</f>
        <v>80.672260630147306</v>
      </c>
      <c r="AY4" s="27">
        <f>IF(('Activity data'!AY5*EF!$H4)*kgtoGg=0,"NO",('Activity data'!AY5*EF!$H4)*kgtoGg)</f>
        <v>81.636452435438088</v>
      </c>
      <c r="AZ4" s="27">
        <f>IF(('Activity data'!AZ5*EF!$H4)*kgtoGg=0,"NO",('Activity data'!AZ5*EF!$H4)*kgtoGg)</f>
        <v>82.773036285937067</v>
      </c>
      <c r="BA4" s="27">
        <f>IF(('Activity data'!BA5*EF!$H4)*kgtoGg=0,"NO",('Activity data'!BA5*EF!$H4)*kgtoGg)</f>
        <v>83.673213555783462</v>
      </c>
      <c r="BB4" s="27">
        <f>IF(('Activity data'!BB5*EF!$H4)*kgtoGg=0,"NO",('Activity data'!BB5*EF!$H4)*kgtoGg)</f>
        <v>84.509468484147618</v>
      </c>
      <c r="BC4" s="27">
        <f>IF(('Activity data'!BC5*EF!$H4)*kgtoGg=0,"NO",('Activity data'!BC5*EF!$H4)*kgtoGg)</f>
        <v>85.437405417007412</v>
      </c>
      <c r="BD4" s="27">
        <f>IF(('Activity data'!BD5*EF!$H4)*kgtoGg=0,"NO",('Activity data'!BD5*EF!$H4)*kgtoGg)</f>
        <v>86.340426432642914</v>
      </c>
      <c r="BE4" s="27">
        <f>IF(('Activity data'!BE5*EF!$H4)*kgtoGg=0,"NO",('Activity data'!BE5*EF!$H4)*kgtoGg)</f>
        <v>87.298123970536111</v>
      </c>
      <c r="BF4" s="27">
        <f>IF(('Activity data'!BF5*EF!$H4)*kgtoGg=0,"NO",('Activity data'!BF5*EF!$H4)*kgtoGg)</f>
        <v>88.26958854165197</v>
      </c>
      <c r="BG4" s="27">
        <f>IF(('Activity data'!BG5*EF!$H4)*kgtoGg=0,"NO",('Activity data'!BG5*EF!$H4)*kgtoGg)</f>
        <v>89.343200001219728</v>
      </c>
      <c r="BH4" s="27">
        <f>IF(('Activity data'!BH5*EF!$H4)*kgtoGg=0,"NO",('Activity data'!BH5*EF!$H4)*kgtoGg)</f>
        <v>90.380141784312926</v>
      </c>
      <c r="BI4" s="27">
        <f>IF(('Activity data'!BI5*EF!$H4)*kgtoGg=0,"NO",('Activity data'!BI5*EF!$H4)*kgtoGg)</f>
        <v>91.441734143781034</v>
      </c>
      <c r="BJ4" s="27">
        <f>IF(('Activity data'!BJ5*EF!$H4)*kgtoGg=0,"NO",('Activity data'!BJ5*EF!$H4)*kgtoGg)</f>
        <v>92.544073659173904</v>
      </c>
      <c r="BK4" s="27">
        <f>IF(('Activity data'!BK5*EF!$H4)*kgtoGg=0,"NO",('Activity data'!BK5*EF!$H4)*kgtoGg)</f>
        <v>93.693462393833215</v>
      </c>
      <c r="BL4" s="27">
        <f>IF(('Activity data'!BL5*EF!$H4)*kgtoGg=0,"NO",('Activity data'!BL5*EF!$H4)*kgtoGg)</f>
        <v>94.97329819439031</v>
      </c>
      <c r="BM4" s="27">
        <f>IF(('Activity data'!BM5*EF!$H4)*kgtoGg=0,"NO",('Activity data'!BM5*EF!$H4)*kgtoGg)</f>
        <v>95.848626267420912</v>
      </c>
      <c r="BN4" s="27">
        <f>IF(('Activity data'!BN5*EF!$H4)*kgtoGg=0,"NO",('Activity data'!BN5*EF!$H4)*kgtoGg)</f>
        <v>96.703822926377612</v>
      </c>
      <c r="BO4" s="27">
        <f>IF(('Activity data'!BO5*EF!$H4)*kgtoGg=0,"NO",('Activity data'!BO5*EF!$H4)*kgtoGg)</f>
        <v>97.583252765683682</v>
      </c>
      <c r="BP4" s="27">
        <f>IF(('Activity data'!BP5*EF!$H4)*kgtoGg=0,"NO",('Activity data'!BP5*EF!$H4)*kgtoGg)</f>
        <v>98.468144480515292</v>
      </c>
    </row>
    <row r="5" spans="1:74" x14ac:dyDescent="0.2">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58.1066387636453</v>
      </c>
      <c r="AF5" s="27">
        <f>IF(('Activity data'!AF6*EF!$H5)*kgtoGg=0,"NO",('Activity data'!AF6*EF!$H5)*kgtoGg)</f>
        <v>58.564977012483297</v>
      </c>
      <c r="AG5" s="27">
        <f>IF(('Activity data'!AG6*EF!$H5)*kgtoGg=0,"NO",('Activity data'!AG6*EF!$H5)*kgtoGg)</f>
        <v>58.859508160444918</v>
      </c>
      <c r="AH5" s="27">
        <f>IF(('Activity data'!AH6*EF!$H5)*kgtoGg=0,"NO",('Activity data'!AH6*EF!$H5)*kgtoGg)</f>
        <v>59.055225455337663</v>
      </c>
      <c r="AI5" s="27">
        <f>IF(('Activity data'!AI6*EF!$H5)*kgtoGg=0,"NO",('Activity data'!AI6*EF!$H5)*kgtoGg)</f>
        <v>59.150202601958597</v>
      </c>
      <c r="AJ5" s="27">
        <f>IF(('Activity data'!AJ6*EF!$H5)*kgtoGg=0,"NO",('Activity data'!AJ6*EF!$H5)*kgtoGg)</f>
        <v>59.360042465716688</v>
      </c>
      <c r="AK5" s="27">
        <f>IF(('Activity data'!AK6*EF!$H5)*kgtoGg=0,"NO",('Activity data'!AK6*EF!$H5)*kgtoGg)</f>
        <v>59.600764035107602</v>
      </c>
      <c r="AL5" s="27">
        <f>IF(('Activity data'!AL6*EF!$H5)*kgtoGg=0,"NO",('Activity data'!AL6*EF!$H5)*kgtoGg)</f>
        <v>57.969180145469302</v>
      </c>
      <c r="AM5" s="27">
        <f>IF(('Activity data'!AM6*EF!$H5)*kgtoGg=0,"NO",('Activity data'!AM6*EF!$H5)*kgtoGg)</f>
        <v>58.635372131308685</v>
      </c>
      <c r="AN5" s="27">
        <f>IF(('Activity data'!AN6*EF!$H5)*kgtoGg=0,"NO",('Activity data'!AN6*EF!$H5)*kgtoGg)</f>
        <v>59.157403831333383</v>
      </c>
      <c r="AO5" s="27">
        <f>IF(('Activity data'!AO6*EF!$H5)*kgtoGg=0,"NO",('Activity data'!AO6*EF!$H5)*kgtoGg)</f>
        <v>59.65197150598739</v>
      </c>
      <c r="AP5" s="27">
        <f>IF(('Activity data'!AP6*EF!$H5)*kgtoGg=0,"NO",('Activity data'!AP6*EF!$H5)*kgtoGg)</f>
        <v>60.230169433134556</v>
      </c>
      <c r="AQ5" s="27">
        <f>IF(('Activity data'!AQ6*EF!$H5)*kgtoGg=0,"NO",('Activity data'!AQ6*EF!$H5)*kgtoGg)</f>
        <v>60.783894031112283</v>
      </c>
      <c r="AR5" s="27">
        <f>IF(('Activity data'!AR6*EF!$H5)*kgtoGg=0,"NO",('Activity data'!AR6*EF!$H5)*kgtoGg)</f>
        <v>61.248299050208132</v>
      </c>
      <c r="AS5" s="27">
        <f>IF(('Activity data'!AS6*EF!$H5)*kgtoGg=0,"NO",('Activity data'!AS6*EF!$H5)*kgtoGg)</f>
        <v>61.699805396844816</v>
      </c>
      <c r="AT5" s="27">
        <f>IF(('Activity data'!AT6*EF!$H5)*kgtoGg=0,"NO",('Activity data'!AT6*EF!$H5)*kgtoGg)</f>
        <v>62.128065206712812</v>
      </c>
      <c r="AU5" s="27">
        <f>IF(('Activity data'!AU6*EF!$H5)*kgtoGg=0,"NO",('Activity data'!AU6*EF!$H5)*kgtoGg)</f>
        <v>62.685155093211797</v>
      </c>
      <c r="AV5" s="27">
        <f>IF(('Activity data'!AV6*EF!$H5)*kgtoGg=0,"NO",('Activity data'!AV6*EF!$H5)*kgtoGg)</f>
        <v>63.239380337499199</v>
      </c>
      <c r="AW5" s="27">
        <f>IF(('Activity data'!AW6*EF!$H5)*kgtoGg=0,"NO",('Activity data'!AW6*EF!$H5)*kgtoGg)</f>
        <v>63.817597544924432</v>
      </c>
      <c r="AX5" s="27">
        <f>IF(('Activity data'!AX6*EF!$H5)*kgtoGg=0,"NO",('Activity data'!AX6*EF!$H5)*kgtoGg)</f>
        <v>64.523009553814518</v>
      </c>
      <c r="AY5" s="27">
        <f>IF(('Activity data'!AY6*EF!$H5)*kgtoGg=0,"NO",('Activity data'!AY6*EF!$H5)*kgtoGg)</f>
        <v>65.294186121553309</v>
      </c>
      <c r="AZ5" s="27">
        <f>IF(('Activity data'!AZ6*EF!$H5)*kgtoGg=0,"NO",('Activity data'!AZ6*EF!$H5)*kgtoGg)</f>
        <v>66.203244700941269</v>
      </c>
      <c r="BA5" s="27">
        <f>IF(('Activity data'!BA6*EF!$H5)*kgtoGg=0,"NO",('Activity data'!BA6*EF!$H5)*kgtoGg)</f>
        <v>66.923221383492788</v>
      </c>
      <c r="BB5" s="27">
        <f>IF(('Activity data'!BB6*EF!$H5)*kgtoGg=0,"NO",('Activity data'!BB6*EF!$H5)*kgtoGg)</f>
        <v>67.592071919114218</v>
      </c>
      <c r="BC5" s="27">
        <f>IF(('Activity data'!BC6*EF!$H5)*kgtoGg=0,"NO",('Activity data'!BC6*EF!$H5)*kgtoGg)</f>
        <v>68.334251239695618</v>
      </c>
      <c r="BD5" s="27">
        <f>IF(('Activity data'!BD6*EF!$H5)*kgtoGg=0,"NO",('Activity data'!BD6*EF!$H5)*kgtoGg)</f>
        <v>69.056502397206529</v>
      </c>
      <c r="BE5" s="27">
        <f>IF(('Activity data'!BE6*EF!$H5)*kgtoGg=0,"NO",('Activity data'!BE6*EF!$H5)*kgtoGg)</f>
        <v>69.822484742370364</v>
      </c>
      <c r="BF5" s="27">
        <f>IF(('Activity data'!BF6*EF!$H5)*kgtoGg=0,"NO",('Activity data'!BF6*EF!$H5)*kgtoGg)</f>
        <v>70.599478188614199</v>
      </c>
      <c r="BG5" s="27">
        <f>IF(('Activity data'!BG6*EF!$H5)*kgtoGg=0,"NO",('Activity data'!BG6*EF!$H5)*kgtoGg)</f>
        <v>71.458170407248886</v>
      </c>
      <c r="BH5" s="27">
        <f>IF(('Activity data'!BH6*EF!$H5)*kgtoGg=0,"NO",('Activity data'!BH6*EF!$H5)*kgtoGg)</f>
        <v>72.287533611585175</v>
      </c>
      <c r="BI5" s="27">
        <f>IF(('Activity data'!BI6*EF!$H5)*kgtoGg=0,"NO",('Activity data'!BI6*EF!$H5)*kgtoGg)</f>
        <v>73.136612754988022</v>
      </c>
      <c r="BJ5" s="27">
        <f>IF(('Activity data'!BJ6*EF!$H5)*kgtoGg=0,"NO",('Activity data'!BJ6*EF!$H5)*kgtoGg)</f>
        <v>74.018282148254812</v>
      </c>
      <c r="BK5" s="27">
        <f>IF(('Activity data'!BK6*EF!$H5)*kgtoGg=0,"NO",('Activity data'!BK6*EF!$H5)*kgtoGg)</f>
        <v>74.937582285974699</v>
      </c>
      <c r="BL5" s="27">
        <f>IF(('Activity data'!BL6*EF!$H5)*kgtoGg=0,"NO",('Activity data'!BL6*EF!$H5)*kgtoGg)</f>
        <v>75.96121614650643</v>
      </c>
      <c r="BM5" s="27">
        <f>IF(('Activity data'!BM6*EF!$H5)*kgtoGg=0,"NO",('Activity data'!BM6*EF!$H5)*kgtoGg)</f>
        <v>76.661318030074682</v>
      </c>
      <c r="BN5" s="27">
        <f>IF(('Activity data'!BN6*EF!$H5)*kgtoGg=0,"NO",('Activity data'!BN6*EF!$H5)*kgtoGg)</f>
        <v>77.345318475397917</v>
      </c>
      <c r="BO5" s="27">
        <f>IF(('Activity data'!BO6*EF!$H5)*kgtoGg=0,"NO",('Activity data'!BO6*EF!$H5)*kgtoGg)</f>
        <v>78.048701019536637</v>
      </c>
      <c r="BP5" s="27">
        <f>IF(('Activity data'!BP6*EF!$H5)*kgtoGg=0,"NO",('Activity data'!BP6*EF!$H5)*kgtoGg)</f>
        <v>78.756452062140184</v>
      </c>
    </row>
    <row r="6" spans="1:74" x14ac:dyDescent="0.2">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26.272250579806308</v>
      </c>
      <c r="AF6" s="27">
        <f>IF(('Activity data'!AF7*EF!$H6)*kgtoGg=0,"NO",('Activity data'!AF7*EF!$H6)*kgtoGg)</f>
        <v>26.479482964607669</v>
      </c>
      <c r="AG6" s="27">
        <f>IF(('Activity data'!AG7*EF!$H6)*kgtoGg=0,"NO",('Activity data'!AG7*EF!$H6)*kgtoGg)</f>
        <v>26.61265184663991</v>
      </c>
      <c r="AH6" s="27">
        <f>IF(('Activity data'!AH7*EF!$H6)*kgtoGg=0,"NO",('Activity data'!AH7*EF!$H6)*kgtoGg)</f>
        <v>26.701143177813606</v>
      </c>
      <c r="AI6" s="27">
        <f>IF(('Activity data'!AI7*EF!$H6)*kgtoGg=0,"NO",('Activity data'!AI7*EF!$H6)*kgtoGg)</f>
        <v>26.744086005835889</v>
      </c>
      <c r="AJ6" s="27">
        <f>IF(('Activity data'!AJ7*EF!$H6)*kgtoGg=0,"NO",('Activity data'!AJ7*EF!$H6)*kgtoGg)</f>
        <v>26.838962694620271</v>
      </c>
      <c r="AK6" s="27">
        <f>IF(('Activity data'!AK7*EF!$H6)*kgtoGg=0,"NO",('Activity data'!AK7*EF!$H6)*kgtoGg)</f>
        <v>26.947802192577246</v>
      </c>
      <c r="AL6" s="27">
        <f>IF(('Activity data'!AL7*EF!$H6)*kgtoGg=0,"NO",('Activity data'!AL7*EF!$H6)*kgtoGg)</f>
        <v>26.210100241429942</v>
      </c>
      <c r="AM6" s="27">
        <f>IF(('Activity data'!AM7*EF!$H6)*kgtoGg=0,"NO",('Activity data'!AM7*EF!$H6)*kgtoGg)</f>
        <v>26.511311310571692</v>
      </c>
      <c r="AN6" s="27">
        <f>IF(('Activity data'!AN7*EF!$H6)*kgtoGg=0,"NO",('Activity data'!AN7*EF!$H6)*kgtoGg)</f>
        <v>26.747341959142467</v>
      </c>
      <c r="AO6" s="27">
        <f>IF(('Activity data'!AO7*EF!$H6)*kgtoGg=0,"NO",('Activity data'!AO7*EF!$H6)*kgtoGg)</f>
        <v>26.970955063490745</v>
      </c>
      <c r="AP6" s="27">
        <f>IF(('Activity data'!AP7*EF!$H6)*kgtoGg=0,"NO",('Activity data'!AP7*EF!$H6)*kgtoGg)</f>
        <v>27.232380627762737</v>
      </c>
      <c r="AQ6" s="27">
        <f>IF(('Activity data'!AQ7*EF!$H6)*kgtoGg=0,"NO",('Activity data'!AQ7*EF!$H6)*kgtoGg)</f>
        <v>27.482740856814136</v>
      </c>
      <c r="AR6" s="27">
        <f>IF(('Activity data'!AR7*EF!$H6)*kgtoGg=0,"NO",('Activity data'!AR7*EF!$H6)*kgtoGg)</f>
        <v>27.692716262237859</v>
      </c>
      <c r="AS6" s="27">
        <f>IF(('Activity data'!AS7*EF!$H6)*kgtoGg=0,"NO",('Activity data'!AS7*EF!$H6)*kgtoGg)</f>
        <v>27.896859680780135</v>
      </c>
      <c r="AT6" s="27">
        <f>IF(('Activity data'!AT7*EF!$H6)*kgtoGg=0,"NO",('Activity data'!AT7*EF!$H6)*kgtoGg)</f>
        <v>28.09049244422182</v>
      </c>
      <c r="AU6" s="27">
        <f>IF(('Activity data'!AU7*EF!$H6)*kgtoGg=0,"NO",('Activity data'!AU7*EF!$H6)*kgtoGg)</f>
        <v>28.342374249898288</v>
      </c>
      <c r="AV6" s="27">
        <f>IF(('Activity data'!AV7*EF!$H6)*kgtoGg=0,"NO",('Activity data'!AV7*EF!$H6)*kgtoGg)</f>
        <v>28.592960840439176</v>
      </c>
      <c r="AW6" s="27">
        <f>IF(('Activity data'!AW7*EF!$H6)*kgtoGg=0,"NO",('Activity data'!AW7*EF!$H6)*kgtoGg)</f>
        <v>28.854395122067867</v>
      </c>
      <c r="AX6" s="27">
        <f>IF(('Activity data'!AX7*EF!$H6)*kgtoGg=0,"NO",('Activity data'!AX7*EF!$H6)*kgtoGg)</f>
        <v>29.173339075011846</v>
      </c>
      <c r="AY6" s="27">
        <f>IF(('Activity data'!AY7*EF!$H6)*kgtoGg=0,"NO",('Activity data'!AY7*EF!$H6)*kgtoGg)</f>
        <v>29.522017719311339</v>
      </c>
      <c r="AZ6" s="27">
        <f>IF(('Activity data'!AZ7*EF!$H6)*kgtoGg=0,"NO",('Activity data'!AZ7*EF!$H6)*kgtoGg)</f>
        <v>29.9330381344923</v>
      </c>
      <c r="BA6" s="27">
        <f>IF(('Activity data'!BA7*EF!$H6)*kgtoGg=0,"NO",('Activity data'!BA7*EF!$H6)*kgtoGg)</f>
        <v>30.258567337662207</v>
      </c>
      <c r="BB6" s="27">
        <f>IF(('Activity data'!BB7*EF!$H6)*kgtoGg=0,"NO",('Activity data'!BB7*EF!$H6)*kgtoGg)</f>
        <v>30.560980439610169</v>
      </c>
      <c r="BC6" s="27">
        <f>IF(('Activity data'!BC7*EF!$H6)*kgtoGg=0,"NO",('Activity data'!BC7*EF!$H6)*kgtoGg)</f>
        <v>30.896548311033232</v>
      </c>
      <c r="BD6" s="27">
        <f>IF(('Activity data'!BD7*EF!$H6)*kgtoGg=0,"NO",('Activity data'!BD7*EF!$H6)*kgtoGg)</f>
        <v>31.223105891981344</v>
      </c>
      <c r="BE6" s="27">
        <f>IF(('Activity data'!BE7*EF!$H6)*kgtoGg=0,"NO",('Activity data'!BE7*EF!$H6)*kgtoGg)</f>
        <v>31.569436028090372</v>
      </c>
      <c r="BF6" s="27">
        <f>IF(('Activity data'!BF7*EF!$H6)*kgtoGg=0,"NO",('Activity data'!BF7*EF!$H6)*kgtoGg)</f>
        <v>31.920744707320974</v>
      </c>
      <c r="BG6" s="27">
        <f>IF(('Activity data'!BG7*EF!$H6)*kgtoGg=0,"NO",('Activity data'!BG7*EF!$H6)*kgtoGg)</f>
        <v>32.308992549889602</v>
      </c>
      <c r="BH6" s="27">
        <f>IF(('Activity data'!BH7*EF!$H6)*kgtoGg=0,"NO",('Activity data'!BH7*EF!$H6)*kgtoGg)</f>
        <v>32.683979614872385</v>
      </c>
      <c r="BI6" s="27">
        <f>IF(('Activity data'!BI7*EF!$H6)*kgtoGg=0,"NO",('Activity data'!BI7*EF!$H6)*kgtoGg)</f>
        <v>33.067881015679681</v>
      </c>
      <c r="BJ6" s="27">
        <f>IF(('Activity data'!BJ7*EF!$H6)*kgtoGg=0,"NO",('Activity data'!BJ7*EF!$H6)*kgtoGg)</f>
        <v>33.466517724346836</v>
      </c>
      <c r="BK6" s="27">
        <f>IF(('Activity data'!BK7*EF!$H6)*kgtoGg=0,"NO",('Activity data'!BK7*EF!$H6)*kgtoGg)</f>
        <v>33.882168742717873</v>
      </c>
      <c r="BL6" s="27">
        <f>IF(('Activity data'!BL7*EF!$H6)*kgtoGg=0,"NO",('Activity data'!BL7*EF!$H6)*kgtoGg)</f>
        <v>34.344993057771696</v>
      </c>
      <c r="BM6" s="27">
        <f>IF(('Activity data'!BM7*EF!$H6)*kgtoGg=0,"NO",('Activity data'!BM7*EF!$H6)*kgtoGg)</f>
        <v>34.661536098426936</v>
      </c>
      <c r="BN6" s="27">
        <f>IF(('Activity data'!BN7*EF!$H6)*kgtoGg=0,"NO",('Activity data'!BN7*EF!$H6)*kgtoGg)</f>
        <v>34.970799058367312</v>
      </c>
      <c r="BO6" s="27">
        <f>IF(('Activity data'!BO7*EF!$H6)*kgtoGg=0,"NO",('Activity data'!BO7*EF!$H6)*kgtoGg)</f>
        <v>35.288825412089835</v>
      </c>
      <c r="BP6" s="27">
        <f>IF(('Activity data'!BP7*EF!$H6)*kgtoGg=0,"NO",('Activity data'!BP7*EF!$H6)*kgtoGg)</f>
        <v>35.608826932312567</v>
      </c>
    </row>
    <row r="7" spans="1:74" x14ac:dyDescent="0.2">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463.23498593143194</v>
      </c>
      <c r="AE7" s="27">
        <f>IF(('Activity data'!AE8*EF!$H7)*kgtoGg=0,"NO",('Activity data'!AE8*EF!$H7)*kgtoGg)</f>
        <v>459.21749683621613</v>
      </c>
      <c r="AF7" s="27">
        <f>IF(('Activity data'!AF8*EF!$H7)*kgtoGg=0,"NO",('Activity data'!AF8*EF!$H7)*kgtoGg)</f>
        <v>457.68816035731248</v>
      </c>
      <c r="AG7" s="27">
        <f>IF(('Activity data'!AG8*EF!$H7)*kgtoGg=0,"NO",('Activity data'!AG8*EF!$H7)*kgtoGg)</f>
        <v>451.57633407663525</v>
      </c>
      <c r="AH7" s="27">
        <f>IF(('Activity data'!AH8*EF!$H7)*kgtoGg=0,"NO",('Activity data'!AH8*EF!$H7)*kgtoGg)</f>
        <v>442.70486896910745</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367.15498253629937</v>
      </c>
      <c r="AM7" s="27">
        <f>IF(('Activity data'!AM8*EF!$H7)*kgtoGg=0,"NO",('Activity data'!AM8*EF!$H7)*kgtoGg)</f>
        <v>374.17792302484366</v>
      </c>
      <c r="AN7" s="27">
        <f>IF(('Activity data'!AN8*EF!$H7)*kgtoGg=0,"NO",('Activity data'!AN8*EF!$H7)*kgtoGg)</f>
        <v>377.93282085404854</v>
      </c>
      <c r="AO7" s="27">
        <f>IF(('Activity data'!AO8*EF!$H7)*kgtoGg=0,"NO",('Activity data'!AO8*EF!$H7)*kgtoGg)</f>
        <v>380.82330647770999</v>
      </c>
      <c r="AP7" s="27">
        <f>IF(('Activity data'!AP8*EF!$H7)*kgtoGg=0,"NO",('Activity data'!AP8*EF!$H7)*kgtoGg)</f>
        <v>385.00539013713677</v>
      </c>
      <c r="AQ7" s="27">
        <f>IF(('Activity data'!AQ8*EF!$H7)*kgtoGg=0,"NO",('Activity data'!AQ8*EF!$H7)*kgtoGg)</f>
        <v>388.39937435322344</v>
      </c>
      <c r="AR7" s="27">
        <f>IF(('Activity data'!AR8*EF!$H7)*kgtoGg=0,"NO",('Activity data'!AR8*EF!$H7)*kgtoGg)</f>
        <v>390.58732526700504</v>
      </c>
      <c r="AS7" s="27">
        <f>IF(('Activity data'!AS8*EF!$H7)*kgtoGg=0,"NO",('Activity data'!AS8*EF!$H7)*kgtoGg)</f>
        <v>392.29048134112935</v>
      </c>
      <c r="AT7" s="27">
        <f>IF(('Activity data'!AT8*EF!$H7)*kgtoGg=0,"NO",('Activity data'!AT8*EF!$H7)*kgtoGg)</f>
        <v>393.3460659926933</v>
      </c>
      <c r="AU7" s="27">
        <f>IF(('Activity data'!AU8*EF!$H7)*kgtoGg=0,"NO",('Activity data'!AU8*EF!$H7)*kgtoGg)</f>
        <v>396.4710114468906</v>
      </c>
      <c r="AV7" s="27">
        <f>IF(('Activity data'!AV8*EF!$H7)*kgtoGg=0,"NO",('Activity data'!AV8*EF!$H7)*kgtoGg)</f>
        <v>399.28270780279126</v>
      </c>
      <c r="AW7" s="27">
        <f>IF(('Activity data'!AW8*EF!$H7)*kgtoGg=0,"NO",('Activity data'!AW8*EF!$H7)*kgtoGg)</f>
        <v>399.42772456608003</v>
      </c>
      <c r="AX7" s="27">
        <f>IF(('Activity data'!AX8*EF!$H7)*kgtoGg=0,"NO",('Activity data'!AX8*EF!$H7)*kgtoGg)</f>
        <v>401.31130224565624</v>
      </c>
      <c r="AY7" s="27">
        <f>IF(('Activity data'!AY8*EF!$H7)*kgtoGg=0,"NO",('Activity data'!AY8*EF!$H7)*kgtoGg)</f>
        <v>403.80208635683084</v>
      </c>
      <c r="AZ7" s="27">
        <f>IF(('Activity data'!AZ8*EF!$H7)*kgtoGg=0,"NO",('Activity data'!AZ8*EF!$H7)*kgtoGg)</f>
        <v>407.98386284391222</v>
      </c>
      <c r="BA7" s="27">
        <f>IF(('Activity data'!BA8*EF!$H7)*kgtoGg=0,"NO",('Activity data'!BA8*EF!$H7)*kgtoGg)</f>
        <v>408.65175931008923</v>
      </c>
      <c r="BB7" s="27">
        <f>IF(('Activity data'!BB8*EF!$H7)*kgtoGg=0,"NO",('Activity data'!BB8*EF!$H7)*kgtoGg)</f>
        <v>408.58164952357384</v>
      </c>
      <c r="BC7" s="27">
        <f>IF(('Activity data'!BC8*EF!$H7)*kgtoGg=0,"NO",('Activity data'!BC8*EF!$H7)*kgtoGg)</f>
        <v>409.1951949125646</v>
      </c>
      <c r="BD7" s="27">
        <f>IF(('Activity data'!BD8*EF!$H7)*kgtoGg=0,"NO",('Activity data'!BD8*EF!$H7)*kgtoGg)</f>
        <v>409.08195160336288</v>
      </c>
      <c r="BE7" s="27">
        <f>IF(('Activity data'!BE8*EF!$H7)*kgtoGg=0,"NO",('Activity data'!BE8*EF!$H7)*kgtoGg)</f>
        <v>409.16859653567815</v>
      </c>
      <c r="BF7" s="27">
        <f>IF(('Activity data'!BF8*EF!$H7)*kgtoGg=0,"NO",('Activity data'!BF8*EF!$H7)*kgtoGg)</f>
        <v>408.97195804089159</v>
      </c>
      <c r="BG7" s="27">
        <f>IF(('Activity data'!BG8*EF!$H7)*kgtoGg=0,"NO",('Activity data'!BG8*EF!$H7)*kgtoGg)</f>
        <v>411.90729074702386</v>
      </c>
      <c r="BH7" s="27">
        <f>IF(('Activity data'!BH8*EF!$H7)*kgtoGg=0,"NO",('Activity data'!BH8*EF!$H7)*kgtoGg)</f>
        <v>414.05465326248105</v>
      </c>
      <c r="BI7" s="27">
        <f>IF(('Activity data'!BI8*EF!$H7)*kgtoGg=0,"NO",('Activity data'!BI8*EF!$H7)*kgtoGg)</f>
        <v>416.07811841242483</v>
      </c>
      <c r="BJ7" s="27">
        <f>IF(('Activity data'!BJ8*EF!$H7)*kgtoGg=0,"NO",('Activity data'!BJ8*EF!$H7)*kgtoGg)</f>
        <v>418.1325060798996</v>
      </c>
      <c r="BK7" s="27">
        <f>IF(('Activity data'!BK8*EF!$H7)*kgtoGg=0,"NO",('Activity data'!BK8*EF!$H7)*kgtoGg)</f>
        <v>420.26236757752156</v>
      </c>
      <c r="BL7" s="27">
        <f>IF(('Activity data'!BL8*EF!$H7)*kgtoGg=0,"NO",('Activity data'!BL8*EF!$H7)*kgtoGg)</f>
        <v>423.60010489867818</v>
      </c>
      <c r="BM7" s="27">
        <f>IF(('Activity data'!BM8*EF!$H7)*kgtoGg=0,"NO",('Activity data'!BM8*EF!$H7)*kgtoGg)</f>
        <v>422.65999996405498</v>
      </c>
      <c r="BN7" s="27">
        <f>IF(('Activity data'!BN8*EF!$H7)*kgtoGg=0,"NO",('Activity data'!BN8*EF!$H7)*kgtoGg)</f>
        <v>421.25049365965373</v>
      </c>
      <c r="BO7" s="27">
        <f>IF(('Activity data'!BO8*EF!$H7)*kgtoGg=0,"NO",('Activity data'!BO8*EF!$H7)*kgtoGg)</f>
        <v>419.79062743125479</v>
      </c>
      <c r="BP7" s="27">
        <f>IF(('Activity data'!BP8*EF!$H7)*kgtoGg=0,"NO",('Activity data'!BP8*EF!$H7)*kgtoGg)</f>
        <v>418.10572325664367</v>
      </c>
    </row>
    <row r="8" spans="1:74" x14ac:dyDescent="0.2">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326.20040935577742</v>
      </c>
      <c r="AE8" s="27">
        <f>IF(('Activity data'!AE9*EF!$H8)*kgtoGg=0,"NO",('Activity data'!AE9*EF!$H8)*kgtoGg)</f>
        <v>323.37137738012325</v>
      </c>
      <c r="AF8" s="27">
        <f>IF(('Activity data'!AF9*EF!$H8)*kgtoGg=0,"NO",('Activity data'!AF9*EF!$H8)*kgtoGg)</f>
        <v>322.29445054900748</v>
      </c>
      <c r="AG8" s="27">
        <f>IF(('Activity data'!AG9*EF!$H8)*kgtoGg=0,"NO",('Activity data'!AG9*EF!$H8)*kgtoGg)</f>
        <v>317.99063003627219</v>
      </c>
      <c r="AH8" s="27">
        <f>IF(('Activity data'!AH9*EF!$H8)*kgtoGg=0,"NO",('Activity data'!AH9*EF!$H8)*kgtoGg)</f>
        <v>311.74352945546798</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258.54287615936238</v>
      </c>
      <c r="AM8" s="27">
        <f>IF(('Activity data'!AM9*EF!$H8)*kgtoGg=0,"NO",('Activity data'!AM9*EF!$H8)*kgtoGg)</f>
        <v>263.48828428227887</v>
      </c>
      <c r="AN8" s="27">
        <f>IF(('Activity data'!AN9*EF!$H8)*kgtoGg=0,"NO",('Activity data'!AN9*EF!$H8)*kgtoGg)</f>
        <v>266.13240496870094</v>
      </c>
      <c r="AO8" s="27">
        <f>IF(('Activity data'!AO9*EF!$H8)*kgtoGg=0,"NO",('Activity data'!AO9*EF!$H8)*kgtoGg)</f>
        <v>268.167824620305</v>
      </c>
      <c r="AP8" s="27">
        <f>IF(('Activity data'!AP9*EF!$H8)*kgtoGg=0,"NO",('Activity data'!AP9*EF!$H8)*kgtoGg)</f>
        <v>271.11276065297989</v>
      </c>
      <c r="AQ8" s="27">
        <f>IF(('Activity data'!AQ9*EF!$H8)*kgtoGg=0,"NO",('Activity data'!AQ9*EF!$H8)*kgtoGg)</f>
        <v>273.50273350532916</v>
      </c>
      <c r="AR8" s="27">
        <f>IF(('Activity data'!AR9*EF!$H8)*kgtoGg=0,"NO",('Activity data'!AR9*EF!$H8)*kgtoGg)</f>
        <v>275.0434428761701</v>
      </c>
      <c r="AS8" s="27">
        <f>IF(('Activity data'!AS9*EF!$H8)*kgtoGg=0,"NO",('Activity data'!AS9*EF!$H8)*kgtoGg)</f>
        <v>276.2427698386166</v>
      </c>
      <c r="AT8" s="27">
        <f>IF(('Activity data'!AT9*EF!$H8)*kgtoGg=0,"NO",('Activity data'!AT9*EF!$H8)*kgtoGg)</f>
        <v>276.98609052014405</v>
      </c>
      <c r="AU8" s="27">
        <f>IF(('Activity data'!AU9*EF!$H8)*kgtoGg=0,"NO",('Activity data'!AU9*EF!$H8)*kgtoGg)</f>
        <v>279.18661189122298</v>
      </c>
      <c r="AV8" s="27">
        <f>IF(('Activity data'!AV9*EF!$H8)*kgtoGg=0,"NO",('Activity data'!AV9*EF!$H8)*kgtoGg)</f>
        <v>281.1665497848058</v>
      </c>
      <c r="AW8" s="27">
        <f>IF(('Activity data'!AW9*EF!$H8)*kgtoGg=0,"NO",('Activity data'!AW9*EF!$H8)*kgtoGg)</f>
        <v>281.26866756300677</v>
      </c>
      <c r="AX8" s="27">
        <f>IF(('Activity data'!AX9*EF!$H8)*kgtoGg=0,"NO",('Activity data'!AX9*EF!$H8)*kgtoGg)</f>
        <v>282.59504365460464</v>
      </c>
      <c r="AY8" s="27">
        <f>IF(('Activity data'!AY9*EF!$H8)*kgtoGg=0,"NO",('Activity data'!AY9*EF!$H8)*kgtoGg)</f>
        <v>284.34900184290586</v>
      </c>
      <c r="AZ8" s="27">
        <f>IF(('Activity data'!AZ9*EF!$H8)*kgtoGg=0,"NO",('Activity data'!AZ9*EF!$H8)*kgtoGg)</f>
        <v>287.29372157122594</v>
      </c>
      <c r="BA8" s="27">
        <f>IF(('Activity data'!BA9*EF!$H8)*kgtoGg=0,"NO",('Activity data'!BA9*EF!$H8)*kgtoGg)</f>
        <v>287.76404032367537</v>
      </c>
      <c r="BB8" s="27">
        <f>IF(('Activity data'!BB9*EF!$H8)*kgtoGg=0,"NO",('Activity data'!BB9*EF!$H8)*kgtoGg)</f>
        <v>287.71467047520593</v>
      </c>
      <c r="BC8" s="27">
        <f>IF(('Activity data'!BC9*EF!$H8)*kgtoGg=0,"NO",('Activity data'!BC9*EF!$H8)*kgtoGg)</f>
        <v>288.14671633341055</v>
      </c>
      <c r="BD8" s="27">
        <f>IF(('Activity data'!BD9*EF!$H8)*kgtoGg=0,"NO",('Activity data'!BD9*EF!$H8)*kgtoGg)</f>
        <v>288.06697275846409</v>
      </c>
      <c r="BE8" s="27">
        <f>IF(('Activity data'!BE9*EF!$H8)*kgtoGg=0,"NO",('Activity data'!BE9*EF!$H8)*kgtoGg)</f>
        <v>288.12798631151645</v>
      </c>
      <c r="BF8" s="27">
        <f>IF(('Activity data'!BF9*EF!$H8)*kgtoGg=0,"NO",('Activity data'!BF9*EF!$H8)*kgtoGg)</f>
        <v>287.98951758734296</v>
      </c>
      <c r="BG8" s="27">
        <f>IF(('Activity data'!BG9*EF!$H8)*kgtoGg=0,"NO",('Activity data'!BG9*EF!$H8)*kgtoGg)</f>
        <v>290.05651761846218</v>
      </c>
      <c r="BH8" s="27">
        <f>IF(('Activity data'!BH9*EF!$H8)*kgtoGg=0,"NO",('Activity data'!BH9*EF!$H8)*kgtoGg)</f>
        <v>291.56864548628482</v>
      </c>
      <c r="BI8" s="27">
        <f>IF(('Activity data'!BI9*EF!$H8)*kgtoGg=0,"NO",('Activity data'!BI9*EF!$H8)*kgtoGg)</f>
        <v>292.99352741505732</v>
      </c>
      <c r="BJ8" s="27">
        <f>IF(('Activity data'!BJ9*EF!$H8)*kgtoGg=0,"NO",('Activity data'!BJ9*EF!$H8)*kgtoGg)</f>
        <v>294.44018433532034</v>
      </c>
      <c r="BK8" s="27">
        <f>IF(('Activity data'!BK9*EF!$H8)*kgtoGg=0,"NO",('Activity data'!BK9*EF!$H8)*kgtoGg)</f>
        <v>295.93998835163069</v>
      </c>
      <c r="BL8" s="27">
        <f>IF(('Activity data'!BL9*EF!$H8)*kgtoGg=0,"NO",('Activity data'!BL9*EF!$H8)*kgtoGg)</f>
        <v>298.29035331444567</v>
      </c>
      <c r="BM8" s="27">
        <f>IF(('Activity data'!BM9*EF!$H8)*kgtoGg=0,"NO",('Activity data'!BM9*EF!$H8)*kgtoGg)</f>
        <v>297.62835103952062</v>
      </c>
      <c r="BN8" s="27">
        <f>IF(('Activity data'!BN9*EF!$H8)*kgtoGg=0,"NO",('Activity data'!BN9*EF!$H8)*kgtoGg)</f>
        <v>296.63580611642783</v>
      </c>
      <c r="BO8" s="27">
        <f>IF(('Activity data'!BO9*EF!$H8)*kgtoGg=0,"NO",('Activity data'!BO9*EF!$H8)*kgtoGg)</f>
        <v>295.60779878586987</v>
      </c>
      <c r="BP8" s="27">
        <f>IF(('Activity data'!BP9*EF!$H8)*kgtoGg=0,"NO",('Activity data'!BP9*EF!$H8)*kgtoGg)</f>
        <v>294.42132443014248</v>
      </c>
    </row>
    <row r="9" spans="1:74" x14ac:dyDescent="0.2">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32.967337371253549</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35.929559405213347</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34.950230908345851</v>
      </c>
      <c r="AM9" s="27">
        <f>IF(('Activity data'!AM10*EF!$H9)*kgtoGg=0,"NO",('Activity data'!AM10*EF!$H9)*kgtoGg)</f>
        <v>36.476910772812936</v>
      </c>
      <c r="AN9" s="27">
        <f>IF(('Activity data'!AN10*EF!$H9)*kgtoGg=0,"NO",('Activity data'!AN10*EF!$H9)*kgtoGg)</f>
        <v>37.718415782773874</v>
      </c>
      <c r="AO9" s="27">
        <f>IF(('Activity data'!AO10*EF!$H9)*kgtoGg=0,"NO",('Activity data'!AO10*EF!$H9)*kgtoGg)</f>
        <v>38.898527693020689</v>
      </c>
      <c r="AP9" s="27">
        <f>IF(('Activity data'!AP10*EF!$H9)*kgtoGg=0,"NO",('Activity data'!AP10*EF!$H9)*kgtoGg)</f>
        <v>40.237414938049668</v>
      </c>
      <c r="AQ9" s="27">
        <f>IF(('Activity data'!AQ10*EF!$H9)*kgtoGg=0,"NO",('Activity data'!AQ10*EF!$H9)*kgtoGg)</f>
        <v>41.522938460049829</v>
      </c>
      <c r="AR9" s="27">
        <f>IF(('Activity data'!AR10*EF!$H9)*kgtoGg=0,"NO",('Activity data'!AR10*EF!$H9)*kgtoGg)</f>
        <v>42.70469493542484</v>
      </c>
      <c r="AS9" s="27">
        <f>IF(('Activity data'!AS10*EF!$H9)*kgtoGg=0,"NO",('Activity data'!AS10*EF!$H9)*kgtoGg)</f>
        <v>43.855385473884439</v>
      </c>
      <c r="AT9" s="27">
        <f>IF(('Activity data'!AT10*EF!$H9)*kgtoGg=0,"NO",('Activity data'!AT10*EF!$H9)*kgtoGg)</f>
        <v>44.953640059313827</v>
      </c>
      <c r="AU9" s="27">
        <f>IF(('Activity data'!AU10*EF!$H9)*kgtoGg=0,"NO",('Activity data'!AU10*EF!$H9)*kgtoGg)</f>
        <v>46.312733612534437</v>
      </c>
      <c r="AV9" s="27">
        <f>IF(('Activity data'!AV10*EF!$H9)*kgtoGg=0,"NO",('Activity data'!AV10*EF!$H9)*kgtoGg)</f>
        <v>47.664904346752849</v>
      </c>
      <c r="AW9" s="27">
        <f>IF(('Activity data'!AW10*EF!$H9)*kgtoGg=0,"NO",('Activity data'!AW10*EF!$H9)*kgtoGg)</f>
        <v>49.26348738030724</v>
      </c>
      <c r="AX9" s="27">
        <f>IF(('Activity data'!AX10*EF!$H9)*kgtoGg=0,"NO",('Activity data'!AX10*EF!$H9)*kgtoGg)</f>
        <v>51.140360226431802</v>
      </c>
      <c r="AY9" s="27">
        <f>IF(('Activity data'!AY10*EF!$H9)*kgtoGg=0,"NO",('Activity data'!AY10*EF!$H9)*kgtoGg)</f>
        <v>53.171885770114415</v>
      </c>
      <c r="AZ9" s="27">
        <f>IF(('Activity data'!AZ10*EF!$H9)*kgtoGg=0,"NO",('Activity data'!AZ10*EF!$H9)*kgtoGg)</f>
        <v>55.517780672546301</v>
      </c>
      <c r="BA9" s="27">
        <f>IF(('Activity data'!BA10*EF!$H9)*kgtoGg=0,"NO",('Activity data'!BA10*EF!$H9)*kgtoGg)</f>
        <v>57.473989711823819</v>
      </c>
      <c r="BB9" s="27">
        <f>IF(('Activity data'!BB10*EF!$H9)*kgtoGg=0,"NO",('Activity data'!BB10*EF!$H9)*kgtoGg)</f>
        <v>59.400170539570745</v>
      </c>
      <c r="BC9" s="27">
        <f>IF(('Activity data'!BC10*EF!$H9)*kgtoGg=0,"NO",('Activity data'!BC10*EF!$H9)*kgtoGg)</f>
        <v>61.503665035599717</v>
      </c>
      <c r="BD9" s="27">
        <f>IF(('Activity data'!BD10*EF!$H9)*kgtoGg=0,"NO",('Activity data'!BD10*EF!$H9)*kgtoGg)</f>
        <v>63.580224043815704</v>
      </c>
      <c r="BE9" s="27">
        <f>IF(('Activity data'!BE10*EF!$H9)*kgtoGg=0,"NO",('Activity data'!BE10*EF!$H9)*kgtoGg)</f>
        <v>65.772430820326704</v>
      </c>
      <c r="BF9" s="27">
        <f>IF(('Activity data'!BF10*EF!$H9)*kgtoGg=0,"NO",('Activity data'!BF10*EF!$H9)*kgtoGg)</f>
        <v>68.008427307564773</v>
      </c>
      <c r="BG9" s="27">
        <f>IF(('Activity data'!BG10*EF!$H9)*kgtoGg=0,"NO",('Activity data'!BG10*EF!$H9)*kgtoGg)</f>
        <v>70.429193427330858</v>
      </c>
      <c r="BH9" s="27">
        <f>IF(('Activity data'!BH10*EF!$H9)*kgtoGg=0,"NO",('Activity data'!BH10*EF!$H9)*kgtoGg)</f>
        <v>72.800797343140431</v>
      </c>
      <c r="BI9" s="27">
        <f>IF(('Activity data'!BI10*EF!$H9)*kgtoGg=0,"NO",('Activity data'!BI10*EF!$H9)*kgtoGg)</f>
        <v>75.235904333723141</v>
      </c>
      <c r="BJ9" s="27">
        <f>IF(('Activity data'!BJ10*EF!$H9)*kgtoGg=0,"NO",('Activity data'!BJ10*EF!$H9)*kgtoGg)</f>
        <v>77.76567884273372</v>
      </c>
      <c r="BK9" s="27">
        <f>IF(('Activity data'!BK10*EF!$H9)*kgtoGg=0,"NO",('Activity data'!BK10*EF!$H9)*kgtoGg)</f>
        <v>80.403638096331917</v>
      </c>
      <c r="BL9" s="27">
        <f>IF(('Activity data'!BL10*EF!$H9)*kgtoGg=0,"NO",('Activity data'!BL10*EF!$H9)*kgtoGg)</f>
        <v>83.378734093878791</v>
      </c>
      <c r="BM9" s="27">
        <f>IF(('Activity data'!BM10*EF!$H9)*kgtoGg=0,"NO",('Activity data'!BM10*EF!$H9)*kgtoGg)</f>
        <v>85.605736773857444</v>
      </c>
      <c r="BN9" s="27">
        <f>IF(('Activity data'!BN10*EF!$H9)*kgtoGg=0,"NO",('Activity data'!BN10*EF!$H9)*kgtoGg)</f>
        <v>87.808938398132668</v>
      </c>
      <c r="BO9" s="27">
        <f>IF(('Activity data'!BO10*EF!$H9)*kgtoGg=0,"NO",('Activity data'!BO10*EF!$H9)*kgtoGg)</f>
        <v>90.073595848724253</v>
      </c>
      <c r="BP9" s="27">
        <f>IF(('Activity data'!BP10*EF!$H9)*kgtoGg=0,"NO",('Activity data'!BP10*EF!$H9)*kgtoGg)</f>
        <v>92.36408305346545</v>
      </c>
    </row>
    <row r="10" spans="1:74" x14ac:dyDescent="0.2">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135.26278530113291</v>
      </c>
      <c r="AM10" s="27">
        <f>IF(('Activity data'!AM11*EF!$H10)*kgtoGg=0,"NO",('Activity data'!AM11*EF!$H10)*kgtoGg)</f>
        <v>135.46877954348926</v>
      </c>
      <c r="AN10" s="27">
        <f>IF(('Activity data'!AN11*EF!$H10)*kgtoGg=0,"NO",('Activity data'!AN11*EF!$H10)*kgtoGg)</f>
        <v>135.70160233543365</v>
      </c>
      <c r="AO10" s="27">
        <f>IF(('Activity data'!AO11*EF!$H10)*kgtoGg=0,"NO",('Activity data'!AO11*EF!$H10)*kgtoGg)</f>
        <v>135.96424702879582</v>
      </c>
      <c r="AP10" s="27">
        <f>IF(('Activity data'!AP11*EF!$H10)*kgtoGg=0,"NO",('Activity data'!AP11*EF!$H10)*kgtoGg)</f>
        <v>136.25970300255619</v>
      </c>
      <c r="AQ10" s="27">
        <f>IF(('Activity data'!AQ11*EF!$H10)*kgtoGg=0,"NO",('Activity data'!AQ11*EF!$H10)*kgtoGg)</f>
        <v>136.58180937371023</v>
      </c>
      <c r="AR10" s="27">
        <f>IF(('Activity data'!AR11*EF!$H10)*kgtoGg=0,"NO",('Activity data'!AR11*EF!$H10)*kgtoGg)</f>
        <v>136.77771182752844</v>
      </c>
      <c r="AS10" s="27">
        <f>IF(('Activity data'!AS11*EF!$H10)*kgtoGg=0,"NO",('Activity data'!AS11*EF!$H10)*kgtoGg)</f>
        <v>136.99652360229675</v>
      </c>
      <c r="AT10" s="27">
        <f>IF(('Activity data'!AT11*EF!$H10)*kgtoGg=0,"NO",('Activity data'!AT11*EF!$H10)*kgtoGg)</f>
        <v>137.23663958086595</v>
      </c>
      <c r="AU10" s="27">
        <f>IF(('Activity data'!AU11*EF!$H10)*kgtoGg=0,"NO",('Activity data'!AU11*EF!$H10)*kgtoGg)</f>
        <v>137.50349615818331</v>
      </c>
      <c r="AV10" s="27">
        <f>IF(('Activity data'!AV11*EF!$H10)*kgtoGg=0,"NO",('Activity data'!AV11*EF!$H10)*kgtoGg)</f>
        <v>137.79053665720062</v>
      </c>
      <c r="AW10" s="27">
        <f>IF(('Activity data'!AW11*EF!$H10)*kgtoGg=0,"NO",('Activity data'!AW11*EF!$H10)*kgtoGg)</f>
        <v>137.97809778631554</v>
      </c>
      <c r="AX10" s="27">
        <f>IF(('Activity data'!AX11*EF!$H10)*kgtoGg=0,"NO",('Activity data'!AX11*EF!$H10)*kgtoGg)</f>
        <v>138.18863599200537</v>
      </c>
      <c r="AY10" s="27">
        <f>IF(('Activity data'!AY11*EF!$H10)*kgtoGg=0,"NO",('Activity data'!AY11*EF!$H10)*kgtoGg)</f>
        <v>138.41878788829575</v>
      </c>
      <c r="AZ10" s="27">
        <f>IF(('Activity data'!AZ11*EF!$H10)*kgtoGg=0,"NO",('Activity data'!AZ11*EF!$H10)*kgtoGg)</f>
        <v>138.67094365352415</v>
      </c>
      <c r="BA10" s="27">
        <f>IF(('Activity data'!BA11*EF!$H10)*kgtoGg=0,"NO",('Activity data'!BA11*EF!$H10)*kgtoGg)</f>
        <v>138.93056254849651</v>
      </c>
      <c r="BB10" s="27">
        <f>IF(('Activity data'!BB11*EF!$H10)*kgtoGg=0,"NO",('Activity data'!BB11*EF!$H10)*kgtoGg)</f>
        <v>139.08967652077243</v>
      </c>
      <c r="BC10" s="27">
        <f>IF(('Activity data'!BC11*EF!$H10)*kgtoGg=0,"NO",('Activity data'!BC11*EF!$H10)*kgtoGg)</f>
        <v>139.2654495830931</v>
      </c>
      <c r="BD10" s="27">
        <f>IF(('Activity data'!BD11*EF!$H10)*kgtoGg=0,"NO",('Activity data'!BD11*EF!$H10)*kgtoGg)</f>
        <v>139.4534011320402</v>
      </c>
      <c r="BE10" s="27">
        <f>IF(('Activity data'!BE11*EF!$H10)*kgtoGg=0,"NO",('Activity data'!BE11*EF!$H10)*kgtoGg)</f>
        <v>139.65576726304948</v>
      </c>
      <c r="BF10" s="27">
        <f>IF(('Activity data'!BF11*EF!$H10)*kgtoGg=0,"NO",('Activity data'!BF11*EF!$H10)*kgtoGg)</f>
        <v>139.87071929457153</v>
      </c>
      <c r="BG10" s="27">
        <f>IF(('Activity data'!BG11*EF!$H10)*kgtoGg=0,"NO",('Activity data'!BG11*EF!$H10)*kgtoGg)</f>
        <v>139.99537394141325</v>
      </c>
      <c r="BH10" s="27">
        <f>IF(('Activity data'!BH11*EF!$H10)*kgtoGg=0,"NO",('Activity data'!BH11*EF!$H10)*kgtoGg)</f>
        <v>140.12945613123219</v>
      </c>
      <c r="BI10" s="27">
        <f>IF(('Activity data'!BI11*EF!$H10)*kgtoGg=0,"NO",('Activity data'!BI11*EF!$H10)*kgtoGg)</f>
        <v>140.27467944669363</v>
      </c>
      <c r="BJ10" s="27">
        <f>IF(('Activity data'!BJ11*EF!$H10)*kgtoGg=0,"NO",('Activity data'!BJ11*EF!$H10)*kgtoGg)</f>
        <v>140.43124436652656</v>
      </c>
      <c r="BK10" s="27">
        <f>IF(('Activity data'!BK11*EF!$H10)*kgtoGg=0,"NO",('Activity data'!BK11*EF!$H10)*kgtoGg)</f>
        <v>140.59904144364654</v>
      </c>
      <c r="BL10" s="27">
        <f>IF(('Activity data'!BL11*EF!$H10)*kgtoGg=0,"NO",('Activity data'!BL11*EF!$H10)*kgtoGg)</f>
        <v>140.67407193187856</v>
      </c>
      <c r="BM10" s="27">
        <f>IF(('Activity data'!BM11*EF!$H10)*kgtoGg=0,"NO",('Activity data'!BM11*EF!$H10)*kgtoGg)</f>
        <v>140.74390740905804</v>
      </c>
      <c r="BN10" s="27">
        <f>IF(('Activity data'!BN11*EF!$H10)*kgtoGg=0,"NO",('Activity data'!BN11*EF!$H10)*kgtoGg)</f>
        <v>140.82132713333769</v>
      </c>
      <c r="BO10" s="27">
        <f>IF(('Activity data'!BO11*EF!$H10)*kgtoGg=0,"NO",('Activity data'!BO11*EF!$H10)*kgtoGg)</f>
        <v>140.90757206763405</v>
      </c>
      <c r="BP10" s="27">
        <f>IF(('Activity data'!BP11*EF!$H10)*kgtoGg=0,"NO",('Activity data'!BP11*EF!$H10)*kgtoGg)</f>
        <v>141.00175438081712</v>
      </c>
    </row>
    <row r="11" spans="1:74" x14ac:dyDescent="0.2">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14.658944228555331</v>
      </c>
      <c r="AM11" s="27">
        <f>IF(('Activity data'!AM12*EF!$H11)*kgtoGg=0,"NO",('Activity data'!AM12*EF!$H11)*kgtoGg)</f>
        <v>14.681268610708063</v>
      </c>
      <c r="AN11" s="27">
        <f>IF(('Activity data'!AN12*EF!$H11)*kgtoGg=0,"NO",('Activity data'!AN12*EF!$H11)*kgtoGg)</f>
        <v>14.706500505161891</v>
      </c>
      <c r="AO11" s="27">
        <f>IF(('Activity data'!AO12*EF!$H11)*kgtoGg=0,"NO",('Activity data'!AO12*EF!$H11)*kgtoGg)</f>
        <v>14.734964312877745</v>
      </c>
      <c r="AP11" s="27">
        <f>IF(('Activity data'!AP12*EF!$H11)*kgtoGg=0,"NO",('Activity data'!AP12*EF!$H11)*kgtoGg)</f>
        <v>14.766984004263698</v>
      </c>
      <c r="AQ11" s="27">
        <f>IF(('Activity data'!AQ12*EF!$H11)*kgtoGg=0,"NO",('Activity data'!AQ12*EF!$H11)*kgtoGg)</f>
        <v>14.801891900917591</v>
      </c>
      <c r="AR11" s="27">
        <f>IF(('Activity data'!AR12*EF!$H11)*kgtoGg=0,"NO",('Activity data'!AR12*EF!$H11)*kgtoGg)</f>
        <v>14.823122597434484</v>
      </c>
      <c r="AS11" s="27">
        <f>IF(('Activity data'!AS12*EF!$H11)*kgtoGg=0,"NO",('Activity data'!AS12*EF!$H11)*kgtoGg)</f>
        <v>14.846836064488549</v>
      </c>
      <c r="AT11" s="27">
        <f>IF(('Activity data'!AT12*EF!$H11)*kgtoGg=0,"NO",('Activity data'!AT12*EF!$H11)*kgtoGg)</f>
        <v>14.872858349408936</v>
      </c>
      <c r="AU11" s="27">
        <f>IF(('Activity data'!AU12*EF!$H11)*kgtoGg=0,"NO",('Activity data'!AU12*EF!$H11)*kgtoGg)</f>
        <v>14.901778615062266</v>
      </c>
      <c r="AV11" s="27">
        <f>IF(('Activity data'!AV12*EF!$H11)*kgtoGg=0,"NO",('Activity data'!AV12*EF!$H11)*kgtoGg)</f>
        <v>14.932886289335453</v>
      </c>
      <c r="AW11" s="27">
        <f>IF(('Activity data'!AW12*EF!$H11)*kgtoGg=0,"NO",('Activity data'!AW12*EF!$H11)*kgtoGg)</f>
        <v>14.953213004662359</v>
      </c>
      <c r="AX11" s="27">
        <f>IF(('Activity data'!AX12*EF!$H11)*kgtoGg=0,"NO",('Activity data'!AX12*EF!$H11)*kgtoGg)</f>
        <v>14.976029833462063</v>
      </c>
      <c r="AY11" s="27">
        <f>IF(('Activity data'!AY12*EF!$H11)*kgtoGg=0,"NO",('Activity data'!AY12*EF!$H11)*kgtoGg)</f>
        <v>15.000972272761286</v>
      </c>
      <c r="AZ11" s="27">
        <f>IF(('Activity data'!AZ12*EF!$H11)*kgtoGg=0,"NO",('Activity data'!AZ12*EF!$H11)*kgtoGg)</f>
        <v>15.02829935530777</v>
      </c>
      <c r="BA11" s="27">
        <f>IF(('Activity data'!BA12*EF!$H11)*kgtoGg=0,"NO",('Activity data'!BA12*EF!$H11)*kgtoGg)</f>
        <v>15.056435245705167</v>
      </c>
      <c r="BB11" s="27">
        <f>IF(('Activity data'!BB12*EF!$H11)*kgtoGg=0,"NO",('Activity data'!BB12*EF!$H11)*kgtoGg)</f>
        <v>15.073679034086307</v>
      </c>
      <c r="BC11" s="27">
        <f>IF(('Activity data'!BC12*EF!$H11)*kgtoGg=0,"NO",('Activity data'!BC12*EF!$H11)*kgtoGg)</f>
        <v>15.092728231629481</v>
      </c>
      <c r="BD11" s="27">
        <f>IF(('Activity data'!BD12*EF!$H11)*kgtoGg=0,"NO",('Activity data'!BD12*EF!$H11)*kgtoGg)</f>
        <v>15.11309725824351</v>
      </c>
      <c r="BE11" s="27">
        <f>IF(('Activity data'!BE12*EF!$H11)*kgtoGg=0,"NO",('Activity data'!BE12*EF!$H11)*kgtoGg)</f>
        <v>15.135028448124075</v>
      </c>
      <c r="BF11" s="27">
        <f>IF(('Activity data'!BF12*EF!$H11)*kgtoGg=0,"NO",('Activity data'!BF12*EF!$H11)*kgtoGg)</f>
        <v>15.158323620073121</v>
      </c>
      <c r="BG11" s="27">
        <f>IF(('Activity data'!BG12*EF!$H11)*kgtoGg=0,"NO",('Activity data'!BG12*EF!$H11)*kgtoGg)</f>
        <v>15.171832919854392</v>
      </c>
      <c r="BH11" s="27">
        <f>IF(('Activity data'!BH12*EF!$H11)*kgtoGg=0,"NO",('Activity data'!BH12*EF!$H11)*kgtoGg)</f>
        <v>15.186363918445194</v>
      </c>
      <c r="BI11" s="27">
        <f>IF(('Activity data'!BI12*EF!$H11)*kgtoGg=0,"NO",('Activity data'!BI12*EF!$H11)*kgtoGg)</f>
        <v>15.202102323338273</v>
      </c>
      <c r="BJ11" s="27">
        <f>IF(('Activity data'!BJ12*EF!$H11)*kgtoGg=0,"NO",('Activity data'!BJ12*EF!$H11)*kgtoGg)</f>
        <v>15.219069861178557</v>
      </c>
      <c r="BK11" s="27">
        <f>IF(('Activity data'!BK12*EF!$H11)*kgtoGg=0,"NO",('Activity data'!BK12*EF!$H11)*kgtoGg)</f>
        <v>15.237254670767834</v>
      </c>
      <c r="BL11" s="27">
        <f>IF(('Activity data'!BL12*EF!$H11)*kgtoGg=0,"NO",('Activity data'!BL12*EF!$H11)*kgtoGg)</f>
        <v>15.245386011106461</v>
      </c>
      <c r="BM11" s="27">
        <f>IF(('Activity data'!BM12*EF!$H11)*kgtoGg=0,"NO",('Activity data'!BM12*EF!$H11)*kgtoGg)</f>
        <v>15.252954348272294</v>
      </c>
      <c r="BN11" s="27">
        <f>IF(('Activity data'!BN12*EF!$H11)*kgtoGg=0,"NO",('Activity data'!BN12*EF!$H11)*kgtoGg)</f>
        <v>15.261344619239132</v>
      </c>
      <c r="BO11" s="27">
        <f>IF(('Activity data'!BO12*EF!$H11)*kgtoGg=0,"NO",('Activity data'!BO12*EF!$H11)*kgtoGg)</f>
        <v>15.270691311893962</v>
      </c>
      <c r="BP11" s="27">
        <f>IF(('Activity data'!BP12*EF!$H11)*kgtoGg=0,"NO",('Activity data'!BP12*EF!$H11)*kgtoGg)</f>
        <v>15.280898208589107</v>
      </c>
    </row>
    <row r="12" spans="1:74" x14ac:dyDescent="0.2">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15.123414197798356</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15.283027985940226</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15.545788610572219</v>
      </c>
      <c r="AK12" s="27">
        <f>IF(('Activity data'!AK13*EF!$H12)*kgtoGg=0,"NO",('Activity data'!AK13*EF!$H12)*kgtoGg)</f>
        <v>15.648067752449878</v>
      </c>
      <c r="AL12" s="27">
        <f>IF(('Activity data'!AL13*EF!$H12)*kgtoGg=0,"NO",('Activity data'!AL13*EF!$H12)*kgtoGg)</f>
        <v>15.742031713029512</v>
      </c>
      <c r="AM12" s="27">
        <f>IF(('Activity data'!AM13*EF!$H12)*kgtoGg=0,"NO",('Activity data'!AM13*EF!$H12)*kgtoGg)</f>
        <v>15.78777493593066</v>
      </c>
      <c r="AN12" s="27">
        <f>IF(('Activity data'!AN13*EF!$H12)*kgtoGg=0,"NO",('Activity data'!AN13*EF!$H12)*kgtoGg)</f>
        <v>15.836941189877804</v>
      </c>
      <c r="AO12" s="27">
        <f>IF(('Activity data'!AO13*EF!$H12)*kgtoGg=0,"NO",('Activity data'!AO13*EF!$H12)*kgtoGg)</f>
        <v>15.890131734595759</v>
      </c>
      <c r="AP12" s="27">
        <f>IF(('Activity data'!AP13*EF!$H12)*kgtoGg=0,"NO",('Activity data'!AP13*EF!$H12)*kgtoGg)</f>
        <v>15.947930587680338</v>
      </c>
      <c r="AQ12" s="27">
        <f>IF(('Activity data'!AQ13*EF!$H12)*kgtoGg=0,"NO",('Activity data'!AQ13*EF!$H12)*kgtoGg)</f>
        <v>16.009309310979074</v>
      </c>
      <c r="AR12" s="27">
        <f>IF(('Activity data'!AR13*EF!$H12)*kgtoGg=0,"NO",('Activity data'!AR13*EF!$H12)*kgtoGg)</f>
        <v>16.047680700733103</v>
      </c>
      <c r="AS12" s="27">
        <f>IF(('Activity data'!AS13*EF!$H12)*kgtoGg=0,"NO",('Activity data'!AS13*EF!$H12)*kgtoGg)</f>
        <v>16.089188383327485</v>
      </c>
      <c r="AT12" s="27">
        <f>IF(('Activity data'!AT13*EF!$H12)*kgtoGg=0,"NO",('Activity data'!AT13*EF!$H12)*kgtoGg)</f>
        <v>16.133588234011135</v>
      </c>
      <c r="AU12" s="27">
        <f>IF(('Activity data'!AU13*EF!$H12)*kgtoGg=0,"NO",('Activity data'!AU13*EF!$H12)*kgtoGg)</f>
        <v>16.181852398556252</v>
      </c>
      <c r="AV12" s="27">
        <f>IF(('Activity data'!AV13*EF!$H12)*kgtoGg=0,"NO",('Activity data'!AV13*EF!$H12)*kgtoGg)</f>
        <v>16.232869062741507</v>
      </c>
      <c r="AW12" s="27">
        <f>IF(('Activity data'!AW13*EF!$H12)*kgtoGg=0,"NO",('Activity data'!AW13*EF!$H12)*kgtoGg)</f>
        <v>16.26603536262477</v>
      </c>
      <c r="AX12" s="27">
        <f>IF(('Activity data'!AX13*EF!$H12)*kgtoGg=0,"NO",('Activity data'!AX13*EF!$H12)*kgtoGg)</f>
        <v>16.302563680867436</v>
      </c>
      <c r="AY12" s="27">
        <f>IF(('Activity data'!AY13*EF!$H12)*kgtoGg=0,"NO",('Activity data'!AY13*EF!$H12)*kgtoGg)</f>
        <v>16.341889153829143</v>
      </c>
      <c r="AZ12" s="27">
        <f>IF(('Activity data'!AZ13*EF!$H12)*kgtoGg=0,"NO",('Activity data'!AZ13*EF!$H12)*kgtoGg)</f>
        <v>16.384434985595004</v>
      </c>
      <c r="BA12" s="27">
        <f>IF(('Activity data'!BA13*EF!$H12)*kgtoGg=0,"NO",('Activity data'!BA13*EF!$H12)*kgtoGg)</f>
        <v>16.427723661614785</v>
      </c>
      <c r="BB12" s="27">
        <f>IF(('Activity data'!BB13*EF!$H12)*kgtoGg=0,"NO",('Activity data'!BB13*EF!$H12)*kgtoGg)</f>
        <v>16.453347878804561</v>
      </c>
      <c r="BC12" s="27">
        <f>IF(('Activity data'!BC13*EF!$H12)*kgtoGg=0,"NO",('Activity data'!BC13*EF!$H12)*kgtoGg)</f>
        <v>16.481391601385443</v>
      </c>
      <c r="BD12" s="27">
        <f>IF(('Activity data'!BD13*EF!$H12)*kgtoGg=0,"NO",('Activity data'!BD13*EF!$H12)*kgtoGg)</f>
        <v>16.511100045266552</v>
      </c>
      <c r="BE12" s="27">
        <f>IF(('Activity data'!BE13*EF!$H12)*kgtoGg=0,"NO",('Activity data'!BE13*EF!$H12)*kgtoGg)</f>
        <v>16.542862813406586</v>
      </c>
      <c r="BF12" s="27">
        <f>IF(('Activity data'!BF13*EF!$H12)*kgtoGg=0,"NO",('Activity data'!BF13*EF!$H12)*kgtoGg)</f>
        <v>16.576376781233034</v>
      </c>
      <c r="BG12" s="27">
        <f>IF(('Activity data'!BG13*EF!$H12)*kgtoGg=0,"NO",('Activity data'!BG13*EF!$H12)*kgtoGg)</f>
        <v>16.594247346579589</v>
      </c>
      <c r="BH12" s="27">
        <f>IF(('Activity data'!BH13*EF!$H12)*kgtoGg=0,"NO",('Activity data'!BH13*EF!$H12)*kgtoGg)</f>
        <v>16.613410035363255</v>
      </c>
      <c r="BI12" s="27">
        <f>IF(('Activity data'!BI13*EF!$H12)*kgtoGg=0,"NO",('Activity data'!BI13*EF!$H12)*kgtoGg)</f>
        <v>16.634160462915251</v>
      </c>
      <c r="BJ12" s="27">
        <f>IF(('Activity data'!BJ13*EF!$H12)*kgtoGg=0,"NO",('Activity data'!BJ13*EF!$H12)*kgtoGg)</f>
        <v>16.656536848310051</v>
      </c>
      <c r="BK12" s="27">
        <f>IF(('Activity data'!BK13*EF!$H12)*kgtoGg=0,"NO",('Activity data'!BK13*EF!$H12)*kgtoGg)</f>
        <v>16.680524418707119</v>
      </c>
      <c r="BL12" s="27">
        <f>IF(('Activity data'!BL13*EF!$H12)*kgtoGg=0,"NO",('Activity data'!BL13*EF!$H12)*kgtoGg)</f>
        <v>16.68868442435787</v>
      </c>
      <c r="BM12" s="27">
        <f>IF(('Activity data'!BM13*EF!$H12)*kgtoGg=0,"NO",('Activity data'!BM13*EF!$H12)*kgtoGg)</f>
        <v>16.695767676813599</v>
      </c>
      <c r="BN12" s="27">
        <f>IF(('Activity data'!BN13*EF!$H12)*kgtoGg=0,"NO",('Activity data'!BN13*EF!$H12)*kgtoGg)</f>
        <v>16.703924626566948</v>
      </c>
      <c r="BO12" s="27">
        <f>IF(('Activity data'!BO13*EF!$H12)*kgtoGg=0,"NO",('Activity data'!BO13*EF!$H12)*kgtoGg)</f>
        <v>16.713365572192938</v>
      </c>
      <c r="BP12" s="27">
        <f>IF(('Activity data'!BP13*EF!$H12)*kgtoGg=0,"NO",('Activity data'!BP13*EF!$H12)*kgtoGg)</f>
        <v>16.723944327870726</v>
      </c>
    </row>
    <row r="13" spans="1:74" x14ac:dyDescent="0.2">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22.381101687842737</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22.617313721478972</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23.296592154028918</v>
      </c>
      <c r="AM13" s="27">
        <f>IF(('Activity data'!AM14*EF!$H13)*kgtoGg=0,"NO",('Activity data'!AM14*EF!$H13)*kgtoGg)</f>
        <v>23.36428743168846</v>
      </c>
      <c r="AN13" s="27">
        <f>IF(('Activity data'!AN14*EF!$H13)*kgtoGg=0,"NO",('Activity data'!AN14*EF!$H13)*kgtoGg)</f>
        <v>23.437048444169463</v>
      </c>
      <c r="AO13" s="27">
        <f>IF(('Activity data'!AO14*EF!$H13)*kgtoGg=0,"NO",('Activity data'!AO14*EF!$H13)*kgtoGg)</f>
        <v>23.51576499418881</v>
      </c>
      <c r="AP13" s="27">
        <f>IF(('Activity data'!AP14*EF!$H13)*kgtoGg=0,"NO",('Activity data'!AP14*EF!$H13)*kgtoGg)</f>
        <v>23.601301367881135</v>
      </c>
      <c r="AQ13" s="27">
        <f>IF(('Activity data'!AQ14*EF!$H13)*kgtoGg=0,"NO",('Activity data'!AQ14*EF!$H13)*kgtoGg)</f>
        <v>23.692135582275586</v>
      </c>
      <c r="AR13" s="27">
        <f>IF(('Activity data'!AR14*EF!$H13)*kgtoGg=0,"NO",('Activity data'!AR14*EF!$H13)*kgtoGg)</f>
        <v>23.748921303063014</v>
      </c>
      <c r="AS13" s="27">
        <f>IF(('Activity data'!AS14*EF!$H13)*kgtoGg=0,"NO",('Activity data'!AS14*EF!$H13)*kgtoGg)</f>
        <v>23.810348415540492</v>
      </c>
      <c r="AT13" s="27">
        <f>IF(('Activity data'!AT14*EF!$H13)*kgtoGg=0,"NO",('Activity data'!AT14*EF!$H13)*kgtoGg)</f>
        <v>23.876055640118153</v>
      </c>
      <c r="AU13" s="27">
        <f>IF(('Activity data'!AU14*EF!$H13)*kgtoGg=0,"NO",('Activity data'!AU14*EF!$H13)*kgtoGg)</f>
        <v>23.947481652818404</v>
      </c>
      <c r="AV13" s="27">
        <f>IF(('Activity data'!AV14*EF!$H13)*kgtoGg=0,"NO",('Activity data'!AV14*EF!$H13)*kgtoGg)</f>
        <v>24.022981082641</v>
      </c>
      <c r="AW13" s="27">
        <f>IF(('Activity data'!AW14*EF!$H13)*kgtoGg=0,"NO",('Activity data'!AW14*EF!$H13)*kgtoGg)</f>
        <v>24.072063804345781</v>
      </c>
      <c r="AX13" s="27">
        <f>IF(('Activity data'!AX14*EF!$H13)*kgtoGg=0,"NO",('Activity data'!AX14*EF!$H13)*kgtoGg)</f>
        <v>24.126121968354415</v>
      </c>
      <c r="AY13" s="27">
        <f>IF(('Activity data'!AY14*EF!$H13)*kgtoGg=0,"NO",('Activity data'!AY14*EF!$H13)*kgtoGg)</f>
        <v>24.184319634421552</v>
      </c>
      <c r="AZ13" s="27">
        <f>IF(('Activity data'!AZ14*EF!$H13)*kgtoGg=0,"NO",('Activity data'!AZ14*EF!$H13)*kgtoGg)</f>
        <v>24.247283101181864</v>
      </c>
      <c r="BA13" s="27">
        <f>IF(('Activity data'!BA14*EF!$H13)*kgtoGg=0,"NO",('Activity data'!BA14*EF!$H13)*kgtoGg)</f>
        <v>24.311345901238735</v>
      </c>
      <c r="BB13" s="27">
        <f>IF(('Activity data'!BB14*EF!$H13)*kgtoGg=0,"NO",('Activity data'!BB14*EF!$H13)*kgtoGg)</f>
        <v>24.34926711420659</v>
      </c>
      <c r="BC13" s="27">
        <f>IF(('Activity data'!BC14*EF!$H13)*kgtoGg=0,"NO",('Activity data'!BC14*EF!$H13)*kgtoGg)</f>
        <v>24.390768946966002</v>
      </c>
      <c r="BD13" s="27">
        <f>IF(('Activity data'!BD14*EF!$H13)*kgtoGg=0,"NO",('Activity data'!BD14*EF!$H13)*kgtoGg)</f>
        <v>24.434734396486487</v>
      </c>
      <c r="BE13" s="27">
        <f>IF(('Activity data'!BE14*EF!$H13)*kgtoGg=0,"NO",('Activity data'!BE14*EF!$H13)*kgtoGg)</f>
        <v>24.481740035182341</v>
      </c>
      <c r="BF13" s="27">
        <f>IF(('Activity data'!BF14*EF!$H13)*kgtoGg=0,"NO",('Activity data'!BF14*EF!$H13)*kgtoGg)</f>
        <v>24.531337269780067</v>
      </c>
      <c r="BG13" s="27">
        <f>IF(('Activity data'!BG14*EF!$H13)*kgtoGg=0,"NO",('Activity data'!BG14*EF!$H13)*kgtoGg)</f>
        <v>24.557783873371651</v>
      </c>
      <c r="BH13" s="27">
        <f>IF(('Activity data'!BH14*EF!$H13)*kgtoGg=0,"NO",('Activity data'!BH14*EF!$H13)*kgtoGg)</f>
        <v>24.586142687107124</v>
      </c>
      <c r="BI13" s="27">
        <f>IF(('Activity data'!BI14*EF!$H13)*kgtoGg=0,"NO",('Activity data'!BI14*EF!$H13)*kgtoGg)</f>
        <v>24.616851191353145</v>
      </c>
      <c r="BJ13" s="27">
        <f>IF(('Activity data'!BJ14*EF!$H13)*kgtoGg=0,"NO",('Activity data'!BJ14*EF!$H13)*kgtoGg)</f>
        <v>24.649965946419517</v>
      </c>
      <c r="BK13" s="27">
        <f>IF(('Activity data'!BK14*EF!$H13)*kgtoGg=0,"NO",('Activity data'!BK14*EF!$H13)*kgtoGg)</f>
        <v>24.685465090017612</v>
      </c>
      <c r="BL13" s="27">
        <f>IF(('Activity data'!BL14*EF!$H13)*kgtoGg=0,"NO",('Activity data'!BL14*EF!$H13)*kgtoGg)</f>
        <v>24.697541061346186</v>
      </c>
      <c r="BM13" s="27">
        <f>IF(('Activity data'!BM14*EF!$H13)*kgtoGg=0,"NO",('Activity data'!BM14*EF!$H13)*kgtoGg)</f>
        <v>24.708023548396984</v>
      </c>
      <c r="BN13" s="27">
        <f>IF(('Activity data'!BN14*EF!$H13)*kgtoGg=0,"NO",('Activity data'!BN14*EF!$H13)*kgtoGg)</f>
        <v>24.720094997310881</v>
      </c>
      <c r="BO13" s="27">
        <f>IF(('Activity data'!BO14*EF!$H13)*kgtoGg=0,"NO",('Activity data'!BO14*EF!$H13)*kgtoGg)</f>
        <v>24.734066628406943</v>
      </c>
      <c r="BP13" s="27">
        <f>IF(('Activity data'!BP14*EF!$H13)*kgtoGg=0,"NO",('Activity data'!BP14*EF!$H13)*kgtoGg)</f>
        <v>24.749722101665743</v>
      </c>
    </row>
    <row r="14" spans="1:74" x14ac:dyDescent="0.2">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5.5526214800767892</v>
      </c>
      <c r="AE14" s="27">
        <f>IF(('Activity data'!AE15*EF!$H14)*kgtoGg=0,"NO",('Activity data'!AE15*EF!$H14)*kgtoGg)</f>
        <v>5.579523571019652</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5.6165815405282284</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5.5483103177944013</v>
      </c>
      <c r="AL14" s="27">
        <f>IF(('Activity data'!AL15*EF!$H14)*kgtoGg=0,"NO",('Activity data'!AL15*EF!$H14)*kgtoGg)</f>
        <v>5.2545848231765602</v>
      </c>
      <c r="AM14" s="27">
        <f>IF(('Activity data'!AM15*EF!$H14)*kgtoGg=0,"NO",('Activity data'!AM15*EF!$H14)*kgtoGg)</f>
        <v>5.3277448648735932</v>
      </c>
      <c r="AN14" s="27">
        <f>IF(('Activity data'!AN15*EF!$H14)*kgtoGg=0,"NO",('Activity data'!AN15*EF!$H14)*kgtoGg)</f>
        <v>5.3771318788227438</v>
      </c>
      <c r="AO14" s="27">
        <f>IF(('Activity data'!AO15*EF!$H14)*kgtoGg=0,"NO",('Activity data'!AO15*EF!$H14)*kgtoGg)</f>
        <v>5.4200550937003218</v>
      </c>
      <c r="AP14" s="27">
        <f>IF(('Activity data'!AP15*EF!$H14)*kgtoGg=0,"NO",('Activity data'!AP15*EF!$H14)*kgtoGg)</f>
        <v>5.4726184084270573</v>
      </c>
      <c r="AQ14" s="27">
        <f>IF(('Activity data'!AQ15*EF!$H14)*kgtoGg=0,"NO",('Activity data'!AQ15*EF!$H14)*kgtoGg)</f>
        <v>5.5193093093258572</v>
      </c>
      <c r="AR14" s="27">
        <f>IF(('Activity data'!AR15*EF!$H14)*kgtoGg=0,"NO",('Activity data'!AR15*EF!$H14)*kgtoGg)</f>
        <v>5.5623143429133499</v>
      </c>
      <c r="AS14" s="27">
        <f>IF(('Activity data'!AS15*EF!$H14)*kgtoGg=0,"NO",('Activity data'!AS15*EF!$H14)*kgtoGg)</f>
        <v>5.6016190467987945</v>
      </c>
      <c r="AT14" s="27">
        <f>IF(('Activity data'!AT15*EF!$H14)*kgtoGg=0,"NO",('Activity data'!AT15*EF!$H14)*kgtoGg)</f>
        <v>5.6358734850599594</v>
      </c>
      <c r="AU14" s="27">
        <f>IF(('Activity data'!AU15*EF!$H14)*kgtoGg=0,"NO",('Activity data'!AU15*EF!$H14)*kgtoGg)</f>
        <v>5.6864221774832213</v>
      </c>
      <c r="AV14" s="27">
        <f>IF(('Activity data'!AV15*EF!$H14)*kgtoGg=0,"NO",('Activity data'!AV15*EF!$H14)*kgtoGg)</f>
        <v>5.734761216152096</v>
      </c>
      <c r="AW14" s="27">
        <f>IF(('Activity data'!AW15*EF!$H14)*kgtoGg=0,"NO",('Activity data'!AW15*EF!$H14)*kgtoGg)</f>
        <v>5.7937893665421401</v>
      </c>
      <c r="AX14" s="27">
        <f>IF(('Activity data'!AX15*EF!$H14)*kgtoGg=0,"NO",('Activity data'!AX15*EF!$H14)*kgtoGg)</f>
        <v>5.868728906856421</v>
      </c>
      <c r="AY14" s="27">
        <f>IF(('Activity data'!AY15*EF!$H14)*kgtoGg=0,"NO",('Activity data'!AY15*EF!$H14)*kgtoGg)</f>
        <v>5.95097387412393</v>
      </c>
      <c r="AZ14" s="27">
        <f>IF(('Activity data'!AZ15*EF!$H14)*kgtoGg=0,"NO",('Activity data'!AZ15*EF!$H14)*kgtoGg)</f>
        <v>6.0502809540907023</v>
      </c>
      <c r="BA14" s="27">
        <f>IF(('Activity data'!BA15*EF!$H14)*kgtoGg=0,"NO",('Activity data'!BA15*EF!$H14)*kgtoGg)</f>
        <v>6.1220107529838179</v>
      </c>
      <c r="BB14" s="27">
        <f>IF(('Activity data'!BB15*EF!$H14)*kgtoGg=0,"NO",('Activity data'!BB15*EF!$H14)*kgtoGg)</f>
        <v>6.1941308642978408</v>
      </c>
      <c r="BC14" s="27">
        <f>IF(('Activity data'!BC15*EF!$H14)*kgtoGg=0,"NO",('Activity data'!BC15*EF!$H14)*kgtoGg)</f>
        <v>6.2747694866131836</v>
      </c>
      <c r="BD14" s="27">
        <f>IF(('Activity data'!BD15*EF!$H14)*kgtoGg=0,"NO",('Activity data'!BD15*EF!$H14)*kgtoGg)</f>
        <v>6.3513096084096698</v>
      </c>
      <c r="BE14" s="27">
        <f>IF(('Activity data'!BE15*EF!$H14)*kgtoGg=0,"NO",('Activity data'!BE15*EF!$H14)*kgtoGg)</f>
        <v>6.4323283925814563</v>
      </c>
      <c r="BF14" s="27">
        <f>IF(('Activity data'!BF15*EF!$H14)*kgtoGg=0,"NO",('Activity data'!BF15*EF!$H14)*kgtoGg)</f>
        <v>6.5134158744418782</v>
      </c>
      <c r="BG14" s="27">
        <f>IF(('Activity data'!BG15*EF!$H14)*kgtoGg=0,"NO",('Activity data'!BG15*EF!$H14)*kgtoGg)</f>
        <v>6.6126163316975539</v>
      </c>
      <c r="BH14" s="27">
        <f>IF(('Activity data'!BH15*EF!$H14)*kgtoGg=0,"NO",('Activity data'!BH15*EF!$H14)*kgtoGg)</f>
        <v>6.7066735285892829</v>
      </c>
      <c r="BI14" s="27">
        <f>IF(('Activity data'!BI15*EF!$H14)*kgtoGg=0,"NO",('Activity data'!BI15*EF!$H14)*kgtoGg)</f>
        <v>6.8021224333407027</v>
      </c>
      <c r="BJ14" s="27">
        <f>IF(('Activity data'!BJ15*EF!$H14)*kgtoGg=0,"NO",('Activity data'!BJ15*EF!$H14)*kgtoGg)</f>
        <v>6.9006513009384864</v>
      </c>
      <c r="BK14" s="27">
        <f>IF(('Activity data'!BK15*EF!$H14)*kgtoGg=0,"NO",('Activity data'!BK15*EF!$H14)*kgtoGg)</f>
        <v>7.0028965831984893</v>
      </c>
      <c r="BL14" s="27">
        <f>IF(('Activity data'!BL15*EF!$H14)*kgtoGg=0,"NO",('Activity data'!BL15*EF!$H14)*kgtoGg)</f>
        <v>7.1267607896665828</v>
      </c>
      <c r="BM14" s="27">
        <f>IF(('Activity data'!BM15*EF!$H14)*kgtoGg=0,"NO",('Activity data'!BM15*EF!$H14)*kgtoGg)</f>
        <v>7.2071584727038323</v>
      </c>
      <c r="BN14" s="27">
        <f>IF(('Activity data'!BN15*EF!$H14)*kgtoGg=0,"NO",('Activity data'!BN15*EF!$H14)*kgtoGg)</f>
        <v>7.2845566532149562</v>
      </c>
      <c r="BO14" s="27">
        <f>IF(('Activity data'!BO15*EF!$H14)*kgtoGg=0,"NO",('Activity data'!BO15*EF!$H14)*kgtoGg)</f>
        <v>7.3636089922437549</v>
      </c>
      <c r="BP14" s="27">
        <f>IF(('Activity data'!BP15*EF!$H14)*kgtoGg=0,"NO",('Activity data'!BP15*EF!$H14)*kgtoGg)</f>
        <v>7.4423534956754249</v>
      </c>
    </row>
    <row r="15" spans="1:74" x14ac:dyDescent="0.2">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2">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1.8400999552016304</v>
      </c>
      <c r="AE16" s="27">
        <f>IF(('Activity data'!AE17*EF!$H16)*kgtoGg=0,"NO",('Activity data'!AE17*EF!$H16)*kgtoGg)</f>
        <v>1.8300977880312255</v>
      </c>
      <c r="AF16" s="27">
        <f>IF(('Activity data'!AF17*EF!$H16)*kgtoGg=0,"NO",('Activity data'!AF17*EF!$H16)*kgtoGg)</f>
        <v>1.8309187348828158</v>
      </c>
      <c r="AG16" s="27">
        <f>IF(('Activity data'!AG17*EF!$H16)*kgtoGg=0,"NO",('Activity data'!AG17*EF!$H16)*kgtoGg)</f>
        <v>1.8141094978660448</v>
      </c>
      <c r="AH16" s="27">
        <f>IF(('Activity data'!AH17*EF!$H16)*kgtoGg=0,"NO",('Activity data'!AH17*EF!$H16)*kgtoGg)</f>
        <v>1.7866561368117302</v>
      </c>
      <c r="AI16" s="27">
        <f>IF(('Activity data'!AI17*EF!$H16)*kgtoGg=0,"NO",('Activity data'!AI17*EF!$H16)*kgtoGg)</f>
        <v>1.7489975228040084</v>
      </c>
      <c r="AJ16" s="27">
        <f>IF(('Activity data'!AJ17*EF!$H16)*kgtoGg=0,"NO",('Activity data'!AJ17*EF!$H16)*kgtoGg)</f>
        <v>1.7216531928010095</v>
      </c>
      <c r="AK16" s="27">
        <f>IF(('Activity data'!AK17*EF!$H16)*kgtoGg=0,"NO",('Activity data'!AK17*EF!$H16)*kgtoGg)</f>
        <v>1.6967284692901876</v>
      </c>
      <c r="AL16" s="27">
        <f>IF(('Activity data'!AL17*EF!$H16)*kgtoGg=0,"NO",('Activity data'!AL17*EF!$H16)*kgtoGg)</f>
        <v>1.5117747469441463</v>
      </c>
      <c r="AM16" s="27">
        <f>IF(('Activity data'!AM17*EF!$H16)*kgtoGg=0,"NO",('Activity data'!AM17*EF!$H16)*kgtoGg)</f>
        <v>1.5353784458928466</v>
      </c>
      <c r="AN16" s="27">
        <f>IF(('Activity data'!AN17*EF!$H16)*kgtoGg=0,"NO",('Activity data'!AN17*EF!$H16)*kgtoGg)</f>
        <v>1.5454031535928081</v>
      </c>
      <c r="AO16" s="27">
        <f>IF(('Activity data'!AO17*EF!$H16)*kgtoGg=0,"NO",('Activity data'!AO17*EF!$H16)*kgtoGg)</f>
        <v>1.5520051748391652</v>
      </c>
      <c r="AP16" s="27">
        <f>IF(('Activity data'!AP17*EF!$H16)*kgtoGg=0,"NO",('Activity data'!AP17*EF!$H16)*kgtoGg)</f>
        <v>1.564229983889788</v>
      </c>
      <c r="AQ16" s="27">
        <f>IF(('Activity data'!AQ17*EF!$H16)*kgtoGg=0,"NO",('Activity data'!AQ17*EF!$H16)*kgtoGg)</f>
        <v>1.5733351038653358</v>
      </c>
      <c r="AR16" s="27">
        <f>IF(('Activity data'!AR17*EF!$H16)*kgtoGg=0,"NO",('Activity data'!AR17*EF!$H16)*kgtoGg)</f>
        <v>1.5781110770621192</v>
      </c>
      <c r="AS16" s="27">
        <f>IF(('Activity data'!AS17*EF!$H16)*kgtoGg=0,"NO",('Activity data'!AS17*EF!$H16)*kgtoGg)</f>
        <v>1.5810372890528743</v>
      </c>
      <c r="AT16" s="27">
        <f>IF(('Activity data'!AT17*EF!$H16)*kgtoGg=0,"NO",('Activity data'!AT17*EF!$H16)*kgtoGg)</f>
        <v>1.5814342334658642</v>
      </c>
      <c r="AU16" s="27">
        <f>IF(('Activity data'!AU17*EF!$H16)*kgtoGg=0,"NO",('Activity data'!AU17*EF!$H16)*kgtoGg)</f>
        <v>1.5906175911874081</v>
      </c>
      <c r="AV16" s="27">
        <f>IF(('Activity data'!AV17*EF!$H16)*kgtoGg=0,"NO",('Activity data'!AV17*EF!$H16)*kgtoGg)</f>
        <v>1.598639197477874</v>
      </c>
      <c r="AW16" s="27">
        <f>IF(('Activity data'!AW17*EF!$H16)*kgtoGg=0,"NO",('Activity data'!AW17*EF!$H16)*kgtoGg)</f>
        <v>1.6101808279098371</v>
      </c>
      <c r="AX16" s="27">
        <f>IF(('Activity data'!AX17*EF!$H16)*kgtoGg=0,"NO",('Activity data'!AX17*EF!$H16)*kgtoGg)</f>
        <v>1.6296768229523677</v>
      </c>
      <c r="AY16" s="27">
        <f>IF(('Activity data'!AY17*EF!$H16)*kgtoGg=0,"NO",('Activity data'!AY17*EF!$H16)*kgtoGg)</f>
        <v>1.6525077177354268</v>
      </c>
      <c r="AZ16" s="27">
        <f>IF(('Activity data'!AZ17*EF!$H16)*kgtoGg=0,"NO",('Activity data'!AZ17*EF!$H16)*kgtoGg)</f>
        <v>1.6834189005947389</v>
      </c>
      <c r="BA16" s="27">
        <f>IF(('Activity data'!BA17*EF!$H16)*kgtoGg=0,"NO",('Activity data'!BA17*EF!$H16)*kgtoGg)</f>
        <v>1.7001060999840301</v>
      </c>
      <c r="BB16" s="27">
        <f>IF(('Activity data'!BB17*EF!$H16)*kgtoGg=0,"NO",('Activity data'!BB17*EF!$H16)*kgtoGg)</f>
        <v>1.714680678931171</v>
      </c>
      <c r="BC16" s="27">
        <f>IF(('Activity data'!BC17*EF!$H16)*kgtoGg=0,"NO",('Activity data'!BC17*EF!$H16)*kgtoGg)</f>
        <v>1.7329967482102966</v>
      </c>
      <c r="BD16" s="27">
        <f>IF(('Activity data'!BD17*EF!$H16)*kgtoGg=0,"NO",('Activity data'!BD17*EF!$H16)*kgtoGg)</f>
        <v>1.7488990397133231</v>
      </c>
      <c r="BE16" s="27">
        <f>IF(('Activity data'!BE17*EF!$H16)*kgtoGg=0,"NO",('Activity data'!BE17*EF!$H16)*kgtoGg)</f>
        <v>1.7664947607476369</v>
      </c>
      <c r="BF16" s="27">
        <f>IF(('Activity data'!BF17*EF!$H16)*kgtoGg=0,"NO",('Activity data'!BF17*EF!$H16)*kgtoGg)</f>
        <v>1.7836580054040596</v>
      </c>
      <c r="BG16" s="27">
        <f>IF(('Activity data'!BG17*EF!$H16)*kgtoGg=0,"NO",('Activity data'!BG17*EF!$H16)*kgtoGg)</f>
        <v>1.8067654920152938</v>
      </c>
      <c r="BH16" s="27">
        <f>IF(('Activity data'!BH17*EF!$H16)*kgtoGg=0,"NO",('Activity data'!BH17*EF!$H16)*kgtoGg)</f>
        <v>1.8268312610518465</v>
      </c>
      <c r="BI16" s="27">
        <f>IF(('Activity data'!BI17*EF!$H16)*kgtoGg=0,"NO",('Activity data'!BI17*EF!$H16)*kgtoGg)</f>
        <v>1.8468791974694727</v>
      </c>
      <c r="BJ16" s="27">
        <f>IF(('Activity data'!BJ17*EF!$H16)*kgtoGg=0,"NO",('Activity data'!BJ17*EF!$H16)*kgtoGg)</f>
        <v>1.8676391522371276</v>
      </c>
      <c r="BK16" s="27">
        <f>IF(('Activity data'!BK17*EF!$H16)*kgtoGg=0,"NO",('Activity data'!BK17*EF!$H16)*kgtoGg)</f>
        <v>1.8893444874946981</v>
      </c>
      <c r="BL16" s="27">
        <f>IF(('Activity data'!BL17*EF!$H16)*kgtoGg=0,"NO",('Activity data'!BL17*EF!$H16)*kgtoGg)</f>
        <v>1.9176308190810374</v>
      </c>
      <c r="BM16" s="27">
        <f>IF(('Activity data'!BM17*EF!$H16)*kgtoGg=0,"NO",('Activity data'!BM17*EF!$H16)*kgtoGg)</f>
        <v>1.9263908565050327</v>
      </c>
      <c r="BN16" s="27">
        <f>IF(('Activity data'!BN17*EF!$H16)*kgtoGg=0,"NO",('Activity data'!BN17*EF!$H16)*kgtoGg)</f>
        <v>1.9333876275197814</v>
      </c>
      <c r="BO16" s="27">
        <f>IF(('Activity data'!BO17*EF!$H16)*kgtoGg=0,"NO",('Activity data'!BO17*EF!$H16)*kgtoGg)</f>
        <v>1.9406033255753634</v>
      </c>
      <c r="BP16" s="27">
        <f>IF(('Activity data'!BP17*EF!$H16)*kgtoGg=0,"NO",('Activity data'!BP17*EF!$H16)*kgtoGg)</f>
        <v>1.947207220691618</v>
      </c>
    </row>
    <row r="17" spans="1:68" x14ac:dyDescent="0.2">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0.25496723934882609</v>
      </c>
      <c r="AE17" s="27">
        <f>IF(('Activity data'!AE18*EF!$H17)*kgtoGg=0,"NO",('Activity data'!AE18*EF!$H17)*kgtoGg)</f>
        <v>0.25358132281546897</v>
      </c>
      <c r="AF17" s="27">
        <f>IF(('Activity data'!AF18*EF!$H17)*kgtoGg=0,"NO",('Activity data'!AF18*EF!$H17)*kgtoGg)</f>
        <v>0.25369507454499346</v>
      </c>
      <c r="AG17" s="27">
        <f>IF(('Activity data'!AG18*EF!$H17)*kgtoGg=0,"NO",('Activity data'!AG18*EF!$H17)*kgtoGg)</f>
        <v>0.25136595935447842</v>
      </c>
      <c r="AH17" s="27">
        <f>IF(('Activity data'!AH18*EF!$H17)*kgtoGg=0,"NO",('Activity data'!AH18*EF!$H17)*kgtoGg)</f>
        <v>0.24756197704412711</v>
      </c>
      <c r="AI17" s="27">
        <f>IF(('Activity data'!AI18*EF!$H17)*kgtoGg=0,"NO",('Activity data'!AI18*EF!$H17)*kgtoGg)</f>
        <v>0.2423439383043785</v>
      </c>
      <c r="AJ17" s="27">
        <f>IF(('Activity data'!AJ18*EF!$H17)*kgtoGg=0,"NO",('Activity data'!AJ18*EF!$H17)*kgtoGg)</f>
        <v>0.23855506351363703</v>
      </c>
      <c r="AK17" s="27">
        <f>IF(('Activity data'!AK18*EF!$H17)*kgtoGg=0,"NO",('Activity data'!AK18*EF!$H17)*kgtoGg)</f>
        <v>0.23510145332951488</v>
      </c>
      <c r="AL17" s="27">
        <f>IF(('Activity data'!AL18*EF!$H17)*kgtoGg=0,"NO",('Activity data'!AL18*EF!$H17)*kgtoGg)</f>
        <v>0.20947396507239346</v>
      </c>
      <c r="AM17" s="27">
        <f>IF(('Activity data'!AM18*EF!$H17)*kgtoGg=0,"NO",('Activity data'!AM18*EF!$H17)*kgtoGg)</f>
        <v>0.21274453194695842</v>
      </c>
      <c r="AN17" s="27">
        <f>IF(('Activity data'!AN18*EF!$H17)*kgtoGg=0,"NO",('Activity data'!AN18*EF!$H17)*kgtoGg)</f>
        <v>0.21413357173271183</v>
      </c>
      <c r="AO17" s="27">
        <f>IF(('Activity data'!AO18*EF!$H17)*kgtoGg=0,"NO",('Activity data'!AO18*EF!$H17)*kgtoGg)</f>
        <v>0.21504835852271614</v>
      </c>
      <c r="AP17" s="27">
        <f>IF(('Activity data'!AP18*EF!$H17)*kgtoGg=0,"NO",('Activity data'!AP18*EF!$H17)*kgtoGg)</f>
        <v>0.21674224792605687</v>
      </c>
      <c r="AQ17" s="27">
        <f>IF(('Activity data'!AQ18*EF!$H17)*kgtoGg=0,"NO",('Activity data'!AQ18*EF!$H17)*kgtoGg)</f>
        <v>0.21800386814268849</v>
      </c>
      <c r="AR17" s="27">
        <f>IF(('Activity data'!AR18*EF!$H17)*kgtoGg=0,"NO",('Activity data'!AR18*EF!$H17)*kgtoGg)</f>
        <v>0.21866563474821746</v>
      </c>
      <c r="AS17" s="27">
        <f>IF(('Activity data'!AS18*EF!$H17)*kgtoGg=0,"NO",('Activity data'!AS18*EF!$H17)*kgtoGg)</f>
        <v>0.21907109543578676</v>
      </c>
      <c r="AT17" s="27">
        <f>IF(('Activity data'!AT18*EF!$H17)*kgtoGg=0,"NO",('Activity data'!AT18*EF!$H17)*kgtoGg)</f>
        <v>0.21912609669855451</v>
      </c>
      <c r="AU17" s="27">
        <f>IF(('Activity data'!AU18*EF!$H17)*kgtoGg=0,"NO",('Activity data'!AU18*EF!$H17)*kgtoGg)</f>
        <v>0.22039855766438188</v>
      </c>
      <c r="AV17" s="27">
        <f>IF(('Activity data'!AV18*EF!$H17)*kgtoGg=0,"NO",('Activity data'!AV18*EF!$H17)*kgtoGg)</f>
        <v>0.22151004446445585</v>
      </c>
      <c r="AW17" s="27">
        <f>IF(('Activity data'!AW18*EF!$H17)*kgtoGg=0,"NO",('Activity data'!AW18*EF!$H17)*kgtoGg)</f>
        <v>0.22310927152845497</v>
      </c>
      <c r="AX17" s="27">
        <f>IF(('Activity data'!AX18*EF!$H17)*kgtoGg=0,"NO",('Activity data'!AX18*EF!$H17)*kgtoGg)</f>
        <v>0.22581066827611573</v>
      </c>
      <c r="AY17" s="27">
        <f>IF(('Activity data'!AY18*EF!$H17)*kgtoGg=0,"NO",('Activity data'!AY18*EF!$H17)*kgtoGg)</f>
        <v>0.22897415414993735</v>
      </c>
      <c r="AZ17" s="27">
        <f>IF(('Activity data'!AZ18*EF!$H17)*kgtoGg=0,"NO",('Activity data'!AZ18*EF!$H17)*kgtoGg)</f>
        <v>0.23325725786741008</v>
      </c>
      <c r="BA17" s="27">
        <f>IF(('Activity data'!BA18*EF!$H17)*kgtoGg=0,"NO",('Activity data'!BA18*EF!$H17)*kgtoGg)</f>
        <v>0.2355694633259906</v>
      </c>
      <c r="BB17" s="27">
        <f>IF(('Activity data'!BB18*EF!$H17)*kgtoGg=0,"NO",('Activity data'!BB18*EF!$H17)*kgtoGg)</f>
        <v>0.23758894066379471</v>
      </c>
      <c r="BC17" s="27">
        <f>IF(('Activity data'!BC18*EF!$H17)*kgtoGg=0,"NO",('Activity data'!BC18*EF!$H17)*kgtoGg)</f>
        <v>0.24012684498068754</v>
      </c>
      <c r="BD17" s="27">
        <f>IF(('Activity data'!BD18*EF!$H17)*kgtoGg=0,"NO",('Activity data'!BD18*EF!$H17)*kgtoGg)</f>
        <v>0.24233029232733053</v>
      </c>
      <c r="BE17" s="27">
        <f>IF(('Activity data'!BE18*EF!$H17)*kgtoGg=0,"NO",('Activity data'!BE18*EF!$H17)*kgtoGg)</f>
        <v>0.24476838402109372</v>
      </c>
      <c r="BF17" s="27">
        <f>IF(('Activity data'!BF18*EF!$H17)*kgtoGg=0,"NO",('Activity data'!BF18*EF!$H17)*kgtoGg)</f>
        <v>0.2471465510853047</v>
      </c>
      <c r="BG17" s="27">
        <f>IF(('Activity data'!BG18*EF!$H17)*kgtoGg=0,"NO",('Activity data'!BG18*EF!$H17)*kgtoGg)</f>
        <v>0.25034836197220872</v>
      </c>
      <c r="BH17" s="27">
        <f>IF(('Activity data'!BH18*EF!$H17)*kgtoGg=0,"NO",('Activity data'!BH18*EF!$H17)*kgtoGg)</f>
        <v>0.25312870753017624</v>
      </c>
      <c r="BI17" s="27">
        <f>IF(('Activity data'!BI18*EF!$H17)*kgtoGg=0,"NO",('Activity data'!BI18*EF!$H17)*kgtoGg)</f>
        <v>0.25590658217149315</v>
      </c>
      <c r="BJ17" s="27">
        <f>IF(('Activity data'!BJ18*EF!$H17)*kgtoGg=0,"NO",('Activity data'!BJ18*EF!$H17)*kgtoGg)</f>
        <v>0.25878311523218522</v>
      </c>
      <c r="BK17" s="27">
        <f>IF(('Activity data'!BK18*EF!$H17)*kgtoGg=0,"NO",('Activity data'!BK18*EF!$H17)*kgtoGg)</f>
        <v>0.26179064174949174</v>
      </c>
      <c r="BL17" s="27">
        <f>IF(('Activity data'!BL18*EF!$H17)*kgtoGg=0,"NO",('Activity data'!BL18*EF!$H17)*kgtoGg)</f>
        <v>0.26571004181006297</v>
      </c>
      <c r="BM17" s="27">
        <f>IF(('Activity data'!BM18*EF!$H17)*kgtoGg=0,"NO",('Activity data'!BM18*EF!$H17)*kgtoGg)</f>
        <v>0.26692384682770609</v>
      </c>
      <c r="BN17" s="27">
        <f>IF(('Activity data'!BN18*EF!$H17)*kgtoGg=0,"NO",('Activity data'!BN18*EF!$H17)*kgtoGg)</f>
        <v>0.26789333078695698</v>
      </c>
      <c r="BO17" s="27">
        <f>IF(('Activity data'!BO18*EF!$H17)*kgtoGg=0,"NO",('Activity data'!BO18*EF!$H17)*kgtoGg)</f>
        <v>0.26889314963267008</v>
      </c>
      <c r="BP17" s="27">
        <f>IF(('Activity data'!BP18*EF!$H17)*kgtoGg=0,"NO",('Activity data'!BP18*EF!$H17)*kgtoGg)</f>
        <v>0.26980819606913181</v>
      </c>
    </row>
    <row r="18" spans="1:68" x14ac:dyDescent="0.2">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7.3924283487896005</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7.5131092090175455</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7.5825135825669046</v>
      </c>
      <c r="AL18" s="27">
        <f>IF(('Activity data'!AL5*EF!$H18)*kgtoGg=0,"NO",('Activity data'!AL5*EF!$H18)*kgtoGg)</f>
        <v>7.3749406226465846</v>
      </c>
      <c r="AM18" s="27">
        <f>IF(('Activity data'!AM5*EF!$H18)*kgtoGg=0,"NO",('Activity data'!AM5*EF!$H18)*kgtoGg)</f>
        <v>7.4596947338228921</v>
      </c>
      <c r="AN18" s="27">
        <f>IF(('Activity data'!AN5*EF!$H18)*kgtoGg=0,"NO",('Activity data'!AN5*EF!$H18)*kgtoGg)</f>
        <v>7.5261085209621994</v>
      </c>
      <c r="AO18" s="27">
        <f>IF(('Activity data'!AO5*EF!$H18)*kgtoGg=0,"NO",('Activity data'!AO5*EF!$H18)*kgtoGg)</f>
        <v>7.5890282866946253</v>
      </c>
      <c r="AP18" s="27">
        <f>IF(('Activity data'!AP5*EF!$H18)*kgtoGg=0,"NO",('Activity data'!AP5*EF!$H18)*kgtoGg)</f>
        <v>7.6625876396153867</v>
      </c>
      <c r="AQ18" s="27">
        <f>IF(('Activity data'!AQ5*EF!$H18)*kgtoGg=0,"NO",('Activity data'!AQ5*EF!$H18)*kgtoGg)</f>
        <v>7.733033452737752</v>
      </c>
      <c r="AR18" s="27">
        <f>IF(('Activity data'!AR5*EF!$H18)*kgtoGg=0,"NO",('Activity data'!AR5*EF!$H18)*kgtoGg)</f>
        <v>7.7921158726045912</v>
      </c>
      <c r="AS18" s="27">
        <f>IF(('Activity data'!AS5*EF!$H18)*kgtoGg=0,"NO",('Activity data'!AS5*EF!$H18)*kgtoGg)</f>
        <v>7.8495573007710338</v>
      </c>
      <c r="AT18" s="27">
        <f>IF(('Activity data'!AT5*EF!$H18)*kgtoGg=0,"NO",('Activity data'!AT5*EF!$H18)*kgtoGg)</f>
        <v>7.9040412638168576</v>
      </c>
      <c r="AU18" s="27">
        <f>IF(('Activity data'!AU5*EF!$H18)*kgtoGg=0,"NO",('Activity data'!AU5*EF!$H18)*kgtoGg)</f>
        <v>7.9749152148387106</v>
      </c>
      <c r="AV18" s="27">
        <f>IF(('Activity data'!AV5*EF!$H18)*kgtoGg=0,"NO",('Activity data'!AV5*EF!$H18)*kgtoGg)</f>
        <v>8.0454247210614032</v>
      </c>
      <c r="AW18" s="27">
        <f>IF(('Activity data'!AW5*EF!$H18)*kgtoGg=0,"NO",('Activity data'!AW5*EF!$H18)*kgtoGg)</f>
        <v>8.118986526852904</v>
      </c>
      <c r="AX18" s="27">
        <f>IF(('Activity data'!AX5*EF!$H18)*kgtoGg=0,"NO",('Activity data'!AX5*EF!$H18)*kgtoGg)</f>
        <v>8.2087302780498543</v>
      </c>
      <c r="AY18" s="27">
        <f>IF(('Activity data'!AY5*EF!$H18)*kgtoGg=0,"NO",('Activity data'!AY5*EF!$H18)*kgtoGg)</f>
        <v>8.3068407116005449</v>
      </c>
      <c r="AZ18" s="27">
        <f>IF(('Activity data'!AZ5*EF!$H18)*kgtoGg=0,"NO",('Activity data'!AZ5*EF!$H18)*kgtoGg)</f>
        <v>8.4224927361534156</v>
      </c>
      <c r="BA18" s="27">
        <f>IF(('Activity data'!BA5*EF!$H18)*kgtoGg=0,"NO",('Activity data'!BA5*EF!$H18)*kgtoGg)</f>
        <v>8.5140894306414712</v>
      </c>
      <c r="BB18" s="27">
        <f>IF(('Activity data'!BB5*EF!$H18)*kgtoGg=0,"NO",('Activity data'!BB5*EF!$H18)*kgtoGg)</f>
        <v>8.5991817671771109</v>
      </c>
      <c r="BC18" s="27">
        <f>IF(('Activity data'!BC5*EF!$H18)*kgtoGg=0,"NO",('Activity data'!BC5*EF!$H18)*kgtoGg)</f>
        <v>8.6936031201600006</v>
      </c>
      <c r="BD18" s="27">
        <f>IF(('Activity data'!BD5*EF!$H18)*kgtoGg=0,"NO",('Activity data'!BD5*EF!$H18)*kgtoGg)</f>
        <v>8.7854891773357977</v>
      </c>
      <c r="BE18" s="27">
        <f>IF(('Activity data'!BE5*EF!$H18)*kgtoGg=0,"NO",('Activity data'!BE5*EF!$H18)*kgtoGg)</f>
        <v>8.8829387927935777</v>
      </c>
      <c r="BF18" s="27">
        <f>IF(('Activity data'!BF5*EF!$H18)*kgtoGg=0,"NO",('Activity data'!BF5*EF!$H18)*kgtoGg)</f>
        <v>8.981789259815093</v>
      </c>
      <c r="BG18" s="27">
        <f>IF(('Activity data'!BG5*EF!$H18)*kgtoGg=0,"NO",('Activity data'!BG5*EF!$H18)*kgtoGg)</f>
        <v>9.0910335877436168</v>
      </c>
      <c r="BH18" s="27">
        <f>IF(('Activity data'!BH5*EF!$H18)*kgtoGg=0,"NO",('Activity data'!BH5*EF!$H18)*kgtoGg)</f>
        <v>9.1965466271076242</v>
      </c>
      <c r="BI18" s="27">
        <f>IF(('Activity data'!BI5*EF!$H18)*kgtoGg=0,"NO",('Activity data'!BI5*EF!$H18)*kgtoGg)</f>
        <v>9.3045679627692603</v>
      </c>
      <c r="BJ18" s="27">
        <f>IF(('Activity data'!BJ5*EF!$H18)*kgtoGg=0,"NO",('Activity data'!BJ5*EF!$H18)*kgtoGg)</f>
        <v>9.416735487095643</v>
      </c>
      <c r="BK18" s="27">
        <f>IF(('Activity data'!BK5*EF!$H18)*kgtoGg=0,"NO",('Activity data'!BK5*EF!$H18)*kgtoGg)</f>
        <v>9.5336904606360946</v>
      </c>
      <c r="BL18" s="27">
        <f>IF(('Activity data'!BL5*EF!$H18)*kgtoGg=0,"NO",('Activity data'!BL5*EF!$H18)*kgtoGg)</f>
        <v>9.6639189531179213</v>
      </c>
      <c r="BM18" s="27">
        <f>IF(('Activity data'!BM5*EF!$H18)*kgtoGg=0,"NO",('Activity data'!BM5*EF!$H18)*kgtoGg)</f>
        <v>9.7529871408715216</v>
      </c>
      <c r="BN18" s="27">
        <f>IF(('Activity data'!BN5*EF!$H18)*kgtoGg=0,"NO",('Activity data'!BN5*EF!$H18)*kgtoGg)</f>
        <v>9.8400068754522785</v>
      </c>
      <c r="BO18" s="27">
        <f>IF(('Activity data'!BO5*EF!$H18)*kgtoGg=0,"NO",('Activity data'!BO5*EF!$H18)*kgtoGg)</f>
        <v>9.9294924345892497</v>
      </c>
      <c r="BP18" s="27">
        <f>IF(('Activity data'!BP5*EF!$H18)*kgtoGg=0,"NO",('Activity data'!BP5*EF!$H18)*kgtoGg)</f>
        <v>10.019533761751701</v>
      </c>
    </row>
    <row r="19" spans="1:68" x14ac:dyDescent="0.2">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2.1061581299686476</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2.1405410097083362</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2.1603148348588084</v>
      </c>
      <c r="AL19" s="27">
        <f>IF(('Activity data'!AL6*EF!$H19)*kgtoGg=0,"NO",('Activity data'!AL6*EF!$H19)*kgtoGg)</f>
        <v>2.1011757459869611</v>
      </c>
      <c r="AM19" s="27">
        <f>IF(('Activity data'!AM6*EF!$H19)*kgtoGg=0,"NO",('Activity data'!AM6*EF!$H19)*kgtoGg)</f>
        <v>2.1253228261993073</v>
      </c>
      <c r="AN19" s="27">
        <f>IF(('Activity data'!AN6*EF!$H19)*kgtoGg=0,"NO",('Activity data'!AN6*EF!$H19)*kgtoGg)</f>
        <v>2.1442446109127653</v>
      </c>
      <c r="AO19" s="27">
        <f>IF(('Activity data'!AO6*EF!$H19)*kgtoGg=0,"NO",('Activity data'!AO6*EF!$H19)*kgtoGg)</f>
        <v>2.162170922793051</v>
      </c>
      <c r="AP19" s="27">
        <f>IF(('Activity data'!AP6*EF!$H19)*kgtoGg=0,"NO",('Activity data'!AP6*EF!$H19)*kgtoGg)</f>
        <v>2.1831285326445773</v>
      </c>
      <c r="AQ19" s="27">
        <f>IF(('Activity data'!AQ6*EF!$H19)*kgtoGg=0,"NO",('Activity data'!AQ6*EF!$H19)*kgtoGg)</f>
        <v>2.2031990717190912</v>
      </c>
      <c r="AR19" s="27">
        <f>IF(('Activity data'!AR6*EF!$H19)*kgtoGg=0,"NO",('Activity data'!AR6*EF!$H19)*kgtoGg)</f>
        <v>2.2200320950599446</v>
      </c>
      <c r="AS19" s="27">
        <f>IF(('Activity data'!AS6*EF!$H19)*kgtoGg=0,"NO",('Activity data'!AS6*EF!$H19)*kgtoGg)</f>
        <v>2.2363975875911741</v>
      </c>
      <c r="AT19" s="27">
        <f>IF(('Activity data'!AT6*EF!$H19)*kgtoGg=0,"NO",('Activity data'!AT6*EF!$H19)*kgtoGg)</f>
        <v>2.2519204761884857</v>
      </c>
      <c r="AU19" s="27">
        <f>IF(('Activity data'!AU6*EF!$H19)*kgtoGg=0,"NO",('Activity data'!AU6*EF!$H19)*kgtoGg)</f>
        <v>2.2721129949529209</v>
      </c>
      <c r="AV19" s="27">
        <f>IF(('Activity data'!AV6*EF!$H19)*kgtoGg=0,"NO",('Activity data'!AV6*EF!$H19)*kgtoGg)</f>
        <v>2.2922016806681249</v>
      </c>
      <c r="AW19" s="27">
        <f>IF(('Activity data'!AW6*EF!$H19)*kgtoGg=0,"NO",('Activity data'!AW6*EF!$H19)*kgtoGg)</f>
        <v>2.3131599893608721</v>
      </c>
      <c r="AX19" s="27">
        <f>IF(('Activity data'!AX6*EF!$H19)*kgtoGg=0,"NO",('Activity data'!AX6*EF!$H19)*kgtoGg)</f>
        <v>2.3387286553362805</v>
      </c>
      <c r="AY19" s="27">
        <f>IF(('Activity data'!AY6*EF!$H19)*kgtoGg=0,"NO",('Activity data'!AY6*EF!$H19)*kgtoGg)</f>
        <v>2.3666810516948278</v>
      </c>
      <c r="AZ19" s="27">
        <f>IF(('Activity data'!AZ6*EF!$H19)*kgtoGg=0,"NO",('Activity data'!AZ6*EF!$H19)*kgtoGg)</f>
        <v>2.3996311785363349</v>
      </c>
      <c r="BA19" s="27">
        <f>IF(('Activity data'!BA6*EF!$H19)*kgtoGg=0,"NO",('Activity data'!BA6*EF!$H19)*kgtoGg)</f>
        <v>2.4257277619149016</v>
      </c>
      <c r="BB19" s="27">
        <f>IF(('Activity data'!BB6*EF!$H19)*kgtoGg=0,"NO",('Activity data'!BB6*EF!$H19)*kgtoGg)</f>
        <v>2.4499712050619578</v>
      </c>
      <c r="BC19" s="27">
        <f>IF(('Activity data'!BC6*EF!$H19)*kgtoGg=0,"NO",('Activity data'!BC6*EF!$H19)*kgtoGg)</f>
        <v>2.4768725547733976</v>
      </c>
      <c r="BD19" s="27">
        <f>IF(('Activity data'!BD6*EF!$H19)*kgtoGg=0,"NO",('Activity data'!BD6*EF!$H19)*kgtoGg)</f>
        <v>2.5030515797460584</v>
      </c>
      <c r="BE19" s="27">
        <f>IF(('Activity data'!BE6*EF!$H19)*kgtoGg=0,"NO",('Activity data'!BE6*EF!$H19)*kgtoGg)</f>
        <v>2.5308157040871935</v>
      </c>
      <c r="BF19" s="27">
        <f>IF(('Activity data'!BF6*EF!$H19)*kgtoGg=0,"NO",('Activity data'!BF6*EF!$H19)*kgtoGg)</f>
        <v>2.5589789415168327</v>
      </c>
      <c r="BG19" s="27">
        <f>IF(('Activity data'!BG6*EF!$H19)*kgtoGg=0,"NO",('Activity data'!BG6*EF!$H19)*kgtoGg)</f>
        <v>2.5901034676621961</v>
      </c>
      <c r="BH19" s="27">
        <f>IF(('Activity data'!BH6*EF!$H19)*kgtoGg=0,"NO",('Activity data'!BH6*EF!$H19)*kgtoGg)</f>
        <v>2.6201649217864809</v>
      </c>
      <c r="BI19" s="27">
        <f>IF(('Activity data'!BI6*EF!$H19)*kgtoGg=0,"NO",('Activity data'!BI6*EF!$H19)*kgtoGg)</f>
        <v>2.6509410082873499</v>
      </c>
      <c r="BJ19" s="27">
        <f>IF(('Activity data'!BJ6*EF!$H19)*kgtoGg=0,"NO",('Activity data'!BJ6*EF!$H19)*kgtoGg)</f>
        <v>2.6828983749511943</v>
      </c>
      <c r="BK19" s="27">
        <f>IF(('Activity data'!BK6*EF!$H19)*kgtoGg=0,"NO",('Activity data'!BK6*EF!$H19)*kgtoGg)</f>
        <v>2.7162197217049746</v>
      </c>
      <c r="BL19" s="27">
        <f>IF(('Activity data'!BL6*EF!$H19)*kgtoGg=0,"NO",('Activity data'!BL6*EF!$H19)*kgtoGg)</f>
        <v>2.7533227932875448</v>
      </c>
      <c r="BM19" s="27">
        <f>IF(('Activity data'!BM6*EF!$H19)*kgtoGg=0,"NO",('Activity data'!BM6*EF!$H19)*kgtoGg)</f>
        <v>2.7786989861849074</v>
      </c>
      <c r="BN19" s="27">
        <f>IF(('Activity data'!BN6*EF!$H19)*kgtoGg=0,"NO",('Activity data'!BN6*EF!$H19)*kgtoGg)</f>
        <v>2.8034915594514418</v>
      </c>
      <c r="BO19" s="27">
        <f>IF(('Activity data'!BO6*EF!$H19)*kgtoGg=0,"NO",('Activity data'!BO6*EF!$H19)*kgtoGg)</f>
        <v>2.8289866645777546</v>
      </c>
      <c r="BP19" s="27">
        <f>IF(('Activity data'!BP6*EF!$H19)*kgtoGg=0,"NO",('Activity data'!BP6*EF!$H19)*kgtoGg)</f>
        <v>2.854640112171523</v>
      </c>
    </row>
    <row r="20" spans="1:68" x14ac:dyDescent="0.2">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0.43500213637199753</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0.44210351490980404</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0.44618756541973886</v>
      </c>
      <c r="AL20" s="27">
        <f>IF(('Activity data'!AL7*EF!$H20)*kgtoGg=0,"NO",('Activity data'!AL7*EF!$H20)*kgtoGg)</f>
        <v>0.43397308368814624</v>
      </c>
      <c r="AM20" s="27">
        <f>IF(('Activity data'!AM7*EF!$H20)*kgtoGg=0,"NO",('Activity data'!AM7*EF!$H20)*kgtoGg)</f>
        <v>0.43896037848337277</v>
      </c>
      <c r="AN20" s="27">
        <f>IF(('Activity data'!AN7*EF!$H20)*kgtoGg=0,"NO",('Activity data'!AN7*EF!$H20)*kgtoGg)</f>
        <v>0.4428684500840781</v>
      </c>
      <c r="AO20" s="27">
        <f>IF(('Activity data'!AO7*EF!$H20)*kgtoGg=0,"NO",('Activity data'!AO7*EF!$H20)*kgtoGg)</f>
        <v>0.44657091850477143</v>
      </c>
      <c r="AP20" s="27">
        <f>IF(('Activity data'!AP7*EF!$H20)*kgtoGg=0,"NO",('Activity data'!AP7*EF!$H20)*kgtoGg)</f>
        <v>0.45089946579138956</v>
      </c>
      <c r="AQ20" s="27">
        <f>IF(('Activity data'!AQ7*EF!$H20)*kgtoGg=0,"NO",('Activity data'!AQ7*EF!$H20)*kgtoGg)</f>
        <v>0.45504479906495582</v>
      </c>
      <c r="AR20" s="27">
        <f>IF(('Activity data'!AR7*EF!$H20)*kgtoGg=0,"NO",('Activity data'!AR7*EF!$H20)*kgtoGg)</f>
        <v>0.4585214616244665</v>
      </c>
      <c r="AS20" s="27">
        <f>IF(('Activity data'!AS7*EF!$H20)*kgtoGg=0,"NO",('Activity data'!AS7*EF!$H20)*kgtoGg)</f>
        <v>0.46190156120605425</v>
      </c>
      <c r="AT20" s="27">
        <f>IF(('Activity data'!AT7*EF!$H20)*kgtoGg=0,"NO",('Activity data'!AT7*EF!$H20)*kgtoGg)</f>
        <v>0.46510763087689888</v>
      </c>
      <c r="AU20" s="27">
        <f>IF(('Activity data'!AU7*EF!$H20)*kgtoGg=0,"NO",('Activity data'!AU7*EF!$H20)*kgtoGg)</f>
        <v>0.46927815761763869</v>
      </c>
      <c r="AV20" s="27">
        <f>IF(('Activity data'!AV7*EF!$H20)*kgtoGg=0,"NO",('Activity data'!AV7*EF!$H20)*kgtoGg)</f>
        <v>0.47342723886594434</v>
      </c>
      <c r="AW20" s="27">
        <f>IF(('Activity data'!AW7*EF!$H20)*kgtoGg=0,"NO",('Activity data'!AW7*EF!$H20)*kgtoGg)</f>
        <v>0.4777559304899795</v>
      </c>
      <c r="AX20" s="27">
        <f>IF(('Activity data'!AX7*EF!$H20)*kgtoGg=0,"NO",('Activity data'!AX7*EF!$H20)*kgtoGg)</f>
        <v>0.48303683706827621</v>
      </c>
      <c r="AY20" s="27">
        <f>IF(('Activity data'!AY7*EF!$H20)*kgtoGg=0,"NO",('Activity data'!AY7*EF!$H20)*kgtoGg)</f>
        <v>0.48881007506008173</v>
      </c>
      <c r="AZ20" s="27">
        <f>IF(('Activity data'!AZ7*EF!$H20)*kgtoGg=0,"NO",('Activity data'!AZ7*EF!$H20)*kgtoGg)</f>
        <v>0.49561553537468644</v>
      </c>
      <c r="BA20" s="27">
        <f>IF(('Activity data'!BA7*EF!$H20)*kgtoGg=0,"NO",('Activity data'!BA7*EF!$H20)*kgtoGg)</f>
        <v>0.50100547707002141</v>
      </c>
      <c r="BB20" s="27">
        <f>IF(('Activity data'!BB7*EF!$H20)*kgtoGg=0,"NO",('Activity data'!BB7*EF!$H20)*kgtoGg)</f>
        <v>0.50601267449357823</v>
      </c>
      <c r="BC20" s="27">
        <f>IF(('Activity data'!BC7*EF!$H20)*kgtoGg=0,"NO",('Activity data'!BC7*EF!$H20)*kgtoGg)</f>
        <v>0.51156883118915397</v>
      </c>
      <c r="BD20" s="27">
        <f>IF(('Activity data'!BD7*EF!$H20)*kgtoGg=0,"NO",('Activity data'!BD7*EF!$H20)*kgtoGg)</f>
        <v>0.51697580022400658</v>
      </c>
      <c r="BE20" s="27">
        <f>IF(('Activity data'!BE7*EF!$H20)*kgtoGg=0,"NO",('Activity data'!BE7*EF!$H20)*kgtoGg)</f>
        <v>0.52271015284978539</v>
      </c>
      <c r="BF20" s="27">
        <f>IF(('Activity data'!BF7*EF!$H20)*kgtoGg=0,"NO",('Activity data'!BF7*EF!$H20)*kgtoGg)</f>
        <v>0.52852693757963265</v>
      </c>
      <c r="BG20" s="27">
        <f>IF(('Activity data'!BG7*EF!$H20)*kgtoGg=0,"NO",('Activity data'!BG7*EF!$H20)*kgtoGg)</f>
        <v>0.5349553415888797</v>
      </c>
      <c r="BH20" s="27">
        <f>IF(('Activity data'!BH7*EF!$H20)*kgtoGg=0,"NO",('Activity data'!BH7*EF!$H20)*kgtoGg)</f>
        <v>0.54116418060264715</v>
      </c>
      <c r="BI20" s="27">
        <f>IF(('Activity data'!BI7*EF!$H20)*kgtoGg=0,"NO",('Activity data'!BI7*EF!$H20)*kgtoGg)</f>
        <v>0.54752061851039679</v>
      </c>
      <c r="BJ20" s="27">
        <f>IF(('Activity data'!BJ7*EF!$H20)*kgtoGg=0,"NO",('Activity data'!BJ7*EF!$H20)*kgtoGg)</f>
        <v>0.55412103591201056</v>
      </c>
      <c r="BK20" s="27">
        <f>IF(('Activity data'!BK7*EF!$H20)*kgtoGg=0,"NO",('Activity data'!BK7*EF!$H20)*kgtoGg)</f>
        <v>0.56100316732391087</v>
      </c>
      <c r="BL20" s="27">
        <f>IF(('Activity data'!BL7*EF!$H20)*kgtoGg=0,"NO",('Activity data'!BL7*EF!$H20)*kgtoGg)</f>
        <v>0.56866636942385063</v>
      </c>
      <c r="BM20" s="27">
        <f>IF(('Activity data'!BM7*EF!$H20)*kgtoGg=0,"NO",('Activity data'!BM7*EF!$H20)*kgtoGg)</f>
        <v>0.57390752295656533</v>
      </c>
      <c r="BN20" s="27">
        <f>IF(('Activity data'!BN7*EF!$H20)*kgtoGg=0,"NO",('Activity data'!BN7*EF!$H20)*kgtoGg)</f>
        <v>0.57902813673368103</v>
      </c>
      <c r="BO20" s="27">
        <f>IF(('Activity data'!BO7*EF!$H20)*kgtoGg=0,"NO",('Activity data'!BO7*EF!$H20)*kgtoGg)</f>
        <v>0.58429385018566193</v>
      </c>
      <c r="BP20" s="27">
        <f>IF(('Activity data'!BP7*EF!$H20)*kgtoGg=0,"NO",('Activity data'!BP7*EF!$H20)*kgtoGg)</f>
        <v>0.5895922674079066</v>
      </c>
    </row>
    <row r="21" spans="1:68" x14ac:dyDescent="0.2">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9.4871637196006553E-2</v>
      </c>
      <c r="AE21" s="27">
        <f>IF(('Activity data'!AE8*EF!$H21)*kgtoGg=0,"NO",('Activity data'!AE8*EF!$H21)*kgtoGg)</f>
        <v>9.4048845784615531E-2</v>
      </c>
      <c r="AF21" s="27">
        <f>IF(('Activity data'!AF8*EF!$H21)*kgtoGg=0,"NO",('Activity data'!AF8*EF!$H21)*kgtoGg)</f>
        <v>9.3735634002294246E-2</v>
      </c>
      <c r="AG21" s="27">
        <f>IF(('Activity data'!AG8*EF!$H21)*kgtoGg=0,"NO",('Activity data'!AG8*EF!$H21)*kgtoGg)</f>
        <v>9.2483917307495084E-2</v>
      </c>
      <c r="AH21" s="27">
        <f>IF(('Activity data'!AH8*EF!$H21)*kgtoGg=0,"NO",('Activity data'!AH8*EF!$H21)*kgtoGg)</f>
        <v>9.0667019955957398E-2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7.5194221843696937E-2</v>
      </c>
      <c r="AM21" s="27">
        <f>IF(('Activity data'!AM8*EF!$H21)*kgtoGg=0,"NO",('Activity data'!AM8*EF!$H21)*kgtoGg)</f>
        <v>7.6632536915557561E-2</v>
      </c>
      <c r="AN21" s="27">
        <f>IF(('Activity data'!AN8*EF!$H21)*kgtoGg=0,"NO",('Activity data'!AN8*EF!$H21)*kgtoGg)</f>
        <v>7.7401549005272907E-2</v>
      </c>
      <c r="AO21" s="27">
        <f>IF(('Activity data'!AO8*EF!$H21)*kgtoGg=0,"NO",('Activity data'!AO8*EF!$H21)*kgtoGg)</f>
        <v>7.7993527400119084E-2</v>
      </c>
      <c r="AP21" s="27">
        <f>IF(('Activity data'!AP8*EF!$H21)*kgtoGg=0,"NO",('Activity data'!AP8*EF!$H21)*kgtoGg)</f>
        <v>7.8850028173398812E-2</v>
      </c>
      <c r="AQ21" s="27">
        <f>IF(('Activity data'!AQ8*EF!$H21)*kgtoGg=0,"NO",('Activity data'!AQ8*EF!$H21)*kgtoGg)</f>
        <v>7.9545124288710786E-2</v>
      </c>
      <c r="AR21" s="27">
        <f>IF(('Activity data'!AR8*EF!$H21)*kgtoGg=0,"NO",('Activity data'!AR8*EF!$H21)*kgtoGg)</f>
        <v>7.9993221888415164E-2</v>
      </c>
      <c r="AS21" s="27">
        <f>IF(('Activity data'!AS8*EF!$H21)*kgtoGg=0,"NO",('Activity data'!AS8*EF!$H21)*kgtoGg)</f>
        <v>8.0342032341122221E-2</v>
      </c>
      <c r="AT21" s="27">
        <f>IF(('Activity data'!AT8*EF!$H21)*kgtoGg=0,"NO",('Activity data'!AT8*EF!$H21)*kgtoGg)</f>
        <v>8.0558218611879576E-2</v>
      </c>
      <c r="AU21" s="27">
        <f>IF(('Activity data'!AU8*EF!$H21)*kgtoGg=0,"NO",('Activity data'!AU8*EF!$H21)*kgtoGg)</f>
        <v>8.1198214942881639E-2</v>
      </c>
      <c r="AV21" s="27">
        <f>IF(('Activity data'!AV8*EF!$H21)*kgtoGg=0,"NO",('Activity data'!AV8*EF!$H21)*kgtoGg)</f>
        <v>8.1774057106542911E-2</v>
      </c>
      <c r="AW21" s="27">
        <f>IF(('Activity data'!AW8*EF!$H21)*kgtoGg=0,"NO",('Activity data'!AW8*EF!$H21)*kgtoGg)</f>
        <v>8.1803756887802739E-2</v>
      </c>
      <c r="AX21" s="27">
        <f>IF(('Activity data'!AX8*EF!$H21)*kgtoGg=0,"NO",('Activity data'!AX8*EF!$H21)*kgtoGg)</f>
        <v>8.2189518118440233E-2</v>
      </c>
      <c r="AY21" s="27">
        <f>IF(('Activity data'!AY8*EF!$H21)*kgtoGg=0,"NO",('Activity data'!AY8*EF!$H21)*kgtoGg)</f>
        <v>8.2699636683975147E-2</v>
      </c>
      <c r="AZ21" s="27">
        <f>IF(('Activity data'!AZ8*EF!$H21)*kgtoGg=0,"NO",('Activity data'!AZ8*EF!$H21)*kgtoGg)</f>
        <v>8.3556074547621109E-2</v>
      </c>
      <c r="BA21" s="27">
        <f>IF(('Activity data'!BA8*EF!$H21)*kgtoGg=0,"NO",('Activity data'!BA8*EF!$H21)*kgtoGg)</f>
        <v>8.3692861347297365E-2</v>
      </c>
      <c r="BB21" s="27">
        <f>IF(('Activity data'!BB8*EF!$H21)*kgtoGg=0,"NO",('Activity data'!BB8*EF!$H21)*kgtoGg)</f>
        <v>8.3678502694708126E-2</v>
      </c>
      <c r="BC21" s="27">
        <f>IF(('Activity data'!BC8*EF!$H21)*kgtoGg=0,"NO",('Activity data'!BC8*EF!$H21)*kgtoGg)</f>
        <v>8.380415826329729E-2</v>
      </c>
      <c r="BD21" s="27">
        <f>IF(('Activity data'!BD8*EF!$H21)*kgtoGg=0,"NO",('Activity data'!BD8*EF!$H21)*kgtoGg)</f>
        <v>8.3780965761712248E-2</v>
      </c>
      <c r="BE21" s="27">
        <f>IF(('Activity data'!BE8*EF!$H21)*kgtoGg=0,"NO",('Activity data'!BE8*EF!$H21)*kgtoGg)</f>
        <v>8.3798710851856847E-2</v>
      </c>
      <c r="BF21" s="27">
        <f>IF(('Activity data'!BF8*EF!$H21)*kgtoGg=0,"NO",('Activity data'!BF8*EF!$H21)*kgtoGg)</f>
        <v>8.3758438816059183E-2</v>
      </c>
      <c r="BG21" s="27">
        <f>IF(('Activity data'!BG8*EF!$H21)*kgtoGg=0,"NO",('Activity data'!BG8*EF!$H21)*kgtoGg)</f>
        <v>8.4359602001058728E-2</v>
      </c>
      <c r="BH21" s="27">
        <f>IF(('Activity data'!BH8*EF!$H21)*kgtoGg=0,"NO",('Activity data'!BH8*EF!$H21)*kgtoGg)</f>
        <v>8.4799386999346651E-2</v>
      </c>
      <c r="BI21" s="27">
        <f>IF(('Activity data'!BI8*EF!$H21)*kgtoGg=0,"NO",('Activity data'!BI8*EF!$H21)*kgtoGg)</f>
        <v>8.5213797519739967E-2</v>
      </c>
      <c r="BJ21" s="27">
        <f>IF(('Activity data'!BJ8*EF!$H21)*kgtoGg=0,"NO",('Activity data'!BJ8*EF!$H21)*kgtoGg)</f>
        <v>8.5634541045958551E-2</v>
      </c>
      <c r="BK21" s="27">
        <f>IF(('Activity data'!BK8*EF!$H21)*kgtoGg=0,"NO",('Activity data'!BK8*EF!$H21)*kgtoGg)</f>
        <v>8.6070741793779534E-2</v>
      </c>
      <c r="BL21" s="27">
        <f>IF(('Activity data'!BL8*EF!$H21)*kgtoGg=0,"NO",('Activity data'!BL8*EF!$H21)*kgtoGg)</f>
        <v>8.6754318409979284E-2</v>
      </c>
      <c r="BM21" s="27">
        <f>IF(('Activity data'!BM8*EF!$H21)*kgtoGg=0,"NO",('Activity data'!BM8*EF!$H21)*kgtoGg)</f>
        <v>8.6561782662480824E-2</v>
      </c>
      <c r="BN21" s="27">
        <f>IF(('Activity data'!BN8*EF!$H21)*kgtoGg=0,"NO",('Activity data'!BN8*EF!$H21)*kgtoGg)</f>
        <v>8.6273112387571071E-2</v>
      </c>
      <c r="BO21" s="27">
        <f>IF(('Activity data'!BO8*EF!$H21)*kgtoGg=0,"NO",('Activity data'!BO8*EF!$H21)*kgtoGg)</f>
        <v>8.5974128279328724E-2</v>
      </c>
      <c r="BP21" s="27">
        <f>IF(('Activity data'!BP8*EF!$H21)*kgtoGg=0,"NO",('Activity data'!BP8*EF!$H21)*kgtoGg)</f>
        <v>8.5629055859458861E-2</v>
      </c>
    </row>
    <row r="22" spans="1:68" x14ac:dyDescent="0.2">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6.9689449734106304E-2</v>
      </c>
      <c r="AE22" s="27">
        <f>IF(('Activity data'!AE9*EF!$H22)*kgtoGg=0,"NO",('Activity data'!AE9*EF!$H22)*kgtoGg)</f>
        <v>6.908505539244103E-2</v>
      </c>
      <c r="AF22" s="27">
        <f>IF(('Activity data'!AF9*EF!$H22)*kgtoGg=0,"NO",('Activity data'!AF9*EF!$H22)*kgtoGg)</f>
        <v>6.8854980763127793E-2</v>
      </c>
      <c r="AG22" s="27">
        <f>IF(('Activity data'!AG9*EF!$H22)*kgtoGg=0,"NO",('Activity data'!AG9*EF!$H22)*kgtoGg)</f>
        <v>6.7935512624264269E-2</v>
      </c>
      <c r="AH22" s="27">
        <f>IF(('Activity data'!AH9*EF!$H22)*kgtoGg=0,"NO",('Activity data'!AH9*EF!$H22)*kgtoGg)</f>
        <v>6.6600882165738284E-2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5.5235095528552075E-2</v>
      </c>
      <c r="AM22" s="27">
        <f>IF(('Activity data'!AM9*EF!$H22)*kgtoGg=0,"NO",('Activity data'!AM9*EF!$H22)*kgtoGg)</f>
        <v>5.629163243320303E-2</v>
      </c>
      <c r="AN22" s="27">
        <f>IF(('Activity data'!AN9*EF!$H22)*kgtoGg=0,"NO",('Activity data'!AN9*EF!$H22)*kgtoGg)</f>
        <v>5.6856522330279623E-2</v>
      </c>
      <c r="AO22" s="27">
        <f>IF(('Activity data'!AO9*EF!$H22)*kgtoGg=0,"NO",('Activity data'!AO9*EF!$H22)*kgtoGg)</f>
        <v>5.7291369348952612E-2</v>
      </c>
      <c r="AP22" s="27">
        <f>IF(('Activity data'!AP9*EF!$H22)*kgtoGg=0,"NO",('Activity data'!AP9*EF!$H22)*kgtoGg)</f>
        <v>5.7920525431327162E-2</v>
      </c>
      <c r="AQ22" s="27">
        <f>IF(('Activity data'!AQ9*EF!$H22)*kgtoGg=0,"NO",('Activity data'!AQ9*EF!$H22)*kgtoGg)</f>
        <v>5.8431119189589487E-2</v>
      </c>
      <c r="AR22" s="27">
        <f>IF(('Activity data'!AR9*EF!$H22)*kgtoGg=0,"NO",('Activity data'!AR9*EF!$H22)*kgtoGg)</f>
        <v>5.8760276312556113E-2</v>
      </c>
      <c r="AS22" s="27">
        <f>IF(('Activity data'!AS9*EF!$H22)*kgtoGg=0,"NO",('Activity data'!AS9*EF!$H22)*kgtoGg)</f>
        <v>5.9016500503780274E-2</v>
      </c>
      <c r="AT22" s="27">
        <f>IF(('Activity data'!AT9*EF!$H22)*kgtoGg=0,"NO",('Activity data'!AT9*EF!$H22)*kgtoGg)</f>
        <v>5.9175303521145986E-2</v>
      </c>
      <c r="AU22" s="27">
        <f>IF(('Activity data'!AU9*EF!$H22)*kgtoGg=0,"NO",('Activity data'!AU9*EF!$H22)*kgtoGg)</f>
        <v>5.9645422868272187E-2</v>
      </c>
      <c r="AV22" s="27">
        <f>IF(('Activity data'!AV9*EF!$H22)*kgtoGg=0,"NO",('Activity data'!AV9*EF!$H22)*kgtoGg)</f>
        <v>6.0068416765134525E-2</v>
      </c>
      <c r="AW22" s="27">
        <f>IF(('Activity data'!AW9*EF!$H22)*kgtoGg=0,"NO",('Activity data'!AW9*EF!$H22)*kgtoGg)</f>
        <v>6.0090233205478502E-2</v>
      </c>
      <c r="AX22" s="27">
        <f>IF(('Activity data'!AX9*EF!$H22)*kgtoGg=0,"NO",('Activity data'!AX9*EF!$H22)*kgtoGg)</f>
        <v>6.0373600170426478E-2</v>
      </c>
      <c r="AY22" s="27">
        <f>IF(('Activity data'!AY9*EF!$H22)*kgtoGg=0,"NO",('Activity data'!AY9*EF!$H22)*kgtoGg)</f>
        <v>6.0748315767015518E-2</v>
      </c>
      <c r="AZ22" s="27">
        <f>IF(('Activity data'!AZ9*EF!$H22)*kgtoGg=0,"NO",('Activity data'!AZ9*EF!$H22)*kgtoGg)</f>
        <v>6.1377425638131498E-2</v>
      </c>
      <c r="BA22" s="27">
        <f>IF(('Activity data'!BA9*EF!$H22)*kgtoGg=0,"NO",('Activity data'!BA9*EF!$H22)*kgtoGg)</f>
        <v>6.1477904528156692E-2</v>
      </c>
      <c r="BB22" s="27">
        <f>IF(('Activity data'!BB9*EF!$H22)*kgtoGg=0,"NO",('Activity data'!BB9*EF!$H22)*kgtoGg)</f>
        <v>6.1467357154595496E-2</v>
      </c>
      <c r="BC22" s="27">
        <f>IF(('Activity data'!BC9*EF!$H22)*kgtoGg=0,"NO",('Activity data'!BC9*EF!$H22)*kgtoGg)</f>
        <v>6.1559659424165428E-2</v>
      </c>
      <c r="BD22" s="27">
        <f>IF(('Activity data'!BD9*EF!$H22)*kgtoGg=0,"NO",('Activity data'!BD9*EF!$H22)*kgtoGg)</f>
        <v>6.1542623008212359E-2</v>
      </c>
      <c r="BE22" s="27">
        <f>IF(('Activity data'!BE9*EF!$H22)*kgtoGg=0,"NO",('Activity data'!BE9*EF!$H22)*kgtoGg)</f>
        <v>6.155565794261645E-2</v>
      </c>
      <c r="BF22" s="27">
        <f>IF(('Activity data'!BF9*EF!$H22)*kgtoGg=0,"NO",('Activity data'!BF9*EF!$H22)*kgtoGg)</f>
        <v>6.1526075486812389E-2</v>
      </c>
      <c r="BG22" s="27">
        <f>IF(('Activity data'!BG9*EF!$H22)*kgtoGg=0,"NO",('Activity data'!BG9*EF!$H22)*kgtoGg)</f>
        <v>6.1967669337211172E-2</v>
      </c>
      <c r="BH22" s="27">
        <f>IF(('Activity data'!BH9*EF!$H22)*kgtoGg=0,"NO",('Activity data'!BH9*EF!$H22)*kgtoGg)</f>
        <v>6.2290720308374216E-2</v>
      </c>
      <c r="BI22" s="27">
        <f>IF(('Activity data'!BI9*EF!$H22)*kgtoGg=0,"NO",('Activity data'!BI9*EF!$H22)*kgtoGg)</f>
        <v>6.2595132058648639E-2</v>
      </c>
      <c r="BJ22" s="27">
        <f>IF(('Activity data'!BJ9*EF!$H22)*kgtoGg=0,"NO",('Activity data'!BJ9*EF!$H22)*kgtoGg)</f>
        <v>6.2904195817723246E-2</v>
      </c>
      <c r="BK22" s="27">
        <f>IF(('Activity data'!BK9*EF!$H22)*kgtoGg=0,"NO",('Activity data'!BK9*EF!$H22)*kgtoGg)</f>
        <v>6.3224613921465334E-2</v>
      </c>
      <c r="BL22" s="27">
        <f>IF(('Activity data'!BL9*EF!$H22)*kgtoGg=0,"NO",('Activity data'!BL9*EF!$H22)*kgtoGg)</f>
        <v>6.3726745850902156E-2</v>
      </c>
      <c r="BM22" s="27">
        <f>IF(('Activity data'!BM9*EF!$H22)*kgtoGg=0,"NO",('Activity data'!BM9*EF!$H22)*kgtoGg)</f>
        <v>6.3585315696496877E-2</v>
      </c>
      <c r="BN22" s="27">
        <f>IF(('Activity data'!BN9*EF!$H22)*kgtoGg=0,"NO",('Activity data'!BN9*EF!$H22)*kgtoGg)</f>
        <v>6.3373268416533846E-2</v>
      </c>
      <c r="BO22" s="27">
        <f>IF(('Activity data'!BO9*EF!$H22)*kgtoGg=0,"NO",('Activity data'!BO9*EF!$H22)*kgtoGg)</f>
        <v>6.3153644948461887E-2</v>
      </c>
      <c r="BP22" s="27">
        <f>IF(('Activity data'!BP9*EF!$H22)*kgtoGg=0,"NO",('Activity data'!BP9*EF!$H22)*kgtoGg)</f>
        <v>6.2900166587911782E-2</v>
      </c>
    </row>
    <row r="23" spans="1:68" x14ac:dyDescent="0.2">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0.48695387967725956</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0.53070826286138573</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0.51624279949509155</v>
      </c>
      <c r="AM23" s="27">
        <f>IF(('Activity data'!AM10*EF!$H23)*kgtoGg=0,"NO",('Activity data'!AM10*EF!$H23)*kgtoGg)</f>
        <v>0.53879307932677856</v>
      </c>
      <c r="AN23" s="27">
        <f>IF(('Activity data'!AN10*EF!$H23)*kgtoGg=0,"NO",('Activity data'!AN10*EF!$H23)*kgtoGg)</f>
        <v>0.55713109899852753</v>
      </c>
      <c r="AO23" s="27">
        <f>IF(('Activity data'!AO10*EF!$H23)*kgtoGg=0,"NO",('Activity data'!AO10*EF!$H23)*kgtoGg)</f>
        <v>0.57456229359809852</v>
      </c>
      <c r="AP23" s="27">
        <f>IF(('Activity data'!AP10*EF!$H23)*kgtoGg=0,"NO",('Activity data'!AP10*EF!$H23)*kgtoGg)</f>
        <v>0.59433872658918863</v>
      </c>
      <c r="AQ23" s="27">
        <f>IF(('Activity data'!AQ10*EF!$H23)*kgtoGg=0,"NO",('Activity data'!AQ10*EF!$H23)*kgtoGg)</f>
        <v>0.61332693480888556</v>
      </c>
      <c r="AR23" s="27">
        <f>IF(('Activity data'!AR10*EF!$H23)*kgtoGg=0,"NO",('Activity data'!AR10*EF!$H23)*kgtoGg)</f>
        <v>0.63078242094770143</v>
      </c>
      <c r="AS23" s="27">
        <f>IF(('Activity data'!AS10*EF!$H23)*kgtoGg=0,"NO",('Activity data'!AS10*EF!$H23)*kgtoGg)</f>
        <v>0.64777903840881934</v>
      </c>
      <c r="AT23" s="27">
        <f>IF(('Activity data'!AT10*EF!$H23)*kgtoGg=0,"NO",('Activity data'!AT10*EF!$H23)*kgtoGg)</f>
        <v>0.66400113500174907</v>
      </c>
      <c r="AU23" s="27">
        <f>IF(('Activity data'!AU10*EF!$H23)*kgtoGg=0,"NO",('Activity data'!AU10*EF!$H23)*kgtoGg)</f>
        <v>0.68407603128870909</v>
      </c>
      <c r="AV23" s="27">
        <f>IF(('Activity data'!AV10*EF!$H23)*kgtoGg=0,"NO",('Activity data'!AV10*EF!$H23)*kgtoGg)</f>
        <v>0.70404867201485544</v>
      </c>
      <c r="AW23" s="27">
        <f>IF(('Activity data'!AW10*EF!$H23)*kgtoGg=0,"NO",('Activity data'!AW10*EF!$H23)*kgtoGg)</f>
        <v>0.72766101903000513</v>
      </c>
      <c r="AX23" s="27">
        <f>IF(('Activity data'!AX10*EF!$H23)*kgtoGg=0,"NO",('Activity data'!AX10*EF!$H23)*kgtoGg)</f>
        <v>0.75538392864169213</v>
      </c>
      <c r="AY23" s="27">
        <f>IF(('Activity data'!AY10*EF!$H23)*kgtoGg=0,"NO",('Activity data'!AY10*EF!$H23)*kgtoGg)</f>
        <v>0.78539118200338776</v>
      </c>
      <c r="AZ23" s="27">
        <f>IF(('Activity data'!AZ10*EF!$H23)*kgtoGg=0,"NO",('Activity data'!AZ10*EF!$H23)*kgtoGg)</f>
        <v>0.8200419216488164</v>
      </c>
      <c r="BA23" s="27">
        <f>IF(('Activity data'!BA10*EF!$H23)*kgtoGg=0,"NO",('Activity data'!BA10*EF!$H23)*kgtoGg)</f>
        <v>0.8489366901406914</v>
      </c>
      <c r="BB23" s="27">
        <f>IF(('Activity data'!BB10*EF!$H23)*kgtoGg=0,"NO",('Activity data'!BB10*EF!$H23)*kgtoGg)</f>
        <v>0.87738791798686844</v>
      </c>
      <c r="BC23" s="27">
        <f>IF(('Activity data'!BC10*EF!$H23)*kgtoGg=0,"NO",('Activity data'!BC10*EF!$H23)*kgtoGg)</f>
        <v>0.90845821020325546</v>
      </c>
      <c r="BD23" s="27">
        <f>IF(('Activity data'!BD10*EF!$H23)*kgtoGg=0,"NO",('Activity data'!BD10*EF!$H23)*kgtoGg)</f>
        <v>0.93913064377113187</v>
      </c>
      <c r="BE23" s="27">
        <f>IF(('Activity data'!BE10*EF!$H23)*kgtoGg=0,"NO",('Activity data'!BE10*EF!$H23)*kgtoGg)</f>
        <v>0.97151128715932467</v>
      </c>
      <c r="BF23" s="27">
        <f>IF(('Activity data'!BF10*EF!$H23)*kgtoGg=0,"NO",('Activity data'!BF10*EF!$H23)*kgtoGg)</f>
        <v>1.0045387395175103</v>
      </c>
      <c r="BG23" s="27">
        <f>IF(('Activity data'!BG10*EF!$H23)*kgtoGg=0,"NO",('Activity data'!BG10*EF!$H23)*kgtoGg)</f>
        <v>1.0402953867873999</v>
      </c>
      <c r="BH23" s="27">
        <f>IF(('Activity data'!BH10*EF!$H23)*kgtoGg=0,"NO",('Activity data'!BH10*EF!$H23)*kgtoGg)</f>
        <v>1.0753258690752492</v>
      </c>
      <c r="BI23" s="27">
        <f>IF(('Activity data'!BI10*EF!$H23)*kgtoGg=0,"NO",('Activity data'!BI10*EF!$H23)*kgtoGg)</f>
        <v>1.1112943424505797</v>
      </c>
      <c r="BJ23" s="27">
        <f>IF(('Activity data'!BJ10*EF!$H23)*kgtoGg=0,"NO",('Activity data'!BJ10*EF!$H23)*kgtoGg)</f>
        <v>1.1486611306142331</v>
      </c>
      <c r="BK23" s="27">
        <f>IF(('Activity data'!BK10*EF!$H23)*kgtoGg=0,"NO",('Activity data'!BK10*EF!$H23)*kgtoGg)</f>
        <v>1.1876258937828315</v>
      </c>
      <c r="BL23" s="27">
        <f>IF(('Activity data'!BL10*EF!$H23)*kgtoGg=0,"NO",('Activity data'!BL10*EF!$H23)*kgtoGg)</f>
        <v>1.2315704356820807</v>
      </c>
      <c r="BM23" s="27">
        <f>IF(('Activity data'!BM10*EF!$H23)*kgtoGg=0,"NO",('Activity data'!BM10*EF!$H23)*kgtoGg)</f>
        <v>1.2644650423303223</v>
      </c>
      <c r="BN23" s="27">
        <f>IF(('Activity data'!BN10*EF!$H23)*kgtoGg=0,"NO",('Activity data'!BN10*EF!$H23)*kgtoGg)</f>
        <v>1.2970080883934705</v>
      </c>
      <c r="BO23" s="27">
        <f>IF(('Activity data'!BO10*EF!$H23)*kgtoGg=0,"NO",('Activity data'!BO10*EF!$H23)*kgtoGg)</f>
        <v>1.3304588860507658</v>
      </c>
      <c r="BP23" s="27">
        <f>IF(('Activity data'!BP10*EF!$H23)*kgtoGg=0,"NO",('Activity data'!BP10*EF!$H23)*kgtoGg)</f>
        <v>1.3642912097880298</v>
      </c>
    </row>
    <row r="24" spans="1:68" x14ac:dyDescent="0.2">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3.6781380176720842E-2</v>
      </c>
      <c r="AM24" s="27">
        <f>IF(('Activity data'!AM11*EF!$H24)*kgtoGg=0,"NO",('Activity data'!AM11*EF!$H24)*kgtoGg)</f>
        <v>3.6837395233082854E-2</v>
      </c>
      <c r="AN24" s="27">
        <f>IF(('Activity data'!AN11*EF!$H24)*kgtoGg=0,"NO",('Activity data'!AN11*EF!$H24)*kgtoGg)</f>
        <v>3.6900705652170011E-2</v>
      </c>
      <c r="AO24" s="27">
        <f>IF(('Activity data'!AO11*EF!$H24)*kgtoGg=0,"NO",('Activity data'!AO11*EF!$H24)*kgtoGg)</f>
        <v>3.6972125402225033E-2</v>
      </c>
      <c r="AP24" s="27">
        <f>IF(('Activity data'!AP11*EF!$H24)*kgtoGg=0,"NO",('Activity data'!AP11*EF!$H24)*kgtoGg)</f>
        <v>3.7052467371172147E-2</v>
      </c>
      <c r="AQ24" s="27">
        <f>IF(('Activity data'!AQ11*EF!$H24)*kgtoGg=0,"NO",('Activity data'!AQ11*EF!$H24)*kgtoGg)</f>
        <v>3.7140056258746688E-2</v>
      </c>
      <c r="AR24" s="27">
        <f>IF(('Activity data'!AR11*EF!$H24)*kgtoGg=0,"NO",('Activity data'!AR11*EF!$H24)*kgtoGg)</f>
        <v>3.7193327101982677E-2</v>
      </c>
      <c r="AS24" s="27">
        <f>IF(('Activity data'!AS11*EF!$H24)*kgtoGg=0,"NO",('Activity data'!AS11*EF!$H24)*kgtoGg)</f>
        <v>3.725282757032642E-2</v>
      </c>
      <c r="AT24" s="27">
        <f>IF(('Activity data'!AT11*EF!$H24)*kgtoGg=0,"NO",('Activity data'!AT11*EF!$H24)*kgtoGg)</f>
        <v>3.7318121191736012E-2</v>
      </c>
      <c r="AU24" s="27">
        <f>IF(('Activity data'!AU11*EF!$H24)*kgtoGg=0,"NO",('Activity data'!AU11*EF!$H24)*kgtoGg)</f>
        <v>3.7390686259807883E-2</v>
      </c>
      <c r="AV24" s="27">
        <f>IF(('Activity data'!AV11*EF!$H24)*kgtoGg=0,"NO",('Activity data'!AV11*EF!$H24)*kgtoGg)</f>
        <v>3.7468739847843706E-2</v>
      </c>
      <c r="AW24" s="27">
        <f>IF(('Activity data'!AW11*EF!$H24)*kgtoGg=0,"NO",('Activity data'!AW11*EF!$H24)*kgtoGg)</f>
        <v>3.751974247344389E-2</v>
      </c>
      <c r="AX24" s="27">
        <f>IF(('Activity data'!AX11*EF!$H24)*kgtoGg=0,"NO",('Activity data'!AX11*EF!$H24)*kgtoGg)</f>
        <v>3.7576993148623769E-2</v>
      </c>
      <c r="AY24" s="27">
        <f>IF(('Activity data'!AY11*EF!$H24)*kgtoGg=0,"NO",('Activity data'!AY11*EF!$H24)*kgtoGg)</f>
        <v>3.7639577283476555E-2</v>
      </c>
      <c r="AZ24" s="27">
        <f>IF(('Activity data'!AZ11*EF!$H24)*kgtoGg=0,"NO",('Activity data'!AZ11*EF!$H24)*kgtoGg)</f>
        <v>3.7708144828082185E-2</v>
      </c>
      <c r="BA24" s="27">
        <f>IF(('Activity data'!BA11*EF!$H24)*kgtoGg=0,"NO",('Activity data'!BA11*EF!$H24)*kgtoGg)</f>
        <v>3.7778741786852331E-2</v>
      </c>
      <c r="BB24" s="27">
        <f>IF(('Activity data'!BB11*EF!$H24)*kgtoGg=0,"NO",('Activity data'!BB11*EF!$H24)*kgtoGg)</f>
        <v>3.7822008909384815E-2</v>
      </c>
      <c r="BC24" s="27">
        <f>IF(('Activity data'!BC11*EF!$H24)*kgtoGg=0,"NO",('Activity data'!BC11*EF!$H24)*kgtoGg)</f>
        <v>3.7869806060801224E-2</v>
      </c>
      <c r="BD24" s="27">
        <f>IF(('Activity data'!BD11*EF!$H24)*kgtoGg=0,"NO",('Activity data'!BD11*EF!$H24)*kgtoGg)</f>
        <v>3.7920914851450743E-2</v>
      </c>
      <c r="BE24" s="27">
        <f>IF(('Activity data'!BE11*EF!$H24)*kgtoGg=0,"NO",('Activity data'!BE11*EF!$H24)*kgtoGg)</f>
        <v>3.7975943332366417E-2</v>
      </c>
      <c r="BF24" s="27">
        <f>IF(('Activity data'!BF11*EF!$H24)*kgtoGg=0,"NO",('Activity data'!BF11*EF!$H24)*kgtoGg)</f>
        <v>3.8034394238678673E-2</v>
      </c>
      <c r="BG24" s="27">
        <f>IF(('Activity data'!BG11*EF!$H24)*kgtoGg=0,"NO",('Activity data'!BG11*EF!$H24)*kgtoGg)</f>
        <v>3.8068290997096535E-2</v>
      </c>
      <c r="BH24" s="27">
        <f>IF(('Activity data'!BH11*EF!$H24)*kgtoGg=0,"NO",('Activity data'!BH11*EF!$H24)*kgtoGg)</f>
        <v>3.8104751343434065E-2</v>
      </c>
      <c r="BI24" s="27">
        <f>IF(('Activity data'!BI11*EF!$H24)*kgtoGg=0,"NO",('Activity data'!BI11*EF!$H24)*kgtoGg)</f>
        <v>3.8144241244256513E-2</v>
      </c>
      <c r="BJ24" s="27">
        <f>IF(('Activity data'!BJ11*EF!$H24)*kgtoGg=0,"NO",('Activity data'!BJ11*EF!$H24)*kgtoGg)</f>
        <v>3.8186815214812375E-2</v>
      </c>
      <c r="BK24" s="27">
        <f>IF(('Activity data'!BK11*EF!$H24)*kgtoGg=0,"NO",('Activity data'!BK11*EF!$H24)*kgtoGg)</f>
        <v>3.8232443493664919E-2</v>
      </c>
      <c r="BL24" s="27">
        <f>IF(('Activity data'!BL11*EF!$H24)*kgtoGg=0,"NO",('Activity data'!BL11*EF!$H24)*kgtoGg)</f>
        <v>3.825284618540576E-2</v>
      </c>
      <c r="BM24" s="27">
        <f>IF(('Activity data'!BM11*EF!$H24)*kgtoGg=0,"NO",('Activity data'!BM11*EF!$H24)*kgtoGg)</f>
        <v>3.8271836221950122E-2</v>
      </c>
      <c r="BN24" s="27">
        <f>IF(('Activity data'!BN11*EF!$H24)*kgtoGg=0,"NO",('Activity data'!BN11*EF!$H24)*kgtoGg)</f>
        <v>3.8292888607538426E-2</v>
      </c>
      <c r="BO24" s="27">
        <f>IF(('Activity data'!BO11*EF!$H24)*kgtoGg=0,"NO",('Activity data'!BO11*EF!$H24)*kgtoGg)</f>
        <v>3.8316340791445545E-2</v>
      </c>
      <c r="BP24" s="27">
        <f>IF(('Activity data'!BP11*EF!$H24)*kgtoGg=0,"NO",('Activity data'!BP11*EF!$H24)*kgtoGg)</f>
        <v>3.8341951349881082E-2</v>
      </c>
    </row>
    <row r="25" spans="1:68" x14ac:dyDescent="0.2">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4.2006089356439562E-3</v>
      </c>
      <c r="AM25" s="27">
        <f>IF(('Activity data'!AM12*EF!$H25)*kgtoGg=0,"NO",('Activity data'!AM12*EF!$H25)*kgtoGg)</f>
        <v>4.2070061220778072E-3</v>
      </c>
      <c r="AN25" s="27">
        <f>IF(('Activity data'!AN12*EF!$H25)*kgtoGg=0,"NO",('Activity data'!AN12*EF!$H25)*kgtoGg)</f>
        <v>4.2142364737084185E-3</v>
      </c>
      <c r="AO25" s="27">
        <f>IF(('Activity data'!AO12*EF!$H25)*kgtoGg=0,"NO",('Activity data'!AO12*EF!$H25)*kgtoGg)</f>
        <v>4.2223929495889085E-3</v>
      </c>
      <c r="AP25" s="27">
        <f>IF(('Activity data'!AP12*EF!$H25)*kgtoGg=0,"NO",('Activity data'!AP12*EF!$H25)*kgtoGg)</f>
        <v>4.2315683853948781E-3</v>
      </c>
      <c r="AQ25" s="27">
        <f>IF(('Activity data'!AQ12*EF!$H25)*kgtoGg=0,"NO",('Activity data'!AQ12*EF!$H25)*kgtoGg)</f>
        <v>4.2415714538507386E-3</v>
      </c>
      <c r="AR25" s="27">
        <f>IF(('Activity data'!AR12*EF!$H25)*kgtoGg=0,"NO",('Activity data'!AR12*EF!$H25)*kgtoGg)</f>
        <v>4.2476552380652311E-3</v>
      </c>
      <c r="AS25" s="27">
        <f>IF(('Activity data'!AS12*EF!$H25)*kgtoGg=0,"NO",('Activity data'!AS12*EF!$H25)*kgtoGg)</f>
        <v>4.2544504751607076E-3</v>
      </c>
      <c r="AT25" s="27">
        <f>IF(('Activity data'!AT12*EF!$H25)*kgtoGg=0,"NO",('Activity data'!AT12*EF!$H25)*kgtoGg)</f>
        <v>4.261907317949531E-3</v>
      </c>
      <c r="AU25" s="27">
        <f>IF(('Activity data'!AU12*EF!$H25)*kgtoGg=0,"NO",('Activity data'!AU12*EF!$H25)*kgtoGg)</f>
        <v>4.2701945946067351E-3</v>
      </c>
      <c r="AV25" s="27">
        <f>IF(('Activity data'!AV12*EF!$H25)*kgtoGg=0,"NO",('Activity data'!AV12*EF!$H25)*kgtoGg)</f>
        <v>4.2791086864050034E-3</v>
      </c>
      <c r="AW25" s="27">
        <f>IF(('Activity data'!AW12*EF!$H25)*kgtoGg=0,"NO",('Activity data'!AW12*EF!$H25)*kgtoGg)</f>
        <v>4.284933429353965E-3</v>
      </c>
      <c r="AX25" s="27">
        <f>IF(('Activity data'!AX12*EF!$H25)*kgtoGg=0,"NO",('Activity data'!AX12*EF!$H25)*kgtoGg)</f>
        <v>4.2914717293464286E-3</v>
      </c>
      <c r="AY25" s="27">
        <f>IF(('Activity data'!AY12*EF!$H25)*kgtoGg=0,"NO",('Activity data'!AY12*EF!$H25)*kgtoGg)</f>
        <v>4.2986191358556219E-3</v>
      </c>
      <c r="AZ25" s="27">
        <f>IF(('Activity data'!AZ12*EF!$H25)*kgtoGg=0,"NO",('Activity data'!AZ12*EF!$H25)*kgtoGg)</f>
        <v>4.3064498762786759E-3</v>
      </c>
      <c r="BA25" s="27">
        <f>IF(('Activity data'!BA12*EF!$H25)*kgtoGg=0,"NO",('Activity data'!BA12*EF!$H25)*kgtoGg)</f>
        <v>4.3145123854725761E-3</v>
      </c>
      <c r="BB25" s="27">
        <f>IF(('Activity data'!BB12*EF!$H25)*kgtoGg=0,"NO",('Activity data'!BB12*EF!$H25)*kgtoGg)</f>
        <v>4.3194536970997174E-3</v>
      </c>
      <c r="BC25" s="27">
        <f>IF(('Activity data'!BC12*EF!$H25)*kgtoGg=0,"NO",('Activity data'!BC12*EF!$H25)*kgtoGg)</f>
        <v>4.3249123596179112E-3</v>
      </c>
      <c r="BD25" s="27">
        <f>IF(('Activity data'!BD12*EF!$H25)*kgtoGg=0,"NO",('Activity data'!BD12*EF!$H25)*kgtoGg)</f>
        <v>4.3307492271215465E-3</v>
      </c>
      <c r="BE25" s="27">
        <f>IF(('Activity data'!BE12*EF!$H25)*kgtoGg=0,"NO",('Activity data'!BE12*EF!$H25)*kgtoGg)</f>
        <v>4.3370337419368866E-3</v>
      </c>
      <c r="BF25" s="27">
        <f>IF(('Activity data'!BF12*EF!$H25)*kgtoGg=0,"NO",('Activity data'!BF12*EF!$H25)*kgtoGg)</f>
        <v>4.3437091140456031E-3</v>
      </c>
      <c r="BG25" s="27">
        <f>IF(('Activity data'!BG12*EF!$H25)*kgtoGg=0,"NO",('Activity data'!BG12*EF!$H25)*kgtoGg)</f>
        <v>4.3475802854267562E-3</v>
      </c>
      <c r="BH25" s="27">
        <f>IF(('Activity data'!BH12*EF!$H25)*kgtoGg=0,"NO",('Activity data'!BH12*EF!$H25)*kgtoGg)</f>
        <v>4.3517442307677472E-3</v>
      </c>
      <c r="BI25" s="27">
        <f>IF(('Activity data'!BI12*EF!$H25)*kgtoGg=0,"NO",('Activity data'!BI12*EF!$H25)*kgtoGg)</f>
        <v>4.3562541656713728E-3</v>
      </c>
      <c r="BJ25" s="27">
        <f>IF(('Activity data'!BJ12*EF!$H25)*kgtoGg=0,"NO",('Activity data'!BJ12*EF!$H25)*kgtoGg)</f>
        <v>4.3611163160388556E-3</v>
      </c>
      <c r="BK25" s="27">
        <f>IF(('Activity data'!BK12*EF!$H25)*kgtoGg=0,"NO",('Activity data'!BK12*EF!$H25)*kgtoGg)</f>
        <v>4.3663272829722651E-3</v>
      </c>
      <c r="BL25" s="27">
        <f>IF(('Activity data'!BL12*EF!$H25)*kgtoGg=0,"NO",('Activity data'!BL12*EF!$H25)*kgtoGg)</f>
        <v>4.3686573676190608E-3</v>
      </c>
      <c r="BM25" s="27">
        <f>IF(('Activity data'!BM12*EF!$H25)*kgtoGg=0,"NO",('Activity data'!BM12*EF!$H25)*kgtoGg)</f>
        <v>4.3708261203089602E-3</v>
      </c>
      <c r="BN25" s="27">
        <f>IF(('Activity data'!BN12*EF!$H25)*kgtoGg=0,"NO",('Activity data'!BN12*EF!$H25)*kgtoGg)</f>
        <v>4.3732304030899213E-3</v>
      </c>
      <c r="BO25" s="27">
        <f>IF(('Activity data'!BO12*EF!$H25)*kgtoGg=0,"NO",('Activity data'!BO12*EF!$H25)*kgtoGg)</f>
        <v>4.3759087542775948E-3</v>
      </c>
      <c r="BP25" s="27">
        <f>IF(('Activity data'!BP12*EF!$H25)*kgtoGg=0,"NO",('Activity data'!BP12*EF!$H25)*kgtoGg)</f>
        <v>4.3788336021243655E-3</v>
      </c>
    </row>
    <row r="26" spans="1:68" x14ac:dyDescent="0.2">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1.5789672763163298E-2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1.5956318300360574E-2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1.623065478441902E-2</v>
      </c>
      <c r="AK26" s="27">
        <f>IF(('Activity data'!AK13*EF!$H26)*kgtoGg=0,"NO",('Activity data'!AK13*EF!$H26)*kgtoGg)</f>
        <v>1.6337439810579345E-2</v>
      </c>
      <c r="AL26" s="27">
        <f>IF(('Activity data'!AL13*EF!$H26)*kgtoGg=0,"NO",('Activity data'!AL13*EF!$H26)*kgtoGg)</f>
        <v>1.643554333202487E-2</v>
      </c>
      <c r="AM26" s="27">
        <f>IF(('Activity data'!AM13*EF!$H26)*kgtoGg=0,"NO",('Activity data'!AM13*EF!$H26)*kgtoGg)</f>
        <v>1.6483301762184554E-2</v>
      </c>
      <c r="AN26" s="27">
        <f>IF(('Activity data'!AN13*EF!$H26)*kgtoGg=0,"NO",('Activity data'!AN13*EF!$H26)*kgtoGg)</f>
        <v>1.6534634024242746E-2</v>
      </c>
      <c r="AO26" s="27">
        <f>IF(('Activity data'!AO13*EF!$H26)*kgtoGg=0,"NO",('Activity data'!AO13*EF!$H26)*kgtoGg)</f>
        <v>1.6590167866284391E-2</v>
      </c>
      <c r="AP26" s="27">
        <f>IF(('Activity data'!AP13*EF!$H26)*kgtoGg=0,"NO",('Activity data'!AP13*EF!$H26)*kgtoGg)</f>
        <v>1.6650513034667372E-2</v>
      </c>
      <c r="AQ26" s="27">
        <f>IF(('Activity data'!AQ13*EF!$H26)*kgtoGg=0,"NO",('Activity data'!AQ13*EF!$H26)*kgtoGg)</f>
        <v>1.6714595783630822E-2</v>
      </c>
      <c r="AR26" s="27">
        <f>IF(('Activity data'!AR13*EF!$H26)*kgtoGg=0,"NO",('Activity data'!AR13*EF!$H26)*kgtoGg)</f>
        <v>1.675465761621437E-2</v>
      </c>
      <c r="AS26" s="27">
        <f>IF(('Activity data'!AS13*EF!$H26)*kgtoGg=0,"NO",('Activity data'!AS13*EF!$H26)*kgtoGg)</f>
        <v>1.6797993910304499E-2</v>
      </c>
      <c r="AT26" s="27">
        <f>IF(('Activity data'!AT13*EF!$H26)*kgtoGg=0,"NO",('Activity data'!AT13*EF!$H26)*kgtoGg)</f>
        <v>1.6844349786289844E-2</v>
      </c>
      <c r="AU26" s="27">
        <f>IF(('Activity data'!AU13*EF!$H26)*kgtoGg=0,"NO",('Activity data'!AU13*EF!$H26)*kgtoGg)</f>
        <v>1.6894740217603017E-2</v>
      </c>
      <c r="AV26" s="27">
        <f>IF(('Activity data'!AV13*EF!$H26)*kgtoGg=0,"NO",('Activity data'!AV13*EF!$H26)*kgtoGg)</f>
        <v>1.6948004409300596E-2</v>
      </c>
      <c r="AW26" s="27">
        <f>IF(('Activity data'!AW13*EF!$H26)*kgtoGg=0,"NO",('Activity data'!AW13*EF!$H26)*kgtoGg)</f>
        <v>1.6982631842965532E-2</v>
      </c>
      <c r="AX26" s="27">
        <f>IF(('Activity data'!AX13*EF!$H26)*kgtoGg=0,"NO",('Activity data'!AX13*EF!$H26)*kgtoGg)</f>
        <v>1.7020769407942386E-2</v>
      </c>
      <c r="AY26" s="27">
        <f>IF(('Activity data'!AY13*EF!$H26)*kgtoGg=0,"NO",('Activity data'!AY13*EF!$H26)*kgtoGg)</f>
        <v>1.706182735565186E-2</v>
      </c>
      <c r="AZ26" s="27">
        <f>IF(('Activity data'!AZ13*EF!$H26)*kgtoGg=0,"NO",('Activity data'!AZ13*EF!$H26)*kgtoGg)</f>
        <v>1.7106247534338585E-2</v>
      </c>
      <c r="BA26" s="27">
        <f>IF(('Activity data'!BA13*EF!$H26)*kgtoGg=0,"NO",('Activity data'!BA13*EF!$H26)*kgtoGg)</f>
        <v>1.7151443283113514E-2</v>
      </c>
      <c r="BB26" s="27">
        <f>IF(('Activity data'!BB13*EF!$H26)*kgtoGg=0,"NO",('Activity data'!BB13*EF!$H26)*kgtoGg)</f>
        <v>1.7178196369350997E-2</v>
      </c>
      <c r="BC26" s="27">
        <f>IF(('Activity data'!BC13*EF!$H26)*kgtoGg=0,"NO",('Activity data'!BC13*EF!$H26)*kgtoGg)</f>
        <v>1.7207475551738096E-2</v>
      </c>
      <c r="BD26" s="27">
        <f>IF(('Activity data'!BD13*EF!$H26)*kgtoGg=0,"NO",('Activity data'!BD13*EF!$H26)*kgtoGg)</f>
        <v>1.7238492794342867E-2</v>
      </c>
      <c r="BE26" s="27">
        <f>IF(('Activity data'!BE13*EF!$H26)*kgtoGg=0,"NO",('Activity data'!BE13*EF!$H26)*kgtoGg)</f>
        <v>1.7271654863993541E-2</v>
      </c>
      <c r="BF26" s="27">
        <f>IF(('Activity data'!BF13*EF!$H26)*kgtoGg=0,"NO",('Activity data'!BF13*EF!$H26)*kgtoGg)</f>
        <v>1.7306645282033659E-2</v>
      </c>
      <c r="BG26" s="27">
        <f>IF(('Activity data'!BG13*EF!$H26)*kgtoGg=0,"NO",('Activity data'!BG13*EF!$H26)*kgtoGg)</f>
        <v>1.7325303131063272E-2</v>
      </c>
      <c r="BH26" s="27">
        <f>IF(('Activity data'!BH13*EF!$H26)*kgtoGg=0,"NO",('Activity data'!BH13*EF!$H26)*kgtoGg)</f>
        <v>1.7345310027733502E-2</v>
      </c>
      <c r="BI26" s="27">
        <f>IF(('Activity data'!BI13*EF!$H26)*kgtoGg=0,"NO",('Activity data'!BI13*EF!$H26)*kgtoGg)</f>
        <v>1.73669746106416E-2</v>
      </c>
      <c r="BJ26" s="27">
        <f>IF(('Activity data'!BJ13*EF!$H26)*kgtoGg=0,"NO",('Activity data'!BJ13*EF!$H26)*kgtoGg)</f>
        <v>1.7390336782594662E-2</v>
      </c>
      <c r="BK26" s="27">
        <f>IF(('Activity data'!BK13*EF!$H26)*kgtoGg=0,"NO",('Activity data'!BK13*EF!$H26)*kgtoGg)</f>
        <v>1.7415381119938025E-2</v>
      </c>
      <c r="BL26" s="27">
        <f>IF(('Activity data'!BL13*EF!$H26)*kgtoGg=0,"NO",('Activity data'!BL13*EF!$H26)*kgtoGg)</f>
        <v>1.7423900612777786E-2</v>
      </c>
      <c r="BM26" s="27">
        <f>IF(('Activity data'!BM13*EF!$H26)*kgtoGg=0,"NO",('Activity data'!BM13*EF!$H26)*kgtoGg)</f>
        <v>1.7431295916305947E-2</v>
      </c>
      <c r="BN26" s="27">
        <f>IF(('Activity data'!BN13*EF!$H26)*kgtoGg=0,"NO",('Activity data'!BN13*EF!$H26)*kgtoGg)</f>
        <v>1.7439812218621446E-2</v>
      </c>
      <c r="BO26" s="27">
        <f>IF(('Activity data'!BO13*EF!$H26)*kgtoGg=0,"NO",('Activity data'!BO13*EF!$H26)*kgtoGg)</f>
        <v>1.7449669082955088E-2</v>
      </c>
      <c r="BP26" s="27">
        <f>IF(('Activity data'!BP13*EF!$H26)*kgtoGg=0,"NO",('Activity data'!BP13*EF!$H26)*kgtoGg)</f>
        <v>1.7460713883303017E-2</v>
      </c>
    </row>
    <row r="27" spans="1:68" x14ac:dyDescent="0.2">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2.6592218800664796E-2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2.6872875319249701E-2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2.7334899828466049E-2</v>
      </c>
      <c r="AK27" s="27">
        <f>IF(('Activity data'!AK14*EF!$H27)*kgtoGg=0,"NO",('Activity data'!AK14*EF!$H27)*kgtoGg)</f>
        <v>2.7514742110372921E-2</v>
      </c>
      <c r="AL27" s="27">
        <f>IF(('Activity data'!AL14*EF!$H27)*kgtoGg=0,"NO",('Activity data'!AL14*EF!$H27)*kgtoGg)</f>
        <v>2.7679963413342622E-2</v>
      </c>
      <c r="AM27" s="27">
        <f>IF(('Activity data'!AM14*EF!$H27)*kgtoGg=0,"NO",('Activity data'!AM14*EF!$H27)*kgtoGg)</f>
        <v>2.7760395898767241E-2</v>
      </c>
      <c r="AN27" s="27">
        <f>IF(('Activity data'!AN14*EF!$H27)*kgtoGg=0,"NO",('Activity data'!AN14*EF!$H27)*kgtoGg)</f>
        <v>2.7846847262557959E-2</v>
      </c>
      <c r="AO27" s="27">
        <f>IF(('Activity data'!AO14*EF!$H27)*kgtoGg=0,"NO",('Activity data'!AO14*EF!$H27)*kgtoGg)</f>
        <v>2.7940374728298613E-2</v>
      </c>
      <c r="AP27" s="27">
        <f>IF(('Activity data'!AP14*EF!$H27)*kgtoGg=0,"NO",('Activity data'!AP14*EF!$H27)*kgtoGg)</f>
        <v>2.8042005201917224E-2</v>
      </c>
      <c r="AQ27" s="27">
        <f>IF(('Activity data'!AQ14*EF!$H27)*kgtoGg=0,"NO",('Activity data'!AQ14*EF!$H27)*kgtoGg)</f>
        <v>2.8149930331674167E-2</v>
      </c>
      <c r="AR27" s="27">
        <f>IF(('Activity data'!AR14*EF!$H27)*kgtoGg=0,"NO",('Activity data'!AR14*EF!$H27)*kgtoGg)</f>
        <v>2.8217400572102636E-2</v>
      </c>
      <c r="AS27" s="27">
        <f>IF(('Activity data'!AS14*EF!$H27)*kgtoGg=0,"NO",('Activity data'!AS14*EF!$H27)*kgtoGg)</f>
        <v>2.8290385505466368E-2</v>
      </c>
      <c r="AT27" s="27">
        <f>IF(('Activity data'!AT14*EF!$H27)*kgtoGg=0,"NO",('Activity data'!AT14*EF!$H27)*kgtoGg)</f>
        <v>2.8368455875599344E-2</v>
      </c>
      <c r="AU27" s="27">
        <f>IF(('Activity data'!AU14*EF!$H27)*kgtoGg=0,"NO",('Activity data'!AU14*EF!$H27)*kgtoGg)</f>
        <v>2.8453321052670396E-2</v>
      </c>
      <c r="AV27" s="27">
        <f>IF(('Activity data'!AV14*EF!$H27)*kgtoGg=0,"NO",('Activity data'!AV14*EF!$H27)*kgtoGg)</f>
        <v>2.8543026080830765E-2</v>
      </c>
      <c r="AW27" s="27">
        <f>IF(('Activity data'!AW14*EF!$H27)*kgtoGg=0,"NO",('Activity data'!AW14*EF!$H27)*kgtoGg)</f>
        <v>2.8601343964065915E-2</v>
      </c>
      <c r="AX27" s="27">
        <f>IF(('Activity data'!AX14*EF!$H27)*kgtoGg=0,"NO",('Activity data'!AX14*EF!$H27)*kgtoGg)</f>
        <v>2.8665573444157176E-2</v>
      </c>
      <c r="AY27" s="27">
        <f>IF(('Activity data'!AY14*EF!$H27)*kgtoGg=0,"NO",('Activity data'!AY14*EF!$H27)*kgtoGg)</f>
        <v>2.87347212944878E-2</v>
      </c>
      <c r="AZ27" s="27">
        <f>IF(('Activity data'!AZ14*EF!$H27)*kgtoGg=0,"NO",('Activity data'!AZ14*EF!$H27)*kgtoGg)</f>
        <v>2.8809531654937933E-2</v>
      </c>
      <c r="BA27" s="27">
        <f>IF(('Activity data'!BA14*EF!$H27)*kgtoGg=0,"NO",('Activity data'!BA14*EF!$H27)*kgtoGg)</f>
        <v>2.8885648193786462E-2</v>
      </c>
      <c r="BB27" s="27">
        <f>IF(('Activity data'!BB14*EF!$H27)*kgtoGg=0,"NO",('Activity data'!BB14*EF!$H27)*kgtoGg)</f>
        <v>2.8930704474147112E-2</v>
      </c>
      <c r="BC27" s="27">
        <f>IF(('Activity data'!BC14*EF!$H27)*kgtoGg=0,"NO",('Activity data'!BC14*EF!$H27)*kgtoGg)</f>
        <v>2.8980015085964157E-2</v>
      </c>
      <c r="BD27" s="27">
        <f>IF(('Activity data'!BD14*EF!$H27)*kgtoGg=0,"NO",('Activity data'!BD14*EF!$H27)*kgtoGg)</f>
        <v>2.9032252856455738E-2</v>
      </c>
      <c r="BE27" s="27">
        <f>IF(('Activity data'!BE14*EF!$H27)*kgtoGg=0,"NO",('Activity data'!BE14*EF!$H27)*kgtoGg)</f>
        <v>2.9088102843042599E-2</v>
      </c>
      <c r="BF27" s="27">
        <f>IF(('Activity data'!BF14*EF!$H27)*kgtoGg=0,"NO",('Activity data'!BF14*EF!$H27)*kgtoGg)</f>
        <v>2.914703204736533E-2</v>
      </c>
      <c r="BG27" s="27">
        <f>IF(('Activity data'!BG14*EF!$H27)*kgtoGg=0,"NO",('Activity data'!BG14*EF!$H27)*kgtoGg)</f>
        <v>2.9178454712748408E-2</v>
      </c>
      <c r="BH27" s="27">
        <f>IF(('Activity data'!BH14*EF!$H27)*kgtoGg=0,"NO",('Activity data'!BH14*EF!$H27)*kgtoGg)</f>
        <v>2.9212149380254012E-2</v>
      </c>
      <c r="BI27" s="27">
        <f>IF(('Activity data'!BI14*EF!$H27)*kgtoGg=0,"NO",('Activity data'!BI14*EF!$H27)*kgtoGg)</f>
        <v>2.9248635844385265E-2</v>
      </c>
      <c r="BJ27" s="27">
        <f>IF(('Activity data'!BJ14*EF!$H27)*kgtoGg=0,"NO",('Activity data'!BJ14*EF!$H27)*kgtoGg)</f>
        <v>2.9287981307559392E-2</v>
      </c>
      <c r="BK27" s="27">
        <f>IF(('Activity data'!BK14*EF!$H27)*kgtoGg=0,"NO",('Activity data'!BK14*EF!$H27)*kgtoGg)</f>
        <v>2.9330159793987943E-2</v>
      </c>
      <c r="BL27" s="27">
        <f>IF(('Activity data'!BL14*EF!$H27)*kgtoGg=0,"NO",('Activity data'!BL14*EF!$H27)*kgtoGg)</f>
        <v>2.9344507920200803E-2</v>
      </c>
      <c r="BM27" s="27">
        <f>IF(('Activity data'!BM14*EF!$H27)*kgtoGg=0,"NO",('Activity data'!BM14*EF!$H27)*kgtoGg)</f>
        <v>2.9356962740035762E-2</v>
      </c>
      <c r="BN27" s="27">
        <f>IF(('Activity data'!BN14*EF!$H27)*kgtoGg=0,"NO",('Activity data'!BN14*EF!$H27)*kgtoGg)</f>
        <v>2.9371305492918821E-2</v>
      </c>
      <c r="BO27" s="27">
        <f>IF(('Activity data'!BO14*EF!$H27)*kgtoGg=0,"NO",('Activity data'!BO14*EF!$H27)*kgtoGg)</f>
        <v>2.9387905956841046E-2</v>
      </c>
      <c r="BP27" s="27">
        <f>IF(('Activity data'!BP14*EF!$H27)*kgtoGg=0,"NO",('Activity data'!BP14*EF!$H27)*kgtoGg)</f>
        <v>2.9406507086317708E-2</v>
      </c>
    </row>
    <row r="28" spans="1:68" x14ac:dyDescent="0.2">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4.1336182129460544E-3</v>
      </c>
      <c r="AE28" s="27">
        <f>IF(('Activity data'!AE15*EF!$H28)*kgtoGg=0,"NO",('Activity data'!AE15*EF!$H28)*kgtoGg)</f>
        <v>4.1536453250924079E-3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4.1812329246154597E-3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3.9117464794758833E-3</v>
      </c>
      <c r="AM28" s="27">
        <f>IF(('Activity data'!AM15*EF!$H28)*kgtoGg=0,"NO",('Activity data'!AM15*EF!$H28)*kgtoGg)</f>
        <v>3.9662100660725645E-3</v>
      </c>
      <c r="AN28" s="27">
        <f>IF(('Activity data'!AN15*EF!$H28)*kgtoGg=0,"NO",('Activity data'!AN15*EF!$H28)*kgtoGg)</f>
        <v>4.0029759542347092E-3</v>
      </c>
      <c r="AO28" s="27">
        <f>IF(('Activity data'!AO15*EF!$H28)*kgtoGg=0,"NO",('Activity data'!AO15*EF!$H28)*kgtoGg)</f>
        <v>4.034929903088018E-3</v>
      </c>
      <c r="AP28" s="27">
        <f>IF(('Activity data'!AP15*EF!$H28)*kgtoGg=0,"NO",('Activity data'!AP15*EF!$H28)*kgtoGg)</f>
        <v>4.0740603707179208E-3</v>
      </c>
      <c r="AQ28" s="27">
        <f>IF(('Activity data'!AQ15*EF!$H28)*kgtoGg=0,"NO",('Activity data'!AQ15*EF!$H28)*kgtoGg)</f>
        <v>4.1088191524981379E-3</v>
      </c>
      <c r="AR28" s="27">
        <f>IF(('Activity data'!AR15*EF!$H28)*kgtoGg=0,"NO",('Activity data'!AR15*EF!$H28)*kgtoGg)</f>
        <v>4.1408340108354943E-3</v>
      </c>
      <c r="AS28" s="27">
        <f>IF(('Activity data'!AS15*EF!$H28)*kgtoGg=0,"NO",('Activity data'!AS15*EF!$H28)*kgtoGg)</f>
        <v>4.1700941792835473E-3</v>
      </c>
      <c r="AT28" s="27">
        <f>IF(('Activity data'!AT15*EF!$H28)*kgtoGg=0,"NO",('Activity data'!AT15*EF!$H28)*kgtoGg)</f>
        <v>4.1955947055446379E-3</v>
      </c>
      <c r="AU28" s="27">
        <f>IF(('Activity data'!AU15*EF!$H28)*kgtoGg=0,"NO",('Activity data'!AU15*EF!$H28)*kgtoGg)</f>
        <v>4.2332253987930647E-3</v>
      </c>
      <c r="AV28" s="27">
        <f>IF(('Activity data'!AV15*EF!$H28)*kgtoGg=0,"NO",('Activity data'!AV15*EF!$H28)*kgtoGg)</f>
        <v>4.2692111275798939E-3</v>
      </c>
      <c r="AW28" s="27">
        <f>IF(('Activity data'!AW15*EF!$H28)*kgtoGg=0,"NO",('Activity data'!AW15*EF!$H28)*kgtoGg)</f>
        <v>4.3131543062035933E-3</v>
      </c>
      <c r="AX28" s="27">
        <f>IF(('Activity data'!AX15*EF!$H28)*kgtoGg=0,"NO",('Activity data'!AX15*EF!$H28)*kgtoGg)</f>
        <v>4.3689426306597803E-3</v>
      </c>
      <c r="AY28" s="27">
        <f>IF(('Activity data'!AY15*EF!$H28)*kgtoGg=0,"NO",('Activity data'!AY15*EF!$H28)*kgtoGg)</f>
        <v>4.4301694396255923E-3</v>
      </c>
      <c r="AZ28" s="27">
        <f>IF(('Activity data'!AZ15*EF!$H28)*kgtoGg=0,"NO",('Activity data'!AZ15*EF!$H28)*kgtoGg)</f>
        <v>4.5040980436008553E-3</v>
      </c>
      <c r="BA28" s="27">
        <f>IF(('Activity data'!BA15*EF!$H28)*kgtoGg=0,"NO",('Activity data'!BA15*EF!$H28)*kgtoGg)</f>
        <v>4.5574968938879535E-3</v>
      </c>
      <c r="BB28" s="27">
        <f>IF(('Activity data'!BB15*EF!$H28)*kgtoGg=0,"NO",('Activity data'!BB15*EF!$H28)*kgtoGg)</f>
        <v>4.6111863100883922E-3</v>
      </c>
      <c r="BC28" s="27">
        <f>IF(('Activity data'!BC15*EF!$H28)*kgtoGg=0,"NO",('Activity data'!BC15*EF!$H28)*kgtoGg)</f>
        <v>4.6712172844787037E-3</v>
      </c>
      <c r="BD28" s="27">
        <f>IF(('Activity data'!BD15*EF!$H28)*kgtoGg=0,"NO",('Activity data'!BD15*EF!$H28)*kgtoGg)</f>
        <v>4.7281971529271986E-3</v>
      </c>
      <c r="BE28" s="27">
        <f>IF(('Activity data'!BE15*EF!$H28)*kgtoGg=0,"NO",('Activity data'!BE15*EF!$H28)*kgtoGg)</f>
        <v>4.7885111366995289E-3</v>
      </c>
      <c r="BF28" s="27">
        <f>IF(('Activity data'!BF15*EF!$H28)*kgtoGg=0,"NO",('Activity data'!BF15*EF!$H28)*kgtoGg)</f>
        <v>4.8488762620845097E-3</v>
      </c>
      <c r="BG28" s="27">
        <f>IF(('Activity data'!BG15*EF!$H28)*kgtoGg=0,"NO",('Activity data'!BG15*EF!$H28)*kgtoGg)</f>
        <v>4.9227254913748455E-3</v>
      </c>
      <c r="BH28" s="27">
        <f>IF(('Activity data'!BH15*EF!$H28)*kgtoGg=0,"NO",('Activity data'!BH15*EF!$H28)*kgtoGg)</f>
        <v>4.9927458490609099E-3</v>
      </c>
      <c r="BI28" s="27">
        <f>IF(('Activity data'!BI15*EF!$H28)*kgtoGg=0,"NO",('Activity data'!BI15*EF!$H28)*kgtoGg)</f>
        <v>5.0638022559314124E-3</v>
      </c>
      <c r="BJ28" s="27">
        <f>IF(('Activity data'!BJ15*EF!$H28)*kgtoGg=0,"NO",('Activity data'!BJ15*EF!$H28)*kgtoGg)</f>
        <v>5.1371515240319849E-3</v>
      </c>
      <c r="BK28" s="27">
        <f>IF(('Activity data'!BK15*EF!$H28)*kgtoGg=0,"NO",('Activity data'!BK15*EF!$H28)*kgtoGg)</f>
        <v>5.2132674563810976E-3</v>
      </c>
      <c r="BL28" s="27">
        <f>IF(('Activity data'!BL15*EF!$H28)*kgtoGg=0,"NO",('Activity data'!BL15*EF!$H28)*kgtoGg)</f>
        <v>5.3054774767517902E-3</v>
      </c>
      <c r="BM28" s="27">
        <f>IF(('Activity data'!BM15*EF!$H28)*kgtoGg=0,"NO",('Activity data'!BM15*EF!$H28)*kgtoGg)</f>
        <v>5.3653290852350754E-3</v>
      </c>
      <c r="BN28" s="27">
        <f>IF(('Activity data'!BN15*EF!$H28)*kgtoGg=0,"NO",('Activity data'!BN15*EF!$H28)*kgtoGg)</f>
        <v>5.4229477307266892E-3</v>
      </c>
      <c r="BO28" s="27">
        <f>IF(('Activity data'!BO15*EF!$H28)*kgtoGg=0,"NO",('Activity data'!BO15*EF!$H28)*kgtoGg)</f>
        <v>5.4817978053370176E-3</v>
      </c>
      <c r="BP28" s="27">
        <f>IF(('Activity data'!BP15*EF!$H28)*kgtoGg=0,"NO",('Activity data'!BP15*EF!$H28)*kgtoGg)</f>
        <v>5.5404187134472614E-3</v>
      </c>
    </row>
    <row r="29" spans="1:68" x14ac:dyDescent="0.2">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2">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23.279067868377396</v>
      </c>
      <c r="AE30" s="27">
        <f>IF(('Activity data'!AE17*EF!$H30)*kgtoGg=0,"NO",('Activity data'!AE17*EF!$H30)*kgtoGg)</f>
        <v>23.152530650802607</v>
      </c>
      <c r="AF30" s="27">
        <f>IF(('Activity data'!AF17*EF!$H30)*kgtoGg=0,"NO",('Activity data'!AF17*EF!$H30)*kgtoGg)</f>
        <v>23.162916433064311</v>
      </c>
      <c r="AG30" s="27">
        <f>IF(('Activity data'!AG17*EF!$H30)*kgtoGg=0,"NO",('Activity data'!AG17*EF!$H30)*kgtoGg)</f>
        <v>22.950263110497293</v>
      </c>
      <c r="AH30" s="27">
        <f>IF(('Activity data'!AH17*EF!$H30)*kgtoGg=0,"NO",('Activity data'!AH17*EF!$H30)*kgtoGg)</f>
        <v>22.602951186820608</v>
      </c>
      <c r="AI30" s="27">
        <f>IF(('Activity data'!AI17*EF!$H30)*kgtoGg=0,"NO",('Activity data'!AI17*EF!$H30)*kgtoGg)</f>
        <v>22.126532811374954</v>
      </c>
      <c r="AJ30" s="27">
        <f>IF(('Activity data'!AJ17*EF!$H30)*kgtoGg=0,"NO",('Activity data'!AJ17*EF!$H30)*kgtoGg)</f>
        <v>21.780600237355969</v>
      </c>
      <c r="AK30" s="27">
        <f>IF(('Activity data'!AK17*EF!$H30)*kgtoGg=0,"NO",('Activity data'!AK17*EF!$H30)*kgtoGg)</f>
        <v>21.465278056857684</v>
      </c>
      <c r="AL30" s="27">
        <f>IF(('Activity data'!AL17*EF!$H30)*kgtoGg=0,"NO",('Activity data'!AL17*EF!$H30)*kgtoGg)</f>
        <v>19.125432200749973</v>
      </c>
      <c r="AM30" s="27">
        <f>IF(('Activity data'!AM17*EF!$H30)*kgtoGg=0,"NO",('Activity data'!AM17*EF!$H30)*kgtoGg)</f>
        <v>19.424042125834905</v>
      </c>
      <c r="AN30" s="27">
        <f>IF(('Activity data'!AN17*EF!$H30)*kgtoGg=0,"NO",('Activity data'!AN17*EF!$H30)*kgtoGg)</f>
        <v>19.550864503199985</v>
      </c>
      <c r="AO30" s="27">
        <f>IF(('Activity data'!AO17*EF!$H30)*kgtoGg=0,"NO",('Activity data'!AO17*EF!$H30)*kgtoGg)</f>
        <v>19.634386542439195</v>
      </c>
      <c r="AP30" s="27">
        <f>IF(('Activity data'!AP17*EF!$H30)*kgtoGg=0,"NO",('Activity data'!AP17*EF!$H30)*kgtoGg)</f>
        <v>19.789042358153409</v>
      </c>
      <c r="AQ30" s="27">
        <f>IF(('Activity data'!AQ17*EF!$H30)*kgtoGg=0,"NO",('Activity data'!AQ17*EF!$H30)*kgtoGg)</f>
        <v>19.904231049540165</v>
      </c>
      <c r="AR30" s="27">
        <f>IF(('Activity data'!AR17*EF!$H30)*kgtoGg=0,"NO",('Activity data'!AR17*EF!$H30)*kgtoGg)</f>
        <v>19.9646517912891</v>
      </c>
      <c r="AS30" s="27">
        <f>IF(('Activity data'!AS17*EF!$H30)*kgtoGg=0,"NO",('Activity data'!AS17*EF!$H30)*kgtoGg)</f>
        <v>20.001671240877961</v>
      </c>
      <c r="AT30" s="27">
        <f>IF(('Activity data'!AT17*EF!$H30)*kgtoGg=0,"NO",('Activity data'!AT17*EF!$H30)*kgtoGg)</f>
        <v>20.006692976737387</v>
      </c>
      <c r="AU30" s="27">
        <f>IF(('Activity data'!AU17*EF!$H30)*kgtoGg=0,"NO",('Activity data'!AU17*EF!$H30)*kgtoGg)</f>
        <v>20.122871452289811</v>
      </c>
      <c r="AV30" s="27">
        <f>IF(('Activity data'!AV17*EF!$H30)*kgtoGg=0,"NO",('Activity data'!AV17*EF!$H30)*kgtoGg)</f>
        <v>20.224352633636123</v>
      </c>
      <c r="AW30" s="27">
        <f>IF(('Activity data'!AW17*EF!$H30)*kgtoGg=0,"NO",('Activity data'!AW17*EF!$H30)*kgtoGg)</f>
        <v>20.37036557025834</v>
      </c>
      <c r="AX30" s="27">
        <f>IF(('Activity data'!AX17*EF!$H30)*kgtoGg=0,"NO",('Activity data'!AX17*EF!$H30)*kgtoGg)</f>
        <v>20.617009015074299</v>
      </c>
      <c r="AY30" s="27">
        <f>IF(('Activity data'!AY17*EF!$H30)*kgtoGg=0,"NO",('Activity data'!AY17*EF!$H30)*kgtoGg)</f>
        <v>20.905842210058196</v>
      </c>
      <c r="AZ30" s="27">
        <f>IF(('Activity data'!AZ17*EF!$H30)*kgtoGg=0,"NO",('Activity data'!AZ17*EF!$H30)*kgtoGg)</f>
        <v>21.296898968491135</v>
      </c>
      <c r="BA30" s="27">
        <f>IF(('Activity data'!BA17*EF!$H30)*kgtoGg=0,"NO",('Activity data'!BA17*EF!$H30)*kgtoGg)</f>
        <v>21.508008395464572</v>
      </c>
      <c r="BB30" s="27">
        <f>IF(('Activity data'!BB17*EF!$H30)*kgtoGg=0,"NO",('Activity data'!BB17*EF!$H30)*kgtoGg)</f>
        <v>21.692391103319341</v>
      </c>
      <c r="BC30" s="27">
        <f>IF(('Activity data'!BC17*EF!$H30)*kgtoGg=0,"NO",('Activity data'!BC17*EF!$H30)*kgtoGg)</f>
        <v>21.924107330813051</v>
      </c>
      <c r="BD30" s="27">
        <f>IF(('Activity data'!BD17*EF!$H30)*kgtoGg=0,"NO",('Activity data'!BD17*EF!$H30)*kgtoGg)</f>
        <v>22.125286903757015</v>
      </c>
      <c r="BE30" s="27">
        <f>IF(('Activity data'!BE17*EF!$H30)*kgtoGg=0,"NO",('Activity data'!BE17*EF!$H30)*kgtoGg)</f>
        <v>22.347890019958896</v>
      </c>
      <c r="BF30" s="27">
        <f>IF(('Activity data'!BF17*EF!$H30)*kgtoGg=0,"NO",('Activity data'!BF17*EF!$H30)*kgtoGg)</f>
        <v>22.565021886121382</v>
      </c>
      <c r="BG30" s="27">
        <f>IF(('Activity data'!BG17*EF!$H30)*kgtoGg=0,"NO",('Activity data'!BG17*EF!$H30)*kgtoGg)</f>
        <v>22.857354238812295</v>
      </c>
      <c r="BH30" s="27">
        <f>IF(('Activity data'!BH17*EF!$H30)*kgtoGg=0,"NO",('Activity data'!BH17*EF!$H30)*kgtoGg)</f>
        <v>23.111205883073605</v>
      </c>
      <c r="BI30" s="27">
        <f>IF(('Activity data'!BI17*EF!$H30)*kgtoGg=0,"NO",('Activity data'!BI17*EF!$H30)*kgtoGg)</f>
        <v>23.364831927228202</v>
      </c>
      <c r="BJ30" s="27">
        <f>IF(('Activity data'!BJ17*EF!$H30)*kgtoGg=0,"NO",('Activity data'!BJ17*EF!$H30)*kgtoGg)</f>
        <v>23.627465701341702</v>
      </c>
      <c r="BK30" s="27">
        <f>IF(('Activity data'!BK17*EF!$H30)*kgtoGg=0,"NO",('Activity data'!BK17*EF!$H30)*kgtoGg)</f>
        <v>23.902059465195961</v>
      </c>
      <c r="BL30" s="27">
        <f>IF(('Activity data'!BL17*EF!$H30)*kgtoGg=0,"NO",('Activity data'!BL17*EF!$H30)*kgtoGg)</f>
        <v>24.259909282475949</v>
      </c>
      <c r="BM30" s="27">
        <f>IF(('Activity data'!BM17*EF!$H30)*kgtoGg=0,"NO",('Activity data'!BM17*EF!$H30)*kgtoGg)</f>
        <v>24.370732341378943</v>
      </c>
      <c r="BN30" s="27">
        <f>IF(('Activity data'!BN17*EF!$H30)*kgtoGg=0,"NO",('Activity data'!BN17*EF!$H30)*kgtoGg)</f>
        <v>24.459248352072496</v>
      </c>
      <c r="BO30" s="27">
        <f>IF(('Activity data'!BO17*EF!$H30)*kgtoGg=0,"NO",('Activity data'!BO17*EF!$H30)*kgtoGg)</f>
        <v>24.550534004397402</v>
      </c>
      <c r="BP30" s="27">
        <f>IF(('Activity data'!BP17*EF!$H30)*kgtoGg=0,"NO",('Activity data'!BP17*EF!$H30)*kgtoGg)</f>
        <v>24.634079749927345</v>
      </c>
    </row>
    <row r="31" spans="1:68" x14ac:dyDescent="0.2">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7.7508449141861155E-2</v>
      </c>
      <c r="AF31" s="27">
        <f>IF(('Activity data'!AF18*EF!$H31)*kgtoGg=0,"NO",('Activity data'!AF18*EF!$H31)*kgtoGg)</f>
        <v>7.7543217949140625E-2</v>
      </c>
      <c r="AG31" s="27">
        <f>IF(('Activity data'!AG18*EF!$H31)*kgtoGg=0,"NO",('Activity data'!AG18*EF!$H31)*kgtoGg)</f>
        <v>7.6831311787104617E-2</v>
      </c>
      <c r="AH31" s="27">
        <f>IF(('Activity data'!AH18*EF!$H31)*kgtoGg=0,"NO",('Activity data'!AH18*EF!$H31)*kgtoGg)</f>
        <v>7.5668604825232064E-2</v>
      </c>
      <c r="AI31" s="27">
        <f>IF(('Activity data'!AI18*EF!$H31)*kgtoGg=0,"NO",('Activity data'!AI18*EF!$H31)*kgtoGg)</f>
        <v>7.4073684167079407E-2</v>
      </c>
      <c r="AJ31" s="27">
        <f>IF(('Activity data'!AJ18*EF!$H31)*kgtoGg=0,"NO",('Activity data'!AJ18*EF!$H31)*kgtoGg)</f>
        <v>7.291559489708703E-2</v>
      </c>
      <c r="AK31" s="27">
        <f>IF(('Activity data'!AK18*EF!$H31)*kgtoGg=0,"NO",('Activity data'!AK18*EF!$H31)*kgtoGg)</f>
        <v>7.1859980996426695E-2</v>
      </c>
      <c r="AL31" s="27">
        <f>IF(('Activity data'!AL18*EF!$H31)*kgtoGg=0,"NO",('Activity data'!AL18*EF!$H31)*kgtoGg)</f>
        <v>6.4026806028504468E-2</v>
      </c>
      <c r="AM31" s="27">
        <f>IF(('Activity data'!AM18*EF!$H31)*kgtoGg=0,"NO",('Activity data'!AM18*EF!$H31)*kgtoGg)</f>
        <v>6.5026471790350593E-2</v>
      </c>
      <c r="AN31" s="27">
        <f>IF(('Activity data'!AN18*EF!$H31)*kgtoGg=0,"NO",('Activity data'!AN18*EF!$H31)*kgtoGg)</f>
        <v>6.5451039019493229E-2</v>
      </c>
      <c r="AO31" s="27">
        <f>IF(('Activity data'!AO18*EF!$H31)*kgtoGg=0,"NO",('Activity data'!AO18*EF!$H31)*kgtoGg)</f>
        <v>6.5730648355864951E-2</v>
      </c>
      <c r="AP31" s="27">
        <f>IF(('Activity data'!AP18*EF!$H31)*kgtoGg=0,"NO",('Activity data'!AP18*EF!$H31)*kgtoGg)</f>
        <v>6.6248394454879955E-2</v>
      </c>
      <c r="AQ31" s="27">
        <f>IF(('Activity data'!AQ18*EF!$H31)*kgtoGg=0,"NO",('Activity data'!AQ18*EF!$H31)*kgtoGg)</f>
        <v>6.6634015230540536E-2</v>
      </c>
      <c r="AR31" s="27">
        <f>IF(('Activity data'!AR18*EF!$H31)*kgtoGg=0,"NO",('Activity data'!AR18*EF!$H31)*kgtoGg)</f>
        <v>6.6836287632620187E-2</v>
      </c>
      <c r="AS31" s="27">
        <f>IF(('Activity data'!AS18*EF!$H31)*kgtoGg=0,"NO",('Activity data'!AS18*EF!$H31)*kgtoGg)</f>
        <v>6.696021879889287E-2</v>
      </c>
      <c r="AT31" s="27">
        <f>IF(('Activity data'!AT18*EF!$H31)*kgtoGg=0,"NO",('Activity data'!AT18*EF!$H31)*kgtoGg)</f>
        <v>6.6977030220690986E-2</v>
      </c>
      <c r="AU31" s="27">
        <f>IF(('Activity data'!AU18*EF!$H31)*kgtoGg=0,"NO",('Activity data'!AU18*EF!$H31)*kgtoGg)</f>
        <v>6.7365964527680941E-2</v>
      </c>
      <c r="AV31" s="27">
        <f>IF(('Activity data'!AV18*EF!$H31)*kgtoGg=0,"NO",('Activity data'!AV18*EF!$H31)*kgtoGg)</f>
        <v>6.77056962443503E-2</v>
      </c>
      <c r="AW31" s="27">
        <f>IF(('Activity data'!AW18*EF!$H31)*kgtoGg=0,"NO",('Activity data'!AW18*EF!$H31)*kgtoGg)</f>
        <v>6.8194508307399856E-2</v>
      </c>
      <c r="AX31" s="27">
        <f>IF(('Activity data'!AX18*EF!$H31)*kgtoGg=0,"NO",('Activity data'!AX18*EF!$H31)*kgtoGg)</f>
        <v>6.9020204262067689E-2</v>
      </c>
      <c r="AY31" s="27">
        <f>IF(('Activity data'!AY18*EF!$H31)*kgtoGg=0,"NO",('Activity data'!AY18*EF!$H31)*kgtoGg)</f>
        <v>6.9987140159553041E-2</v>
      </c>
      <c r="AZ31" s="27">
        <f>IF(('Activity data'!AZ18*EF!$H31)*kgtoGg=0,"NO",('Activity data'!AZ18*EF!$H31)*kgtoGg)</f>
        <v>7.1296293069432901E-2</v>
      </c>
      <c r="BA31" s="27">
        <f>IF(('Activity data'!BA18*EF!$H31)*kgtoGg=0,"NO",('Activity data'!BA18*EF!$H31)*kgtoGg)</f>
        <v>7.2003030684025804E-2</v>
      </c>
      <c r="BB31" s="27">
        <f>IF(('Activity data'!BB18*EF!$H31)*kgtoGg=0,"NO",('Activity data'!BB18*EF!$H31)*kgtoGg)</f>
        <v>7.262029442724019E-2</v>
      </c>
      <c r="BC31" s="27">
        <f>IF(('Activity data'!BC18*EF!$H31)*kgtoGg=0,"NO",('Activity data'!BC18*EF!$H31)*kgtoGg)</f>
        <v>7.339601807079868E-2</v>
      </c>
      <c r="BD31" s="27">
        <f>IF(('Activity data'!BD18*EF!$H31)*kgtoGg=0,"NO",('Activity data'!BD18*EF!$H31)*kgtoGg)</f>
        <v>7.4069513203278647E-2</v>
      </c>
      <c r="BE31" s="27">
        <f>IF(('Activity data'!BE18*EF!$H31)*kgtoGg=0,"NO",('Activity data'!BE18*EF!$H31)*kgtoGg)</f>
        <v>7.4814728599866626E-2</v>
      </c>
      <c r="BF31" s="27">
        <f>IF(('Activity data'!BF18*EF!$H31)*kgtoGg=0,"NO",('Activity data'!BF18*EF!$H31)*kgtoGg)</f>
        <v>7.5541627722012866E-2</v>
      </c>
      <c r="BG31" s="27">
        <f>IF(('Activity data'!BG18*EF!$H31)*kgtoGg=0,"NO",('Activity data'!BG18*EF!$H31)*kgtoGg)</f>
        <v>7.6520277858916103E-2</v>
      </c>
      <c r="BH31" s="27">
        <f>IF(('Activity data'!BH18*EF!$H31)*kgtoGg=0,"NO",('Activity data'!BH18*EF!$H31)*kgtoGg)</f>
        <v>7.7370104927739061E-2</v>
      </c>
      <c r="BI31" s="27">
        <f>IF(('Activity data'!BI18*EF!$H31)*kgtoGg=0,"NO",('Activity data'!BI18*EF!$H31)*kgtoGg)</f>
        <v>7.821917674804682E-2</v>
      </c>
      <c r="BJ31" s="27">
        <f>IF(('Activity data'!BJ18*EF!$H31)*kgtoGg=0,"NO",('Activity data'!BJ18*EF!$H31)*kgtoGg)</f>
        <v>7.9098404026949301E-2</v>
      </c>
      <c r="BK31" s="27">
        <f>IF(('Activity data'!BK18*EF!$H31)*kgtoGg=0,"NO",('Activity data'!BK18*EF!$H31)*kgtoGg)</f>
        <v>8.0017670136618924E-2</v>
      </c>
      <c r="BL31" s="27">
        <f>IF(('Activity data'!BL18*EF!$H31)*kgtoGg=0,"NO",('Activity data'!BL18*EF!$H31)*kgtoGg)</f>
        <v>8.1215655133654599E-2</v>
      </c>
      <c r="BM31" s="27">
        <f>IF(('Activity data'!BM18*EF!$H31)*kgtoGg=0,"NO",('Activity data'!BM18*EF!$H31)*kgtoGg)</f>
        <v>8.1586660945256045E-2</v>
      </c>
      <c r="BN31" s="27">
        <f>IF(('Activity data'!BN18*EF!$H31)*kgtoGg=0,"NO",('Activity data'!BN18*EF!$H31)*kgtoGg)</f>
        <v>8.1882988755660815E-2</v>
      </c>
      <c r="BO31" s="27">
        <f>IF(('Activity data'!BO18*EF!$H31)*kgtoGg=0,"NO",('Activity data'!BO18*EF!$H31)*kgtoGg)</f>
        <v>8.2188588581758509E-2</v>
      </c>
      <c r="BP31" s="27">
        <f>IF(('Activity data'!BP18*EF!$H31)*kgtoGg=0,"NO",('Activity data'!BP18*EF!$H31)*kgtoGg)</f>
        <v>8.2468277280419264E-2</v>
      </c>
    </row>
    <row r="32" spans="1:68" x14ac:dyDescent="0.2">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0.59866182774590171</v>
      </c>
      <c r="AI32" s="27">
        <f>IF(('Activity data'!AI19*EF!$H32)*kgtoGg=0,"NO",('Activity data'!AI19*EF!$H32)*kgtoGg)</f>
        <v>0.60475451589519702</v>
      </c>
      <c r="AJ32" s="27">
        <f>IF(('Activity data'!AJ19*EF!$H32)*kgtoGg=0,"NO",('Activity data'!AJ19*EF!$H32)*kgtoGg)</f>
        <v>0.61256702388185857</v>
      </c>
      <c r="AK32" s="27">
        <f>IF(('Activity data'!AK19*EF!$H32)*kgtoGg=0,"NO",('Activity data'!AK19*EF!$H32)*kgtoGg)</f>
        <v>0.6206898695388976</v>
      </c>
      <c r="AL32" s="27">
        <f>IF(('Activity data'!AL19*EF!$H32)*kgtoGg=0,"NO",('Activity data'!AL19*EF!$H32)*kgtoGg)</f>
        <v>0.59586205354866417</v>
      </c>
      <c r="AM32" s="27">
        <f>IF(('Activity data'!AM19*EF!$H32)*kgtoGg=0,"NO",('Activity data'!AM19*EF!$H32)*kgtoGg)</f>
        <v>0.61166609228342095</v>
      </c>
      <c r="AN32" s="27">
        <f>IF(('Activity data'!AN19*EF!$H32)*kgtoGg=0,"NO",('Activity data'!AN19*EF!$H32)*kgtoGg)</f>
        <v>0.62485299056124621</v>
      </c>
      <c r="AO32" s="27">
        <f>IF(('Activity data'!AO19*EF!$H32)*kgtoGg=0,"NO",('Activity data'!AO19*EF!$H32)*kgtoGg)</f>
        <v>0.63746316411560699</v>
      </c>
      <c r="AP32" s="27">
        <f>IF(('Activity data'!AP19*EF!$H32)*kgtoGg=0,"NO",('Activity data'!AP19*EF!$H32)*kgtoGg)</f>
        <v>0.65148292230650084</v>
      </c>
      <c r="AQ32" s="27">
        <f>IF(('Activity data'!AQ19*EF!$H32)*kgtoGg=0,"NO",('Activity data'!AQ19*EF!$H32)*kgtoGg)</f>
        <v>0.66499795751984347</v>
      </c>
      <c r="AR32" s="27">
        <f>IF(('Activity data'!AR19*EF!$H32)*kgtoGg=0,"NO",('Activity data'!AR19*EF!$H32)*kgtoGg)</f>
        <v>0.67713280709524293</v>
      </c>
      <c r="AS32" s="27">
        <f>IF(('Activity data'!AS19*EF!$H32)*kgtoGg=0,"NO",('Activity data'!AS19*EF!$H32)*kgtoGg)</f>
        <v>0.68896443146114195</v>
      </c>
      <c r="AT32" s="27">
        <f>IF(('Activity data'!AT19*EF!$H32)*kgtoGg=0,"NO",('Activity data'!AT19*EF!$H32)*kgtoGg)</f>
        <v>0.70030539755417098</v>
      </c>
      <c r="AU32" s="27">
        <f>IF(('Activity data'!AU19*EF!$H32)*kgtoGg=0,"NO",('Activity data'!AU19*EF!$H32)*kgtoGg)</f>
        <v>0.71394199916813561</v>
      </c>
      <c r="AV32" s="27">
        <f>IF(('Activity data'!AV19*EF!$H32)*kgtoGg=0,"NO",('Activity data'!AV19*EF!$H32)*kgtoGg)</f>
        <v>0.72748510796814947</v>
      </c>
      <c r="AW32" s="27">
        <f>IF(('Activity data'!AW19*EF!$H32)*kgtoGg=0,"NO",('Activity data'!AW19*EF!$H32)*kgtoGg)</f>
        <v>0.7416801333370433</v>
      </c>
      <c r="AX32" s="27">
        <f>IF(('Activity data'!AX19*EF!$H32)*kgtoGg=0,"NO",('Activity data'!AX19*EF!$H32)*kgtoGg)</f>
        <v>0.75821054657652254</v>
      </c>
      <c r="AY32" s="27">
        <f>IF(('Activity data'!AY19*EF!$H32)*kgtoGg=0,"NO",('Activity data'!AY19*EF!$H32)*kgtoGg)</f>
        <v>0.77596254129215869</v>
      </c>
      <c r="AZ32" s="27">
        <f>IF(('Activity data'!AZ19*EF!$H32)*kgtoGg=0,"NO",('Activity data'!AZ19*EF!$H32)*kgtoGg)</f>
        <v>0.7963033454053372</v>
      </c>
      <c r="BA32" s="27">
        <f>IF(('Activity data'!BA19*EF!$H32)*kgtoGg=0,"NO",('Activity data'!BA19*EF!$H32)*kgtoGg)</f>
        <v>0.81311713883147885</v>
      </c>
      <c r="BB32" s="27">
        <f>IF(('Activity data'!BB19*EF!$H32)*kgtoGg=0,"NO",('Activity data'!BB19*EF!$H32)*kgtoGg)</f>
        <v>0.82920457779762036</v>
      </c>
      <c r="BC32" s="27">
        <f>IF(('Activity data'!BC19*EF!$H32)*kgtoGg=0,"NO",('Activity data'!BC19*EF!$H32)*kgtoGg)</f>
        <v>0.8466799763081283</v>
      </c>
      <c r="BD32" s="27">
        <f>IF(('Activity data'!BD19*EF!$H32)*kgtoGg=0,"NO",('Activity data'!BD19*EF!$H32)*kgtoGg)</f>
        <v>0.86378648630356591</v>
      </c>
      <c r="BE32" s="27">
        <f>IF(('Activity data'!BE19*EF!$H32)*kgtoGg=0,"NO",('Activity data'!BE19*EF!$H32)*kgtoGg)</f>
        <v>0.8817359545427027</v>
      </c>
      <c r="BF32" s="27">
        <f>IF(('Activity data'!BF19*EF!$H32)*kgtoGg=0,"NO",('Activity data'!BF19*EF!$H32)*kgtoGg)</f>
        <v>0.89991137533731791</v>
      </c>
      <c r="BG32" s="27">
        <f>IF(('Activity data'!BG19*EF!$H32)*kgtoGg=0,"NO",('Activity data'!BG19*EF!$H32)*kgtoGg)</f>
        <v>0.91990012979739244</v>
      </c>
      <c r="BH32" s="27">
        <f>IF(('Activity data'!BH19*EF!$H32)*kgtoGg=0,"NO",('Activity data'!BH19*EF!$H32)*kgtoGg)</f>
        <v>0.93935460788893066</v>
      </c>
      <c r="BI32" s="27">
        <f>IF(('Activity data'!BI19*EF!$H32)*kgtoGg=0,"NO",('Activity data'!BI19*EF!$H32)*kgtoGg)</f>
        <v>0.95921858565138518</v>
      </c>
      <c r="BJ32" s="27">
        <f>IF(('Activity data'!BJ19*EF!$H32)*kgtoGg=0,"NO",('Activity data'!BJ19*EF!$H32)*kgtoGg)</f>
        <v>0.97974614943757377</v>
      </c>
      <c r="BK32" s="27">
        <f>IF(('Activity data'!BK19*EF!$H32)*kgtoGg=0,"NO",('Activity data'!BK19*EF!$H32)*kgtoGg)</f>
        <v>1.0010418670441812</v>
      </c>
      <c r="BL32" s="27">
        <f>IF(('Activity data'!BL19*EF!$H32)*kgtoGg=0,"NO",('Activity data'!BL19*EF!$H32)*kgtoGg)</f>
        <v>1.024648468705007</v>
      </c>
      <c r="BM32" s="27">
        <f>IF(('Activity data'!BM19*EF!$H32)*kgtoGg=0,"NO",('Activity data'!BM19*EF!$H32)*kgtoGg)</f>
        <v>1.0419667302828659</v>
      </c>
      <c r="BN32" s="27">
        <f>IF(('Activity data'!BN19*EF!$H32)*kgtoGg=0,"NO",('Activity data'!BN19*EF!$H32)*kgtoGg)</f>
        <v>1.0589838516681485</v>
      </c>
      <c r="BO32" s="27">
        <f>IF(('Activity data'!BO19*EF!$H32)*kgtoGg=0,"NO",('Activity data'!BO19*EF!$H32)*kgtoGg)</f>
        <v>1.0763973931983826</v>
      </c>
      <c r="BP32" s="27">
        <f>IF(('Activity data'!BP19*EF!$H32)*kgtoGg=0,"NO",('Activity data'!BP19*EF!$H32)*kgtoGg)</f>
        <v>1.093914171709288</v>
      </c>
    </row>
    <row r="33" spans="1:68" x14ac:dyDescent="0.2">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2.2100196981344111</v>
      </c>
      <c r="AE33" s="27">
        <f>IF(('Activity data'!AE20*EF!$H33)*kgtoGg=0,"NO",('Activity data'!AE20*EF!$H33)*kgtoGg)</f>
        <v>2.239121707445149</v>
      </c>
      <c r="AF33" s="27">
        <f>IF(('Activity data'!AF20*EF!$H33)*kgtoGg=0,"NO",('Activity data'!AF20*EF!$H33)*kgtoGg)</f>
        <v>2.2858678822724823</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2.2487211059946204</v>
      </c>
      <c r="AK33" s="27">
        <f>IF(('Activity data'!AK20*EF!$H33)*kgtoGg=0,"NO",('Activity data'!AK20*EF!$H33)*kgtoGg)</f>
        <v>2.2390235702415171</v>
      </c>
      <c r="AL33" s="27">
        <f>IF(('Activity data'!AL20*EF!$H33)*kgtoGg=0,"NO",('Activity data'!AL20*EF!$H33)*kgtoGg)</f>
        <v>1.9141242898278399</v>
      </c>
      <c r="AM33" s="27">
        <f>IF(('Activity data'!AM20*EF!$H33)*kgtoGg=0,"NO",('Activity data'!AM20*EF!$H33)*kgtoGg)</f>
        <v>1.9984899724616512</v>
      </c>
      <c r="AN33" s="27">
        <f>IF(('Activity data'!AN20*EF!$H33)*kgtoGg=0,"NO",('Activity data'!AN20*EF!$H33)*kgtoGg)</f>
        <v>2.0566281324498989</v>
      </c>
      <c r="AO33" s="27">
        <f>IF(('Activity data'!AO20*EF!$H33)*kgtoGg=0,"NO",('Activity data'!AO20*EF!$H33)*kgtoGg)</f>
        <v>2.1082245232127885</v>
      </c>
      <c r="AP33" s="27">
        <f>IF(('Activity data'!AP20*EF!$H33)*kgtoGg=0,"NO",('Activity data'!AP20*EF!$H33)*kgtoGg)</f>
        <v>2.1717516772979577</v>
      </c>
      <c r="AQ33" s="27">
        <f>IF(('Activity data'!AQ20*EF!$H33)*kgtoGg=0,"NO",('Activity data'!AQ20*EF!$H33)*kgtoGg)</f>
        <v>2.2294138068766221</v>
      </c>
      <c r="AR33" s="27">
        <f>IF(('Activity data'!AR20*EF!$H33)*kgtoGg=0,"NO",('Activity data'!AR20*EF!$H33)*kgtoGg)</f>
        <v>2.2803087574477758</v>
      </c>
      <c r="AS33" s="27">
        <f>IF(('Activity data'!AS20*EF!$H33)*kgtoGg=0,"NO",('Activity data'!AS20*EF!$H33)*kgtoGg)</f>
        <v>2.3275959555736767</v>
      </c>
      <c r="AT33" s="27">
        <f>IF(('Activity data'!AT20*EF!$H33)*kgtoGg=0,"NO",('Activity data'!AT20*EF!$H33)*kgtoGg)</f>
        <v>2.3696866416984408</v>
      </c>
      <c r="AU33" s="27">
        <f>IF(('Activity data'!AU20*EF!$H33)*kgtoGg=0,"NO",('Activity data'!AU20*EF!$H33)*kgtoGg)</f>
        <v>2.4313567650804138</v>
      </c>
      <c r="AV33" s="27">
        <f>IF(('Activity data'!AV20*EF!$H33)*kgtoGg=0,"NO",('Activity data'!AV20*EF!$H33)*kgtoGg)</f>
        <v>2.4911768272254537</v>
      </c>
      <c r="AW33" s="27">
        <f>IF(('Activity data'!AW20*EF!$H33)*kgtoGg=0,"NO",('Activity data'!AW20*EF!$H33)*kgtoGg)</f>
        <v>2.5611651092780447</v>
      </c>
      <c r="AX33" s="27">
        <f>IF(('Activity data'!AX20*EF!$H33)*kgtoGg=0,"NO",('Activity data'!AX20*EF!$H33)*kgtoGg)</f>
        <v>2.6503466863676968</v>
      </c>
      <c r="AY33" s="27">
        <f>IF(('Activity data'!AY20*EF!$H33)*kgtoGg=0,"NO",('Activity data'!AY20*EF!$H33)*kgtoGg)</f>
        <v>2.7487492134063758</v>
      </c>
      <c r="AZ33" s="27">
        <f>IF(('Activity data'!AZ20*EF!$H33)*kgtoGg=0,"NO",('Activity data'!AZ20*EF!$H33)*kgtoGg)</f>
        <v>2.8678706867563997</v>
      </c>
      <c r="BA33" s="27">
        <f>IF(('Activity data'!BA20*EF!$H33)*kgtoGg=0,"NO",('Activity data'!BA20*EF!$H33)*kgtoGg)</f>
        <v>2.9554288288988109</v>
      </c>
      <c r="BB33" s="27">
        <f>IF(('Activity data'!BB20*EF!$H33)*kgtoGg=0,"NO",('Activity data'!BB20*EF!$H33)*kgtoGg)</f>
        <v>3.0407668489306769</v>
      </c>
      <c r="BC33" s="27">
        <f>IF(('Activity data'!BC20*EF!$H33)*kgtoGg=0,"NO",('Activity data'!BC20*EF!$H33)*kgtoGg)</f>
        <v>3.1366479798785045</v>
      </c>
      <c r="BD33" s="27">
        <f>IF(('Activity data'!BD20*EF!$H33)*kgtoGg=0,"NO",('Activity data'!BD20*EF!$H33)*kgtoGg)</f>
        <v>3.228263044676527</v>
      </c>
      <c r="BE33" s="27">
        <f>IF(('Activity data'!BE20*EF!$H33)*kgtoGg=0,"NO",('Activity data'!BE20*EF!$H33)*kgtoGg)</f>
        <v>3.3257213723703618</v>
      </c>
      <c r="BF33" s="27">
        <f>IF(('Activity data'!BF20*EF!$H33)*kgtoGg=0,"NO",('Activity data'!BF20*EF!$H33)*kgtoGg)</f>
        <v>3.4238536012880374</v>
      </c>
      <c r="BG33" s="27">
        <f>IF(('Activity data'!BG20*EF!$H33)*kgtoGg=0,"NO",('Activity data'!BG20*EF!$H33)*kgtoGg)</f>
        <v>3.5403209104075128</v>
      </c>
      <c r="BH33" s="27">
        <f>IF(('Activity data'!BH20*EF!$H33)*kgtoGg=0,"NO",('Activity data'!BH20*EF!$H33)*kgtoGg)</f>
        <v>3.6511369162882397</v>
      </c>
      <c r="BI33" s="27">
        <f>IF(('Activity data'!BI20*EF!$H33)*kgtoGg=0,"NO",('Activity data'!BI20*EF!$H33)*kgtoGg)</f>
        <v>3.7640318136014432</v>
      </c>
      <c r="BJ33" s="27">
        <f>IF(('Activity data'!BJ20*EF!$H33)*kgtoGg=0,"NO",('Activity data'!BJ20*EF!$H33)*kgtoGg)</f>
        <v>3.8810201496437728</v>
      </c>
      <c r="BK33" s="27">
        <f>IF(('Activity data'!BK20*EF!$H33)*kgtoGg=0,"NO",('Activity data'!BK20*EF!$H33)*kgtoGg)</f>
        <v>4.0028778541582692</v>
      </c>
      <c r="BL33" s="27">
        <f>IF(('Activity data'!BL20*EF!$H33)*kgtoGg=0,"NO",('Activity data'!BL20*EF!$H33)*kgtoGg)</f>
        <v>4.1464729012292834</v>
      </c>
      <c r="BM33" s="27">
        <f>IF(('Activity data'!BM20*EF!$H33)*kgtoGg=0,"NO",('Activity data'!BM20*EF!$H33)*kgtoGg)</f>
        <v>4.2389508928341062</v>
      </c>
      <c r="BN33" s="27">
        <f>IF(('Activity data'!BN20*EF!$H33)*kgtoGg=0,"NO",('Activity data'!BN20*EF!$H33)*kgtoGg)</f>
        <v>4.3281678617131494</v>
      </c>
      <c r="BO33" s="27">
        <f>IF(('Activity data'!BO20*EF!$H33)*kgtoGg=0,"NO",('Activity data'!BO20*EF!$H33)*kgtoGg)</f>
        <v>4.4196303430169497</v>
      </c>
      <c r="BP33" s="27">
        <f>IF(('Activity data'!BP20*EF!$H33)*kgtoGg=0,"NO",('Activity data'!BP20*EF!$H33)*kgtoGg)</f>
        <v>4.5110296667808401</v>
      </c>
    </row>
    <row r="34" spans="1:68" x14ac:dyDescent="0.2">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2.3161053423012622E-2</v>
      </c>
      <c r="AE34" s="27">
        <f>IF(('Activity data'!AE21*EF!$H34)*kgtoGg=0,"NO",('Activity data'!AE21*EF!$H34)*kgtoGg)</f>
        <v>2.3631963555267661E-2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2.4944242822745932E-2</v>
      </c>
      <c r="AI34" s="27">
        <f>IF(('Activity data'!AI21*EF!$H34)*kgtoGg=0,"NO",('Activity data'!AI21*EF!$H34)*kgtoGg)</f>
        <v>2.5198104828966564E-2</v>
      </c>
      <c r="AJ34" s="27">
        <f>IF(('Activity data'!AJ21*EF!$H34)*kgtoGg=0,"NO",('Activity data'!AJ21*EF!$H34)*kgtoGg)</f>
        <v>2.5523625995077459E-2</v>
      </c>
      <c r="AK34" s="27">
        <f>IF(('Activity data'!AK21*EF!$H34)*kgtoGg=0,"NO",('Activity data'!AK21*EF!$H34)*kgtoGg)</f>
        <v>2.5862077897454098E-2</v>
      </c>
      <c r="AL34" s="27">
        <f>IF(('Activity data'!AL21*EF!$H34)*kgtoGg=0,"NO",('Activity data'!AL21*EF!$H34)*kgtoGg)</f>
        <v>2.4827585564527698E-2</v>
      </c>
      <c r="AM34" s="27">
        <f>IF(('Activity data'!AM21*EF!$H34)*kgtoGg=0,"NO",('Activity data'!AM21*EF!$H34)*kgtoGg)</f>
        <v>2.5486087178475895E-2</v>
      </c>
      <c r="AN34" s="27">
        <f>IF(('Activity data'!AN21*EF!$H34)*kgtoGg=0,"NO",('Activity data'!AN21*EF!$H34)*kgtoGg)</f>
        <v>2.6035541273385285E-2</v>
      </c>
      <c r="AO34" s="27">
        <f>IF(('Activity data'!AO21*EF!$H34)*kgtoGg=0,"NO",('Activity data'!AO21*EF!$H34)*kgtoGg)</f>
        <v>2.6560965171483649E-2</v>
      </c>
      <c r="AP34" s="27">
        <f>IF(('Activity data'!AP21*EF!$H34)*kgtoGg=0,"NO",('Activity data'!AP21*EF!$H34)*kgtoGg)</f>
        <v>2.7145121762770889E-2</v>
      </c>
      <c r="AQ34" s="27">
        <f>IF(('Activity data'!AQ21*EF!$H34)*kgtoGg=0,"NO",('Activity data'!AQ21*EF!$H34)*kgtoGg)</f>
        <v>2.7708248229993501E-2</v>
      </c>
      <c r="AR34" s="27">
        <f>IF(('Activity data'!AR21*EF!$H34)*kgtoGg=0,"NO",('Activity data'!AR21*EF!$H34)*kgtoGg)</f>
        <v>2.8213866962301819E-2</v>
      </c>
      <c r="AS34" s="27">
        <f>IF(('Activity data'!AS21*EF!$H34)*kgtoGg=0,"NO",('Activity data'!AS21*EF!$H34)*kgtoGg)</f>
        <v>2.8706851310880941E-2</v>
      </c>
      <c r="AT34" s="27">
        <f>IF(('Activity data'!AT21*EF!$H34)*kgtoGg=0,"NO",('Activity data'!AT21*EF!$H34)*kgtoGg)</f>
        <v>2.9179391564757153E-2</v>
      </c>
      <c r="AU34" s="27">
        <f>IF(('Activity data'!AU21*EF!$H34)*kgtoGg=0,"NO",('Activity data'!AU21*EF!$H34)*kgtoGg)</f>
        <v>2.9747583298672345E-2</v>
      </c>
      <c r="AV34" s="27">
        <f>IF(('Activity data'!AV21*EF!$H34)*kgtoGg=0,"NO",('Activity data'!AV21*EF!$H34)*kgtoGg)</f>
        <v>3.0311879498672922E-2</v>
      </c>
      <c r="AW34" s="27">
        <f>IF(('Activity data'!AW21*EF!$H34)*kgtoGg=0,"NO",('Activity data'!AW21*EF!$H34)*kgtoGg)</f>
        <v>3.0903338889043501E-2</v>
      </c>
      <c r="AX34" s="27">
        <f>IF(('Activity data'!AX21*EF!$H34)*kgtoGg=0,"NO",('Activity data'!AX21*EF!$H34)*kgtoGg)</f>
        <v>3.1592106107355133E-2</v>
      </c>
      <c r="AY34" s="27">
        <f>IF(('Activity data'!AY21*EF!$H34)*kgtoGg=0,"NO",('Activity data'!AY21*EF!$H34)*kgtoGg)</f>
        <v>3.2331772553839976E-2</v>
      </c>
      <c r="AZ34" s="27">
        <f>IF(('Activity data'!AZ21*EF!$H34)*kgtoGg=0,"NO",('Activity data'!AZ21*EF!$H34)*kgtoGg)</f>
        <v>3.3179306058555749E-2</v>
      </c>
      <c r="BA34" s="27">
        <f>IF(('Activity data'!BA21*EF!$H34)*kgtoGg=0,"NO",('Activity data'!BA21*EF!$H34)*kgtoGg)</f>
        <v>3.3879880784644982E-2</v>
      </c>
      <c r="BB34" s="27">
        <f>IF(('Activity data'!BB21*EF!$H34)*kgtoGg=0,"NO",('Activity data'!BB21*EF!$H34)*kgtoGg)</f>
        <v>3.4550190741567552E-2</v>
      </c>
      <c r="BC34" s="27">
        <f>IF(('Activity data'!BC21*EF!$H34)*kgtoGg=0,"NO",('Activity data'!BC21*EF!$H34)*kgtoGg)</f>
        <v>3.5278332346172038E-2</v>
      </c>
      <c r="BD34" s="27">
        <f>IF(('Activity data'!BD21*EF!$H34)*kgtoGg=0,"NO",('Activity data'!BD21*EF!$H34)*kgtoGg)</f>
        <v>3.5991103595981948E-2</v>
      </c>
      <c r="BE34" s="27">
        <f>IF(('Activity data'!BE21*EF!$H34)*kgtoGg=0,"NO",('Activity data'!BE21*EF!$H34)*kgtoGg)</f>
        <v>3.6738998105945983E-2</v>
      </c>
      <c r="BF34" s="27">
        <f>IF(('Activity data'!BF21*EF!$H34)*kgtoGg=0,"NO",('Activity data'!BF21*EF!$H34)*kgtoGg)</f>
        <v>3.7496307305721614E-2</v>
      </c>
      <c r="BG34" s="27">
        <f>IF(('Activity data'!BG21*EF!$H34)*kgtoGg=0,"NO",('Activity data'!BG21*EF!$H34)*kgtoGg)</f>
        <v>3.8329172074891393E-2</v>
      </c>
      <c r="BH34" s="27">
        <f>IF(('Activity data'!BH21*EF!$H34)*kgtoGg=0,"NO",('Activity data'!BH21*EF!$H34)*kgtoGg)</f>
        <v>3.9139775328705488E-2</v>
      </c>
      <c r="BI34" s="27">
        <f>IF(('Activity data'!BI21*EF!$H34)*kgtoGg=0,"NO",('Activity data'!BI21*EF!$H34)*kgtoGg)</f>
        <v>3.9967441068807751E-2</v>
      </c>
      <c r="BJ34" s="27">
        <f>IF(('Activity data'!BJ21*EF!$H34)*kgtoGg=0,"NO",('Activity data'!BJ21*EF!$H34)*kgtoGg)</f>
        <v>4.0822756226565615E-2</v>
      </c>
      <c r="BK34" s="27">
        <f>IF(('Activity data'!BK21*EF!$H34)*kgtoGg=0,"NO",('Activity data'!BK21*EF!$H34)*kgtoGg)</f>
        <v>4.1710077793507598E-2</v>
      </c>
      <c r="BL34" s="27">
        <f>IF(('Activity data'!BL21*EF!$H34)*kgtoGg=0,"NO",('Activity data'!BL21*EF!$H34)*kgtoGg)</f>
        <v>4.2693686196041997E-2</v>
      </c>
      <c r="BM34" s="27">
        <f>IF(('Activity data'!BM21*EF!$H34)*kgtoGg=0,"NO",('Activity data'!BM21*EF!$H34)*kgtoGg)</f>
        <v>4.3415280428452788E-2</v>
      </c>
      <c r="BN34" s="27">
        <f>IF(('Activity data'!BN21*EF!$H34)*kgtoGg=0,"NO",('Activity data'!BN21*EF!$H34)*kgtoGg)</f>
        <v>4.4124327152839558E-2</v>
      </c>
      <c r="BO34" s="27">
        <f>IF(('Activity data'!BO21*EF!$H34)*kgtoGg=0,"NO",('Activity data'!BO21*EF!$H34)*kgtoGg)</f>
        <v>4.4849891383265984E-2</v>
      </c>
      <c r="BP34" s="27">
        <f>IF(('Activity data'!BP21*EF!$H34)*kgtoGg=0,"NO",('Activity data'!BP21*EF!$H34)*kgtoGg)</f>
        <v>4.5579757154553702E-2</v>
      </c>
    </row>
    <row r="35" spans="1:68" x14ac:dyDescent="0.2">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9.2084154088933862E-2</v>
      </c>
      <c r="AE35" s="27">
        <f>IF(('Activity data'!AE22*EF!$H35)*kgtoGg=0,"NO",('Activity data'!AE22*EF!$H35)*kgtoGg)</f>
        <v>9.3296737810214622E-2</v>
      </c>
      <c r="AF35" s="27">
        <f>IF(('Activity data'!AF22*EF!$H35)*kgtoGg=0,"NO",('Activity data'!AF22*EF!$H35)*kgtoGg)</f>
        <v>9.5244495094686854E-2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9.3696712749775937E-2</v>
      </c>
      <c r="AK35" s="27">
        <f>IF(('Activity data'!AK22*EF!$H35)*kgtoGg=0,"NO",('Activity data'!AK22*EF!$H35)*kgtoGg)</f>
        <v>9.3292648760063296E-2</v>
      </c>
      <c r="AL35" s="27">
        <f>IF(('Activity data'!AL22*EF!$H35)*kgtoGg=0,"NO",('Activity data'!AL22*EF!$H35)*kgtoGg)</f>
        <v>7.9755178742826727E-2</v>
      </c>
      <c r="AM35" s="27">
        <f>IF(('Activity data'!AM22*EF!$H35)*kgtoGg=0,"NO",('Activity data'!AM22*EF!$H35)*kgtoGg)</f>
        <v>8.3270415519235544E-2</v>
      </c>
      <c r="AN35" s="27">
        <f>IF(('Activity data'!AN22*EF!$H35)*kgtoGg=0,"NO",('Activity data'!AN22*EF!$H35)*kgtoGg)</f>
        <v>8.5692838852079192E-2</v>
      </c>
      <c r="AO35" s="27">
        <f>IF(('Activity data'!AO22*EF!$H35)*kgtoGg=0,"NO",('Activity data'!AO22*EF!$H35)*kgtoGg)</f>
        <v>8.7842688467199587E-2</v>
      </c>
      <c r="AP35" s="27">
        <f>IF(('Activity data'!AP22*EF!$H35)*kgtoGg=0,"NO",('Activity data'!AP22*EF!$H35)*kgtoGg)</f>
        <v>9.0489653220748326E-2</v>
      </c>
      <c r="AQ35" s="27">
        <f>IF(('Activity data'!AQ22*EF!$H35)*kgtoGg=0,"NO",('Activity data'!AQ22*EF!$H35)*kgtoGg)</f>
        <v>9.289224195319265E-2</v>
      </c>
      <c r="AR35" s="27">
        <f>IF(('Activity data'!AR22*EF!$H35)*kgtoGg=0,"NO",('Activity data'!AR22*EF!$H35)*kgtoGg)</f>
        <v>9.5012864893657414E-2</v>
      </c>
      <c r="AS35" s="27">
        <f>IF(('Activity data'!AS22*EF!$H35)*kgtoGg=0,"NO",('Activity data'!AS22*EF!$H35)*kgtoGg)</f>
        <v>9.6983164815569928E-2</v>
      </c>
      <c r="AT35" s="27">
        <f>IF(('Activity data'!AT22*EF!$H35)*kgtoGg=0,"NO",('Activity data'!AT22*EF!$H35)*kgtoGg)</f>
        <v>9.8736943404101787E-2</v>
      </c>
      <c r="AU35" s="27">
        <f>IF(('Activity data'!AU22*EF!$H35)*kgtoGg=0,"NO",('Activity data'!AU22*EF!$H35)*kgtoGg)</f>
        <v>0.10130653187835065</v>
      </c>
      <c r="AV35" s="27">
        <f>IF(('Activity data'!AV22*EF!$H35)*kgtoGg=0,"NO",('Activity data'!AV22*EF!$H35)*kgtoGg)</f>
        <v>0.10379903446772733</v>
      </c>
      <c r="AW35" s="27">
        <f>IF(('Activity data'!AW22*EF!$H35)*kgtoGg=0,"NO",('Activity data'!AW22*EF!$H35)*kgtoGg)</f>
        <v>0.1067152128865853</v>
      </c>
      <c r="AX35" s="27">
        <f>IF(('Activity data'!AX22*EF!$H35)*kgtoGg=0,"NO",('Activity data'!AX22*EF!$H35)*kgtoGg)</f>
        <v>0.11043111193198749</v>
      </c>
      <c r="AY35" s="27">
        <f>IF(('Activity data'!AY22*EF!$H35)*kgtoGg=0,"NO",('Activity data'!AY22*EF!$H35)*kgtoGg)</f>
        <v>0.11453121722526576</v>
      </c>
      <c r="AZ35" s="27">
        <f>IF(('Activity data'!AZ22*EF!$H35)*kgtoGg=0,"NO",('Activity data'!AZ22*EF!$H35)*kgtoGg)</f>
        <v>0.11949461194818344</v>
      </c>
      <c r="BA35" s="27">
        <f>IF(('Activity data'!BA22*EF!$H35)*kgtoGg=0,"NO",('Activity data'!BA22*EF!$H35)*kgtoGg)</f>
        <v>0.12314286787078389</v>
      </c>
      <c r="BB35" s="27">
        <f>IF(('Activity data'!BB22*EF!$H35)*kgtoGg=0,"NO",('Activity data'!BB22*EF!$H35)*kgtoGg)</f>
        <v>0.12669861870544499</v>
      </c>
      <c r="BC35" s="27">
        <f>IF(('Activity data'!BC22*EF!$H35)*kgtoGg=0,"NO",('Activity data'!BC22*EF!$H35)*kgtoGg)</f>
        <v>0.13069366582827113</v>
      </c>
      <c r="BD35" s="27">
        <f>IF(('Activity data'!BD22*EF!$H35)*kgtoGg=0,"NO",('Activity data'!BD22*EF!$H35)*kgtoGg)</f>
        <v>0.13451096019485542</v>
      </c>
      <c r="BE35" s="27">
        <f>IF(('Activity data'!BE22*EF!$H35)*kgtoGg=0,"NO",('Activity data'!BE22*EF!$H35)*kgtoGg)</f>
        <v>0.13857172384876518</v>
      </c>
      <c r="BF35" s="27">
        <f>IF(('Activity data'!BF22*EF!$H35)*kgtoGg=0,"NO",('Activity data'!BF22*EF!$H35)*kgtoGg)</f>
        <v>0.14266056672033503</v>
      </c>
      <c r="BG35" s="27">
        <f>IF(('Activity data'!BG22*EF!$H35)*kgtoGg=0,"NO",('Activity data'!BG22*EF!$H35)*kgtoGg)</f>
        <v>0.14751337126697986</v>
      </c>
      <c r="BH35" s="27">
        <f>IF(('Activity data'!BH22*EF!$H35)*kgtoGg=0,"NO",('Activity data'!BH22*EF!$H35)*kgtoGg)</f>
        <v>0.15213070484534344</v>
      </c>
      <c r="BI35" s="27">
        <f>IF(('Activity data'!BI22*EF!$H35)*kgtoGg=0,"NO",('Activity data'!BI22*EF!$H35)*kgtoGg)</f>
        <v>0.15683465890006026</v>
      </c>
      <c r="BJ35" s="27">
        <f>IF(('Activity data'!BJ22*EF!$H35)*kgtoGg=0,"NO",('Activity data'!BJ22*EF!$H35)*kgtoGg)</f>
        <v>0.16170917290182402</v>
      </c>
      <c r="BK35" s="27">
        <f>IF(('Activity data'!BK22*EF!$H35)*kgtoGg=0,"NO",('Activity data'!BK22*EF!$H35)*kgtoGg)</f>
        <v>0.16678657725659471</v>
      </c>
      <c r="BL35" s="27">
        <f>IF(('Activity data'!BL22*EF!$H35)*kgtoGg=0,"NO",('Activity data'!BL22*EF!$H35)*kgtoGg)</f>
        <v>0.17276970421788695</v>
      </c>
      <c r="BM35" s="27">
        <f>IF(('Activity data'!BM22*EF!$H35)*kgtoGg=0,"NO",('Activity data'!BM22*EF!$H35)*kgtoGg)</f>
        <v>0.17662295386808796</v>
      </c>
      <c r="BN35" s="27">
        <f>IF(('Activity data'!BN22*EF!$H35)*kgtoGg=0,"NO",('Activity data'!BN22*EF!$H35)*kgtoGg)</f>
        <v>0.18034032757138141</v>
      </c>
      <c r="BO35" s="27">
        <f>IF(('Activity data'!BO22*EF!$H35)*kgtoGg=0,"NO",('Activity data'!BO22*EF!$H35)*kgtoGg)</f>
        <v>0.18415126429237305</v>
      </c>
      <c r="BP35" s="27">
        <f>IF(('Activity data'!BP22*EF!$H35)*kgtoGg=0,"NO",('Activity data'!BP22*EF!$H35)*kgtoGg)</f>
        <v>0.18795956944920184</v>
      </c>
    </row>
    <row r="36" spans="1:68" x14ac:dyDescent="0.2">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5.9806569587962537E-2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6.0782907527895308E-2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6.1344406036983767E-2</v>
      </c>
      <c r="AL36" s="27">
        <f>IF(('Activity data'!AL5*EF!$H36*EF!K54)*NtoN2O*kgtoGg=0,"NO",('Activity data'!AL5*EF!$H36*EF!K54)*NtoN2O*kgtoGg)</f>
        <v>5.9665089567979834E-2</v>
      </c>
      <c r="AM36" s="27">
        <f>IF(('Activity data'!AM5*EF!$H36*EF!L54)*NtoN2O*kgtoGg=0,"NO",('Activity data'!AM5*EF!$H36*EF!L54)*NtoN2O*kgtoGg)</f>
        <v>6.0350771242359769E-2</v>
      </c>
      <c r="AN36" s="27">
        <f>IF(('Activity data'!AN5*EF!$H36*EF!M54)*NtoN2O*kgtoGg=0,"NO",('Activity data'!AN5*EF!$H36*EF!M54)*NtoN2O*kgtoGg)</f>
        <v>6.0888075169397142E-2</v>
      </c>
      <c r="AO36" s="27">
        <f>IF(('Activity data'!AO5*EF!$H36*EF!N54)*NtoN2O*kgtoGg=0,"NO",('Activity data'!AO5*EF!$H36*EF!N54)*NtoN2O*kgtoGg)</f>
        <v>6.139711160102531E-2</v>
      </c>
      <c r="AP36" s="27">
        <f>IF(('Activity data'!AP5*EF!$H36*EF!O54)*NtoN2O*kgtoGg=0,"NO",('Activity data'!AP5*EF!$H36*EF!O54)*NtoN2O*kgtoGg)</f>
        <v>6.1992224918562065E-2</v>
      </c>
      <c r="AQ36" s="27">
        <f>IF(('Activity data'!AQ5*EF!$H36*EF!P54)*NtoN2O*kgtoGg=0,"NO",('Activity data'!AQ5*EF!$H36*EF!P54)*NtoN2O*kgtoGg)</f>
        <v>6.2562148930794551E-2</v>
      </c>
      <c r="AR36" s="27">
        <f>IF(('Activity data'!AR5*EF!$H36*EF!Q54)*NtoN2O*kgtoGg=0,"NO",('Activity data'!AR5*EF!$H36*EF!Q54)*NtoN2O*kgtoGg)</f>
        <v>6.3040140287419597E-2</v>
      </c>
      <c r="AS36" s="27">
        <f>IF(('Activity data'!AS5*EF!$H36*EF!R54)*NtoN2O*kgtoGg=0,"NO",('Activity data'!AS5*EF!$H36*EF!R54)*NtoN2O*kgtoGg)</f>
        <v>6.3504855616237185E-2</v>
      </c>
      <c r="AT36" s="27">
        <f>IF(('Activity data'!AT5*EF!$H36*EF!S54)*NtoN2O*kgtoGg=0,"NO",('Activity data'!AT5*EF!$H36*EF!S54)*NtoN2O*kgtoGg)</f>
        <v>6.3945644322408624E-2</v>
      </c>
      <c r="AU36" s="27">
        <f>IF(('Activity data'!AU5*EF!$H36*EF!T54)*NtoN2O*kgtoGg=0,"NO",('Activity data'!AU5*EF!$H36*EF!T54)*NtoN2O*kgtoGg)</f>
        <v>6.4519032075900526E-2</v>
      </c>
      <c r="AV36" s="27">
        <f>IF(('Activity data'!AV5*EF!$H36*EF!U54)*NtoN2O*kgtoGg=0,"NO",('Activity data'!AV5*EF!$H36*EF!U54)*NtoN2O*kgtoGg)</f>
        <v>6.5089471381032354E-2</v>
      </c>
      <c r="AW36" s="27">
        <f>IF(('Activity data'!AW5*EF!$H36*EF!V54)*NtoN2O*kgtoGg=0,"NO",('Activity data'!AW5*EF!$H36*EF!V54)*NtoN2O*kgtoGg)</f>
        <v>6.5684604542898692E-2</v>
      </c>
      <c r="AX36" s="27">
        <f>IF(('Activity data'!AX5*EF!$H36*EF!W54)*NtoN2O*kgtoGg=0,"NO",('Activity data'!AX5*EF!$H36*EF!W54)*NtoN2O*kgtoGg)</f>
        <v>6.6410653636350389E-2</v>
      </c>
      <c r="AY36" s="27">
        <f>IF(('Activity data'!AY5*EF!$H36*EF!X54)*NtoN2O*kgtoGg=0,"NO",('Activity data'!AY5*EF!$H36*EF!X54)*NtoN2O*kgtoGg)</f>
        <v>6.7204391254708923E-2</v>
      </c>
      <c r="AZ36" s="27">
        <f>IF(('Activity data'!AZ5*EF!$H36*EF!Y54)*NtoN2O*kgtoGg=0,"NO",('Activity data'!AZ5*EF!$H36*EF!Y54)*NtoN2O*kgtoGg)</f>
        <v>6.8140044673053207E-2</v>
      </c>
      <c r="BA36" s="27">
        <f>IF(('Activity data'!BA5*EF!$H36*EF!Z54)*NtoN2O*kgtoGg=0,"NO",('Activity data'!BA5*EF!$H36*EF!Z54)*NtoN2O*kgtoGg)</f>
        <v>6.888108453498494E-2</v>
      </c>
      <c r="BB36" s="27">
        <f>IF(('Activity data'!BB5*EF!$H36*EF!AA54)*NtoN2O*kgtoGg=0,"NO",('Activity data'!BB5*EF!$H36*EF!AA54)*NtoN2O*kgtoGg)</f>
        <v>6.9569502535986497E-2</v>
      </c>
      <c r="BC36" s="27">
        <f>IF(('Activity data'!BC5*EF!$H36*EF!AB54)*NtoN2O*kgtoGg=0,"NO",('Activity data'!BC5*EF!$H36*EF!AB54)*NtoN2O*kgtoGg)</f>
        <v>7.0333394582188791E-2</v>
      </c>
      <c r="BD36" s="27">
        <f>IF(('Activity data'!BD5*EF!$H36*EF!AC54)*NtoN2O*kgtoGg=0,"NO",('Activity data'!BD5*EF!$H36*EF!AC54)*NtoN2O*kgtoGg)</f>
        <v>7.1076775459671046E-2</v>
      </c>
      <c r="BE36" s="27">
        <f>IF(('Activity data'!BE5*EF!$H36*EF!AD54)*NtoN2O*kgtoGg=0,"NO",('Activity data'!BE5*EF!$H36*EF!AD54)*NtoN2O*kgtoGg)</f>
        <v>7.1865166896586383E-2</v>
      </c>
      <c r="BF36" s="27">
        <f>IF(('Activity data'!BF5*EF!$H36*EF!AE54)*NtoN2O*kgtoGg=0,"NO",('Activity data'!BF5*EF!$H36*EF!AE54)*NtoN2O*kgtoGg)</f>
        <v>7.2664891568343645E-2</v>
      </c>
      <c r="BG36" s="27">
        <f>IF(('Activity data'!BG5*EF!$H36*EF!AF54)*NtoN2O*kgtoGg=0,"NO",('Activity data'!BG5*EF!$H36*EF!AF54)*NtoN2O*kgtoGg)</f>
        <v>7.3548705139755158E-2</v>
      </c>
      <c r="BH36" s="27">
        <f>IF(('Activity data'!BH5*EF!$H36*EF!AG54)*NtoN2O*kgtoGg=0,"NO",('Activity data'!BH5*EF!$H36*EF!AG54)*NtoN2O*kgtoGg)</f>
        <v>7.4402331665901211E-2</v>
      </c>
      <c r="BI36" s="27">
        <f>IF(('Activity data'!BI5*EF!$H36*EF!AH54)*NtoN2O*kgtoGg=0,"NO",('Activity data'!BI5*EF!$H36*EF!AH54)*NtoN2O*kgtoGg)</f>
        <v>7.5276250928073038E-2</v>
      </c>
      <c r="BJ36" s="27">
        <f>IF(('Activity data'!BJ5*EF!$H36*EF!AI54)*NtoN2O*kgtoGg=0,"NO",('Activity data'!BJ5*EF!$H36*EF!AI54)*NtoN2O*kgtoGg)</f>
        <v>7.6183713879707002E-2</v>
      </c>
      <c r="BK36" s="27">
        <f>IF(('Activity data'!BK5*EF!$H36*EF!AJ54)*NtoN2O*kgtoGg=0,"NO",('Activity data'!BK5*EF!$H36*EF!AJ54)*NtoN2O*kgtoGg)</f>
        <v>7.7129908476892481E-2</v>
      </c>
      <c r="BL36" s="27">
        <f>IF(('Activity data'!BL5*EF!$H36*EF!AK54)*NtoN2O*kgtoGg=0,"NO",('Activity data'!BL5*EF!$H36*EF!AK54)*NtoN2O*kgtoGg)</f>
        <v>7.8183489117849933E-2</v>
      </c>
      <c r="BM36" s="27">
        <f>IF(('Activity data'!BM5*EF!$H36*EF!AL54)*NtoN2O*kgtoGg=0,"NO",('Activity data'!BM5*EF!$H36*EF!AL54)*NtoN2O*kgtoGg)</f>
        <v>7.890407273633461E-2</v>
      </c>
      <c r="BN36" s="27">
        <f>IF(('Activity data'!BN5*EF!$H36*EF!AM54)*NtoN2O*kgtoGg=0,"NO",('Activity data'!BN5*EF!$H36*EF!AM54)*NtoN2O*kgtoGg)</f>
        <v>7.960808386314952E-2</v>
      </c>
      <c r="BO36" s="27">
        <f>IF(('Activity data'!BO5*EF!$H36*EF!AN54)*NtoN2O*kgtoGg=0,"NO",('Activity data'!BO5*EF!$H36*EF!AN54)*NtoN2O*kgtoGg)</f>
        <v>8.0332044119121343E-2</v>
      </c>
      <c r="BP36" s="27">
        <f>IF(('Activity data'!BP5*EF!$H36*EF!AO54)*NtoN2O*kgtoGg=0,"NO",('Activity data'!BP5*EF!$H36*EF!AO54)*NtoN2O*kgtoGg)</f>
        <v>8.1060500675567429E-2</v>
      </c>
    </row>
    <row r="37" spans="1:68" x14ac:dyDescent="0.2">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0.26187096745907495</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0.26614599213711054</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0.26860458755254496</v>
      </c>
      <c r="AL37" s="27">
        <f>IF(('Activity data'!AL6*EF!$H37*EF!K55)*NtoN2O*kgtoGg=0,"NO",('Activity data'!AL6*EF!$H37*EF!K55)*NtoN2O*kgtoGg)</f>
        <v>0.26125147849717245</v>
      </c>
      <c r="AM37" s="27">
        <f>IF(('Activity data'!AM6*EF!$H37*EF!L55)*NtoN2O*kgtoGg=0,"NO",('Activity data'!AM6*EF!$H37*EF!L55)*NtoN2O*kgtoGg)</f>
        <v>0.26425382631073058</v>
      </c>
      <c r="AN37" s="27">
        <f>IF(('Activity data'!AN6*EF!$H37*EF!M55)*NtoN2O*kgtoGg=0,"NO",('Activity data'!AN6*EF!$H37*EF!M55)*NtoN2O*kgtoGg)</f>
        <v>0.26660648255171249</v>
      </c>
      <c r="AO37" s="27">
        <f>IF(('Activity data'!AO6*EF!$H37*EF!N55)*NtoN2O*kgtoGg=0,"NO",('Activity data'!AO6*EF!$H37*EF!N55)*NtoN2O*kgtoGg)</f>
        <v>0.26883536582893036</v>
      </c>
      <c r="AP37" s="27">
        <f>IF(('Activity data'!AP6*EF!$H37*EF!O55)*NtoN2O*kgtoGg=0,"NO",('Activity data'!AP6*EF!$H37*EF!O55)*NtoN2O*kgtoGg)</f>
        <v>0.27144114812483544</v>
      </c>
      <c r="AQ37" s="27">
        <f>IF(('Activity data'!AQ6*EF!$H37*EF!P55)*NtoN2O*kgtoGg=0,"NO",('Activity data'!AQ6*EF!$H37*EF!P55)*NtoN2O*kgtoGg)</f>
        <v>0.27393663571908672</v>
      </c>
      <c r="AR37" s="27">
        <f>IF(('Activity data'!AR6*EF!$H37*EF!Q55)*NtoN2O*kgtoGg=0,"NO",('Activity data'!AR6*EF!$H37*EF!Q55)*NtoN2O*kgtoGg)</f>
        <v>0.27602958403327432</v>
      </c>
      <c r="AS37" s="27">
        <f>IF(('Activity data'!AS6*EF!$H37*EF!R55)*NtoN2O*kgtoGg=0,"NO",('Activity data'!AS6*EF!$H37*EF!R55)*NtoN2O*kgtoGg)</f>
        <v>0.27806440150548434</v>
      </c>
      <c r="AT37" s="27">
        <f>IF(('Activity data'!AT6*EF!$H37*EF!S55)*NtoN2O*kgtoGg=0,"NO",('Activity data'!AT6*EF!$H37*EF!S55)*NtoN2O*kgtoGg)</f>
        <v>0.27999445309890292</v>
      </c>
      <c r="AU37" s="27">
        <f>IF(('Activity data'!AU6*EF!$H37*EF!T55)*NtoN2O*kgtoGg=0,"NO",('Activity data'!AU6*EF!$H37*EF!T55)*NtoN2O*kgtoGg)</f>
        <v>0.28250510714193849</v>
      </c>
      <c r="AV37" s="27">
        <f>IF(('Activity data'!AV6*EF!$H37*EF!U55)*NtoN2O*kgtoGg=0,"NO",('Activity data'!AV6*EF!$H37*EF!U55)*NtoN2O*kgtoGg)</f>
        <v>0.2850028510142375</v>
      </c>
      <c r="AW37" s="27">
        <f>IF(('Activity data'!AW6*EF!$H37*EF!V55)*NtoN2O*kgtoGg=0,"NO",('Activity data'!AW6*EF!$H37*EF!V55)*NtoN2O*kgtoGg)</f>
        <v>0.2876087202011619</v>
      </c>
      <c r="AX37" s="27">
        <f>IF(('Activity data'!AX6*EF!$H37*EF!W55)*NtoN2O*kgtoGg=0,"NO",('Activity data'!AX6*EF!$H37*EF!W55)*NtoN2O*kgtoGg)</f>
        <v>0.29078782209305915</v>
      </c>
      <c r="AY37" s="27">
        <f>IF(('Activity data'!AY6*EF!$H37*EF!X55)*NtoN2O*kgtoGg=0,"NO",('Activity data'!AY6*EF!$H37*EF!X55)*NtoN2O*kgtoGg)</f>
        <v>0.29426330713525839</v>
      </c>
      <c r="AZ37" s="27">
        <f>IF(('Activity data'!AZ6*EF!$H37*EF!Y55)*NtoN2O*kgtoGg=0,"NO",('Activity data'!AZ6*EF!$H37*EF!Y55)*NtoN2O*kgtoGg)</f>
        <v>0.29836018925968516</v>
      </c>
      <c r="BA37" s="27">
        <f>IF(('Activity data'!BA6*EF!$H37*EF!Z55)*NtoN2O*kgtoGg=0,"NO",('Activity data'!BA6*EF!$H37*EF!Z55)*NtoN2O*kgtoGg)</f>
        <v>0.30160493021217166</v>
      </c>
      <c r="BB37" s="27">
        <f>IF(('Activity data'!BB6*EF!$H37*EF!AA55)*NtoN2O*kgtoGg=0,"NO",('Activity data'!BB6*EF!$H37*EF!AA55)*NtoN2O*kgtoGg)</f>
        <v>0.30461925939340617</v>
      </c>
      <c r="BC37" s="27">
        <f>IF(('Activity data'!BC6*EF!$H37*EF!AB55)*NtoN2O*kgtoGg=0,"NO",('Activity data'!BC6*EF!$H37*EF!AB55)*NtoN2O*kgtoGg)</f>
        <v>0.30796406165428591</v>
      </c>
      <c r="BD37" s="27">
        <f>IF(('Activity data'!BD6*EF!$H37*EF!AC55)*NtoN2O*kgtoGg=0,"NO",('Activity data'!BD6*EF!$H37*EF!AC55)*NtoN2O*kgtoGg)</f>
        <v>0.31121905305268976</v>
      </c>
      <c r="BE37" s="27">
        <f>IF(('Activity data'!BE6*EF!$H37*EF!AD55)*NtoN2O*kgtoGg=0,"NO",('Activity data'!BE6*EF!$H37*EF!AD55)*NtoN2O*kgtoGg)</f>
        <v>0.31467112913302436</v>
      </c>
      <c r="BF37" s="27">
        <f>IF(('Activity data'!BF6*EF!$H37*EF!AE55)*NtoN2O*kgtoGg=0,"NO",('Activity data'!BF6*EF!$H37*EF!AE55)*NtoN2O*kgtoGg)</f>
        <v>0.31817282927962681</v>
      </c>
      <c r="BG37" s="27">
        <f>IF(('Activity data'!BG6*EF!$H37*EF!AF55)*NtoN2O*kgtoGg=0,"NO",('Activity data'!BG6*EF!$H37*EF!AF55)*NtoN2O*kgtoGg)</f>
        <v>0.32204272378442023</v>
      </c>
      <c r="BH37" s="27">
        <f>IF(('Activity data'!BH6*EF!$H37*EF!AG55)*NtoN2O*kgtoGg=0,"NO",('Activity data'!BH6*EF!$H37*EF!AG55)*NtoN2O*kgtoGg)</f>
        <v>0.32578044032276504</v>
      </c>
      <c r="BI37" s="27">
        <f>IF(('Activity data'!BI6*EF!$H37*EF!AH55)*NtoN2O*kgtoGg=0,"NO",('Activity data'!BI6*EF!$H37*EF!AH55)*NtoN2O*kgtoGg)</f>
        <v>0.32960701128717151</v>
      </c>
      <c r="BJ37" s="27">
        <f>IF(('Activity data'!BJ6*EF!$H37*EF!AI55)*NtoN2O*kgtoGg=0,"NO",('Activity data'!BJ6*EF!$H37*EF!AI55)*NtoN2O*kgtoGg)</f>
        <v>0.33358045772817063</v>
      </c>
      <c r="BK37" s="27">
        <f>IF(('Activity data'!BK6*EF!$H37*EF!AJ55)*NtoN2O*kgtoGg=0,"NO",('Activity data'!BK6*EF!$H37*EF!AJ55)*NtoN2O*kgtoGg)</f>
        <v>0.33772349579700817</v>
      </c>
      <c r="BL37" s="27">
        <f>IF(('Activity data'!BL6*EF!$H37*EF!AK55)*NtoN2O*kgtoGg=0,"NO",('Activity data'!BL6*EF!$H37*EF!AK55)*NtoN2O*kgtoGg)</f>
        <v>0.34233673784791513</v>
      </c>
      <c r="BM37" s="27">
        <f>IF(('Activity data'!BM6*EF!$H37*EF!AL55)*NtoN2O*kgtoGg=0,"NO",('Activity data'!BM6*EF!$H37*EF!AL55)*NtoN2O*kgtoGg)</f>
        <v>0.34549190843549077</v>
      </c>
      <c r="BN37" s="27">
        <f>IF(('Activity data'!BN6*EF!$H37*EF!AM55)*NtoN2O*kgtoGg=0,"NO",('Activity data'!BN6*EF!$H37*EF!AM55)*NtoN2O*kgtoGg)</f>
        <v>0.34857451417849072</v>
      </c>
      <c r="BO37" s="27">
        <f>IF(('Activity data'!BO6*EF!$H37*EF!AN55)*NtoN2O*kgtoGg=0,"NO",('Activity data'!BO6*EF!$H37*EF!AN55)*NtoN2O*kgtoGg)</f>
        <v>0.35174446981947466</v>
      </c>
      <c r="BP37" s="27">
        <f>IF(('Activity data'!BP6*EF!$H37*EF!AO55)*NtoN2O*kgtoGg=0,"NO",('Activity data'!BP6*EF!$H37*EF!AO55)*NtoN2O*kgtoGg)</f>
        <v>0.3549341131062021</v>
      </c>
    </row>
    <row r="38" spans="1:68" x14ac:dyDescent="0.2">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1.1651711689683767E-2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1.1841925043604104E-2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1.1951318021451857E-2</v>
      </c>
      <c r="AL38" s="27">
        <f>IF(('Activity data'!AL7*EF!$H38*EF!K56)*NtoN2O*kgtoGg=0,"NO",('Activity data'!AL7*EF!$H38*EF!K56)*NtoN2O*kgtoGg)</f>
        <v>1.1624148088994974E-2</v>
      </c>
      <c r="AM38" s="27">
        <f>IF(('Activity data'!AM7*EF!$H38*EF!L56)*NtoN2O*kgtoGg=0,"NO",('Activity data'!AM7*EF!$H38*EF!L56)*NtoN2O*kgtoGg)</f>
        <v>1.1757734837671872E-2</v>
      </c>
      <c r="AN38" s="27">
        <f>IF(('Activity data'!AN7*EF!$H38*EF!M56)*NtoN2O*kgtoGg=0,"NO",('Activity data'!AN7*EF!$H38*EF!M56)*NtoN2O*kgtoGg)</f>
        <v>1.1862414147833051E-2</v>
      </c>
      <c r="AO38" s="27">
        <f>IF(('Activity data'!AO7*EF!$H38*EF!N56)*NtoN2O*kgtoGg=0,"NO",('Activity data'!AO7*EF!$H38*EF!N56)*NtoN2O*kgtoGg)</f>
        <v>1.1961586291992786E-2</v>
      </c>
      <c r="AP38" s="27">
        <f>IF(('Activity data'!AP7*EF!$H38*EF!O56)*NtoN2O*kgtoGg=0,"NO",('Activity data'!AP7*EF!$H38*EF!O56)*NtoN2O*kgtoGg)</f>
        <v>1.2077528216874986E-2</v>
      </c>
      <c r="AQ38" s="27">
        <f>IF(('Activity data'!AQ7*EF!$H38*EF!P56)*NtoN2O*kgtoGg=0,"NO",('Activity data'!AQ7*EF!$H38*EF!P56)*NtoN2O*kgtoGg)</f>
        <v>1.218856267882977E-2</v>
      </c>
      <c r="AR38" s="27">
        <f>IF(('Activity data'!AR7*EF!$H38*EF!Q56)*NtoN2O*kgtoGg=0,"NO",('Activity data'!AR7*EF!$H38*EF!Q56)*NtoN2O*kgtoGg)</f>
        <v>1.2281686519837978E-2</v>
      </c>
      <c r="AS38" s="27">
        <f>IF(('Activity data'!AS7*EF!$H38*EF!R56)*NtoN2O*kgtoGg=0,"NO",('Activity data'!AS7*EF!$H38*EF!R56)*NtoN2O*kgtoGg)</f>
        <v>1.2372223881643949E-2</v>
      </c>
      <c r="AT38" s="27">
        <f>IF(('Activity data'!AT7*EF!$H38*EF!S56)*NtoN2O*kgtoGg=0,"NO",('Activity data'!AT7*EF!$H38*EF!S56)*NtoN2O*kgtoGg)</f>
        <v>1.2458099780491892E-2</v>
      </c>
      <c r="AU38" s="27">
        <f>IF(('Activity data'!AU7*EF!$H38*EF!T56)*NtoN2O*kgtoGg=0,"NO",('Activity data'!AU7*EF!$H38*EF!T56)*NtoN2O*kgtoGg)</f>
        <v>1.256980905985888E-2</v>
      </c>
      <c r="AV38" s="27">
        <f>IF(('Activity data'!AV7*EF!$H38*EF!U56)*NtoN2O*kgtoGg=0,"NO",('Activity data'!AV7*EF!$H38*EF!U56)*NtoN2O*kgtoGg)</f>
        <v>1.2680943912863346E-2</v>
      </c>
      <c r="AW38" s="27">
        <f>IF(('Activity data'!AW7*EF!$H38*EF!V56)*NtoN2O*kgtoGg=0,"NO",('Activity data'!AW7*EF!$H38*EF!V56)*NtoN2O*kgtoGg)</f>
        <v>1.2796889703882807E-2</v>
      </c>
      <c r="AX38" s="27">
        <f>IF(('Activity data'!AX7*EF!$H38*EF!W56)*NtoN2O*kgtoGg=0,"NO",('Activity data'!AX7*EF!$H38*EF!W56)*NtoN2O*kgtoGg)</f>
        <v>1.2938340965303392E-2</v>
      </c>
      <c r="AY38" s="27">
        <f>IF(('Activity data'!AY7*EF!$H38*EF!X56)*NtoN2O*kgtoGg=0,"NO",('Activity data'!AY7*EF!$H38*EF!X56)*NtoN2O*kgtoGg)</f>
        <v>1.3092979526753859E-2</v>
      </c>
      <c r="AZ38" s="27">
        <f>IF(('Activity data'!AZ7*EF!$H38*EF!Y56)*NtoN2O*kgtoGg=0,"NO",('Activity data'!AZ7*EF!$H38*EF!Y56)*NtoN2O*kgtoGg)</f>
        <v>1.3275266588980031E-2</v>
      </c>
      <c r="BA38" s="27">
        <f>IF(('Activity data'!BA7*EF!$H38*EF!Z56)*NtoN2O*kgtoGg=0,"NO",('Activity data'!BA7*EF!$H38*EF!Z56)*NtoN2O*kgtoGg)</f>
        <v>1.3419638400994631E-2</v>
      </c>
      <c r="BB38" s="27">
        <f>IF(('Activity data'!BB7*EF!$H38*EF!AA56)*NtoN2O*kgtoGg=0,"NO",('Activity data'!BB7*EF!$H38*EF!AA56)*NtoN2O*kgtoGg)</f>
        <v>1.3553758249782499E-2</v>
      </c>
      <c r="BC38" s="27">
        <f>IF(('Activity data'!BC7*EF!$H38*EF!AB56)*NtoN2O*kgtoGg=0,"NO",('Activity data'!BC7*EF!$H38*EF!AB56)*NtoN2O*kgtoGg)</f>
        <v>1.3702582199153161E-2</v>
      </c>
      <c r="BD38" s="27">
        <f>IF(('Activity data'!BD7*EF!$H38*EF!AC56)*NtoN2O*kgtoGg=0,"NO",('Activity data'!BD7*EF!$H38*EF!AC56)*NtoN2O*kgtoGg)</f>
        <v>1.3847410095481636E-2</v>
      </c>
      <c r="BE38" s="27">
        <f>IF(('Activity data'!BE7*EF!$H38*EF!AD56)*NtoN2O*kgtoGg=0,"NO",('Activity data'!BE7*EF!$H38*EF!AD56)*NtoN2O*kgtoGg)</f>
        <v>1.4001007096360315E-2</v>
      </c>
      <c r="BF38" s="27">
        <f>IF(('Activity data'!BF7*EF!$H38*EF!AE56)*NtoN2O*kgtoGg=0,"NO",('Activity data'!BF7*EF!$H38*EF!AE56)*NtoN2O*kgtoGg)</f>
        <v>1.4156812075155119E-2</v>
      </c>
      <c r="BG38" s="27">
        <f>IF(('Activity data'!BG7*EF!$H38*EF!AF56)*NtoN2O*kgtoGg=0,"NO",('Activity data'!BG7*EF!$H38*EF!AF56)*NtoN2O*kgtoGg)</f>
        <v>1.432899952868179E-2</v>
      </c>
      <c r="BH38" s="27">
        <f>IF(('Activity data'!BH7*EF!$H38*EF!AG56)*NtoN2O*kgtoGg=0,"NO",('Activity data'!BH7*EF!$H38*EF!AG56)*NtoN2O*kgtoGg)</f>
        <v>1.4495305843219548E-2</v>
      </c>
      <c r="BI38" s="27">
        <f>IF(('Activity data'!BI7*EF!$H38*EF!AH56)*NtoN2O*kgtoGg=0,"NO",('Activity data'!BI7*EF!$H38*EF!AH56)*NtoN2O*kgtoGg)</f>
        <v>1.4665565655026861E-2</v>
      </c>
      <c r="BJ38" s="27">
        <f>IF(('Activity data'!BJ7*EF!$H38*EF!AI56)*NtoN2O*kgtoGg=0,"NO",('Activity data'!BJ7*EF!$H38*EF!AI56)*NtoN2O*kgtoGg)</f>
        <v>1.4842360558234895E-2</v>
      </c>
      <c r="BK38" s="27">
        <f>IF(('Activity data'!BK7*EF!$H38*EF!AJ56)*NtoN2O*kgtoGg=0,"NO",('Activity data'!BK7*EF!$H38*EF!AJ56)*NtoN2O*kgtoGg)</f>
        <v>1.5026701287433988E-2</v>
      </c>
      <c r="BL38" s="27">
        <f>IF(('Activity data'!BL7*EF!$H38*EF!AK56)*NtoN2O*kgtoGg=0,"NO",('Activity data'!BL7*EF!$H38*EF!AK56)*NtoN2O*kgtoGg)</f>
        <v>1.5231963317255199E-2</v>
      </c>
      <c r="BM38" s="27">
        <f>IF(('Activity data'!BM7*EF!$H38*EF!AL56)*NtoN2O*kgtoGg=0,"NO",('Activity data'!BM7*EF!$H38*EF!AL56)*NtoN2O*kgtoGg)</f>
        <v>1.5372349776949124E-2</v>
      </c>
      <c r="BN38" s="27">
        <f>IF(('Activity data'!BN7*EF!$H38*EF!AM56)*NtoN2O*kgtoGg=0,"NO",('Activity data'!BN7*EF!$H38*EF!AM56)*NtoN2O*kgtoGg)</f>
        <v>1.550950752955876E-2</v>
      </c>
      <c r="BO38" s="27">
        <f>IF(('Activity data'!BO7*EF!$H38*EF!AN56)*NtoN2O*kgtoGg=0,"NO",('Activity data'!BO7*EF!$H38*EF!AN56)*NtoN2O*kgtoGg)</f>
        <v>1.5650551836822808E-2</v>
      </c>
      <c r="BP38" s="27">
        <f>IF(('Activity data'!BP7*EF!$H38*EF!AO56)*NtoN2O*kgtoGg=0,"NO",('Activity data'!BP7*EF!$H38*EF!AO56)*NtoN2O*kgtoGg)</f>
        <v>1.5792472128065831E-2</v>
      </c>
    </row>
    <row r="39" spans="1:68" x14ac:dyDescent="0.2">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0.52525224947331306</v>
      </c>
      <c r="AE39" s="27">
        <f>IF(('Activity data'!AE8*EF!$H39*EF!$H57)*NtoN2O*kgtoGg=0,"NO",('Activity data'!AE8*EF!$H39*EF!$H57)*NtoN2O*kgtoGg)</f>
        <v>0.5206969044571037</v>
      </c>
      <c r="AF39" s="27">
        <f>IF(('Activity data'!AF8*EF!$H39*EF!$H57)*NtoN2O*kgtoGg=0,"NO",('Activity data'!AF8*EF!$H39*EF!$H57)*NtoN2O*kgtoGg)</f>
        <v>0.51896282251134873</v>
      </c>
      <c r="AG39" s="27">
        <f>IF(('Activity data'!AG8*EF!$H39*EF!$H57)*NtoN2O*kgtoGg=0,"NO",('Activity data'!AG8*EF!$H39*EF!$H57)*NtoN2O*kgtoGg)</f>
        <v>0.51203275332440912</v>
      </c>
      <c r="AH39" s="27">
        <f>IF(('Activity data'!AH8*EF!$H39*EF!$H57)*NtoN2O*kgtoGg=0,"NO",('Activity data'!AH8*EF!$H39*EF!$H57)*NtoN2O*kgtoGg)</f>
        <v>0.50197358865556707</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0.41630918721469751</v>
      </c>
      <c r="AM39" s="27">
        <f>IF(('Activity data'!AM8*EF!$H39*EF!$H57)*NtoN2O*kgtoGg=0,"NO",('Activity data'!AM8*EF!$H39*EF!L57)*NtoN2O*kgtoGg)</f>
        <v>0.4242723493279994</v>
      </c>
      <c r="AN39" s="27">
        <f>IF(('Activity data'!AN8*EF!$H39*EF!$H57)*NtoN2O*kgtoGg=0,"NO",('Activity data'!AN8*EF!$H39*EF!M57)*NtoN2O*kgtoGg)</f>
        <v>0.42852994772024217</v>
      </c>
      <c r="AO39" s="27">
        <f>IF(('Activity data'!AO8*EF!$H39*EF!$H57)*NtoN2O*kgtoGg=0,"NO",('Activity data'!AO8*EF!$H39*EF!N57)*NtoN2O*kgtoGg)</f>
        <v>0.43180740758836011</v>
      </c>
      <c r="AP39" s="27">
        <f>IF(('Activity data'!AP8*EF!$H39*EF!$H57)*NtoN2O*kgtoGg=0,"NO",('Activity data'!AP8*EF!$H39*EF!O57)*NtoN2O*kgtoGg)</f>
        <v>0.43654938286292333</v>
      </c>
      <c r="AQ39" s="27">
        <f>IF(('Activity data'!AQ8*EF!$H39*EF!$H57)*NtoN2O*kgtoGg=0,"NO",('Activity data'!AQ8*EF!$H39*EF!P57)*NtoN2O*kgtoGg)</f>
        <v>0.44039774902333312</v>
      </c>
      <c r="AR39" s="27">
        <f>IF(('Activity data'!AR8*EF!$H39*EF!$H57)*NtoN2O*kgtoGg=0,"NO",('Activity data'!AR8*EF!$H39*EF!Q57)*NtoN2O*kgtoGg)</f>
        <v>0.44287861979972809</v>
      </c>
      <c r="AS39" s="27">
        <f>IF(('Activity data'!AS8*EF!$H39*EF!$H57)*NtoN2O*kgtoGg=0,"NO",('Activity data'!AS8*EF!$H39*EF!R57)*NtoN2O*kgtoGg)</f>
        <v>0.44480979206932508</v>
      </c>
      <c r="AT39" s="27">
        <f>IF(('Activity data'!AT8*EF!$H39*EF!$H57)*NtoN2O*kgtoGg=0,"NO",('Activity data'!AT8*EF!$H39*EF!S57)*NtoN2O*kgtoGg)</f>
        <v>0.44600669694391831</v>
      </c>
      <c r="AU39" s="27">
        <f>IF(('Activity data'!AU8*EF!$H39*EF!$H57)*NtoN2O*kgtoGg=0,"NO",('Activity data'!AU8*EF!$H39*EF!T57)*NtoN2O*kgtoGg)</f>
        <v>0.44955000580259225</v>
      </c>
      <c r="AV39" s="27">
        <f>IF(('Activity data'!AV8*EF!$H39*EF!$H57)*NtoN2O*kgtoGg=0,"NO",('Activity data'!AV8*EF!$H39*EF!U57)*NtoN2O*kgtoGg)</f>
        <v>0.45273812820401932</v>
      </c>
      <c r="AW39" s="27">
        <f>IF(('Activity data'!AW8*EF!$H39*EF!$H57)*NtoN2O*kgtoGg=0,"NO",('Activity data'!AW8*EF!$H39*EF!V57)*NtoN2O*kgtoGg)</f>
        <v>0.45290255961235854</v>
      </c>
      <c r="AX39" s="27">
        <f>IF(('Activity data'!AX8*EF!$H39*EF!$H57)*NtoN2O*kgtoGg=0,"NO",('Activity data'!AX8*EF!$H39*EF!W57)*NtoN2O*kgtoGg)</f>
        <v>0.45503830808408913</v>
      </c>
      <c r="AY39" s="27">
        <f>IF(('Activity data'!AY8*EF!$H39*EF!$H57)*NtoN2O*kgtoGg=0,"NO",('Activity data'!AY8*EF!$H39*EF!X57)*NtoN2O*kgtoGg)</f>
        <v>0.45786255495032313</v>
      </c>
      <c r="AZ39" s="27">
        <f>IF(('Activity data'!AZ8*EF!$H39*EF!$H57)*NtoN2O*kgtoGg=0,"NO",('Activity data'!AZ8*EF!$H39*EF!Y57)*NtoN2O*kgtoGg)</f>
        <v>0.46260418192872943</v>
      </c>
      <c r="BA39" s="27">
        <f>IF(('Activity data'!BA8*EF!$H39*EF!$H57)*NtoN2O*kgtoGg=0,"NO",('Activity data'!BA8*EF!$H39*EF!Z57)*NtoN2O*kgtoGg)</f>
        <v>0.46336149545626742</v>
      </c>
      <c r="BB39" s="27">
        <f>IF(('Activity data'!BB8*EF!$H39*EF!$H57)*NtoN2O*kgtoGg=0,"NO",('Activity data'!BB8*EF!$H39*EF!AA57)*NtoN2O*kgtoGg)</f>
        <v>0.46328199946784754</v>
      </c>
      <c r="BC39" s="27">
        <f>IF(('Activity data'!BC8*EF!$H39*EF!$H57)*NtoN2O*kgtoGg=0,"NO",('Activity data'!BC8*EF!$H39*EF!AB57)*NtoN2O*kgtoGg)</f>
        <v>0.46397768547065105</v>
      </c>
      <c r="BD39" s="27">
        <f>IF(('Activity data'!BD8*EF!$H39*EF!$H57)*NtoN2O*kgtoGg=0,"NO",('Activity data'!BD8*EF!$H39*EF!AC57)*NtoN2O*kgtoGg)</f>
        <v>0.46384928130278269</v>
      </c>
      <c r="BE39" s="27">
        <f>IF(('Activity data'!BE8*EF!$H39*EF!$H57)*NtoN2O*kgtoGg=0,"NO",('Activity data'!BE8*EF!$H39*EF!AD57)*NtoN2O*kgtoGg)</f>
        <v>0.46394752613960677</v>
      </c>
      <c r="BF39" s="27">
        <f>IF(('Activity data'!BF8*EF!$H39*EF!$H57)*NtoN2O*kgtoGg=0,"NO",('Activity data'!BF8*EF!$H39*EF!AE57)*NtoN2O*kgtoGg)</f>
        <v>0.46372456195327277</v>
      </c>
      <c r="BG39" s="27">
        <f>IF(('Activity data'!BG8*EF!$H39*EF!$H57)*NtoN2O*kgtoGg=0,"NO",('Activity data'!BG8*EF!$H39*EF!AF57)*NtoN2O*kgtoGg)</f>
        <v>0.46705287296965353</v>
      </c>
      <c r="BH39" s="27">
        <f>IF(('Activity data'!BH8*EF!$H39*EF!$H57)*NtoN2O*kgtoGg=0,"NO",('Activity data'!BH8*EF!$H39*EF!AG57)*NtoN2O*kgtoGg)</f>
        <v>0.46948772142871509</v>
      </c>
      <c r="BI39" s="27">
        <f>IF(('Activity data'!BI8*EF!$H39*EF!$H57)*NtoN2O*kgtoGg=0,"NO",('Activity data'!BI8*EF!$H39*EF!AH57)*NtoN2O*kgtoGg)</f>
        <v>0.47178208531317378</v>
      </c>
      <c r="BJ39" s="27">
        <f>IF(('Activity data'!BJ8*EF!$H39*EF!$H57)*NtoN2O*kgtoGg=0,"NO",('Activity data'!BJ8*EF!$H39*EF!AI57)*NtoN2O*kgtoGg)</f>
        <v>0.47411151157933035</v>
      </c>
      <c r="BK39" s="27">
        <f>IF(('Activity data'!BK8*EF!$H39*EF!$H57)*NtoN2O*kgtoGg=0,"NO",('Activity data'!BK8*EF!$H39*EF!AJ57)*NtoN2O*kgtoGg)</f>
        <v>0.47652651600833112</v>
      </c>
      <c r="BL39" s="27">
        <f>IF(('Activity data'!BL8*EF!$H39*EF!$H57)*NtoN2O*kgtoGg=0,"NO",('Activity data'!BL8*EF!$H39*EF!AK57)*NtoN2O*kgtoGg)</f>
        <v>0.48031110501678759</v>
      </c>
      <c r="BM39" s="27">
        <f>IF(('Activity data'!BM8*EF!$H39*EF!$H57)*NtoN2O*kgtoGg=0,"NO",('Activity data'!BM8*EF!$H39*EF!AL57)*NtoN2O*kgtoGg)</f>
        <v>0.47924514012499747</v>
      </c>
      <c r="BN39" s="27">
        <f>IF(('Activity data'!BN8*EF!$H39*EF!$H57)*NtoN2O*kgtoGg=0,"NO",('Activity data'!BN8*EF!$H39*EF!AM57)*NtoN2O*kgtoGg)</f>
        <v>0.47764693105288908</v>
      </c>
      <c r="BO39" s="27">
        <f>IF(('Activity data'!BO8*EF!$H39*EF!$H57)*NtoN2O*kgtoGg=0,"NO",('Activity data'!BO8*EF!$H39*EF!AN57)*NtoN2O*kgtoGg)</f>
        <v>0.47599161993934092</v>
      </c>
      <c r="BP39" s="27">
        <f>IF(('Activity data'!BP8*EF!$H39*EF!$H57)*NtoN2O*kgtoGg=0,"NO",('Activity data'!BP8*EF!$H39*EF!AO57)*NtoN2O*kgtoGg)</f>
        <v>0.4740811431084902</v>
      </c>
    </row>
    <row r="40" spans="1:68" x14ac:dyDescent="0.2">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0.80452586370517887</v>
      </c>
      <c r="AE40" s="27">
        <f>IF(('Activity data'!AE9*EF!$H40*EF!$H58)*NtoN2O*kgtoGg=0,"NO",('Activity data'!AE9*EF!$H40*EF!$H58)*NtoN2O*kgtoGg)</f>
        <v>0.79754846782098077</v>
      </c>
      <c r="AF40" s="27">
        <f>IF(('Activity data'!AF9*EF!$H40*EF!$H58)*NtoN2O*kgtoGg=0,"NO",('Activity data'!AF9*EF!$H40*EF!$H58)*NtoN2O*kgtoGg)</f>
        <v>0.79489238443144172</v>
      </c>
      <c r="AG40" s="27">
        <f>IF(('Activity data'!AG9*EF!$H40*EF!$H58)*NtoN2O*kgtoGg=0,"NO",('Activity data'!AG9*EF!$H40*EF!$H58)*NtoN2O*kgtoGg)</f>
        <v>0.78427763712907439</v>
      </c>
      <c r="AH40" s="27">
        <f>IF(('Activity data'!AH9*EF!$H40*EF!$H58)*NtoN2O*kgtoGg=0,"NO",('Activity data'!AH9*EF!$H40*EF!$H58)*NtoN2O*kgtoGg)</f>
        <v>0.76887007218962333</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0.63765839888958464</v>
      </c>
      <c r="AM40" s="27">
        <f>IF(('Activity data'!AM9*EF!$H40*EF!L58)*NtoN2O*kgtoGg=0,"NO",('Activity data'!AM9*EF!$H40*EF!L58)*NtoN2O*kgtoGg)</f>
        <v>0.64985552871330754</v>
      </c>
      <c r="AN40" s="27">
        <f>IF(('Activity data'!AN9*EF!$H40*EF!M58)*NtoN2O*kgtoGg=0,"NO",('Activity data'!AN9*EF!$H40*EF!M58)*NtoN2O*kgtoGg)</f>
        <v>0.65637686779803062</v>
      </c>
      <c r="AO40" s="27">
        <f>IF(('Activity data'!AO9*EF!$H40*EF!N58)*NtoN2O*kgtoGg=0,"NO",('Activity data'!AO9*EF!$H40*EF!N58)*NtoN2O*kgtoGg)</f>
        <v>0.66139693431616664</v>
      </c>
      <c r="AP40" s="27">
        <f>IF(('Activity data'!AP9*EF!$H40*EF!O58)*NtoN2O*kgtoGg=0,"NO",('Activity data'!AP9*EF!$H40*EF!O58)*NtoN2O*kgtoGg)</f>
        <v>0.66866019069871818</v>
      </c>
      <c r="AQ40" s="27">
        <f>IF(('Activity data'!AQ9*EF!$H40*EF!P58)*NtoN2O*kgtoGg=0,"NO",('Activity data'!AQ9*EF!$H40*EF!P58)*NtoN2O*kgtoGg)</f>
        <v>0.67455471111659759</v>
      </c>
      <c r="AR40" s="27">
        <f>IF(('Activity data'!AR9*EF!$H40*EF!Q58)*NtoN2O*kgtoGg=0,"NO",('Activity data'!AR9*EF!$H40*EF!Q58)*NtoN2O*kgtoGg)</f>
        <v>0.67835464668302581</v>
      </c>
      <c r="AS40" s="27">
        <f>IF(('Activity data'!AS9*EF!$H40*EF!R58)*NtoN2O*kgtoGg=0,"NO",('Activity data'!AS9*EF!$H40*EF!R58)*NtoN2O*kgtoGg)</f>
        <v>0.68131261219334738</v>
      </c>
      <c r="AT40" s="27">
        <f>IF(('Activity data'!AT9*EF!$H40*EF!S58)*NtoN2O*kgtoGg=0,"NO",('Activity data'!AT9*EF!$H40*EF!S58)*NtoN2O*kgtoGg)</f>
        <v>0.68314590453806523</v>
      </c>
      <c r="AU40" s="27">
        <f>IF(('Activity data'!AU9*EF!$H40*EF!T58)*NtoN2O*kgtoGg=0,"NO",('Activity data'!AU9*EF!$H40*EF!T58)*NtoN2O*kgtoGg)</f>
        <v>0.68857317043317978</v>
      </c>
      <c r="AV40" s="27">
        <f>IF(('Activity data'!AV9*EF!$H40*EF!U58)*NtoN2O*kgtoGg=0,"NO",('Activity data'!AV9*EF!$H40*EF!U58)*NtoN2O*kgtoGg)</f>
        <v>0.69345639926499891</v>
      </c>
      <c r="AW40" s="27">
        <f>IF(('Activity data'!AW9*EF!$H40*EF!V58)*NtoN2O*kgtoGg=0,"NO",('Activity data'!AW9*EF!$H40*EF!V58)*NtoN2O*kgtoGg)</f>
        <v>0.69370825791186275</v>
      </c>
      <c r="AX40" s="27">
        <f>IF(('Activity data'!AX9*EF!$H40*EF!W58)*NtoN2O*kgtoGg=0,"NO",('Activity data'!AX9*EF!$H40*EF!W58)*NtoN2O*kgtoGg)</f>
        <v>0.69697957161989321</v>
      </c>
      <c r="AY40" s="27">
        <f>IF(('Activity data'!AY9*EF!$H40*EF!X58)*NtoN2O*kgtoGg=0,"NO",('Activity data'!AY9*EF!$H40*EF!X58)*NtoN2O*kgtoGg)</f>
        <v>0.70130545437746739</v>
      </c>
      <c r="AZ40" s="27">
        <f>IF(('Activity data'!AZ9*EF!$H40*EF!Y58)*NtoN2O*kgtoGg=0,"NO",('Activity data'!AZ9*EF!$H40*EF!Y58)*NtoN2O*kgtoGg)</f>
        <v>0.70856817727678933</v>
      </c>
      <c r="BA40" s="27">
        <f>IF(('Activity data'!BA9*EF!$H40*EF!Z58)*NtoN2O*kgtoGg=0,"NO",('Activity data'!BA9*EF!$H40*EF!Z58)*NtoN2O*kgtoGg)</f>
        <v>0.70972815007166834</v>
      </c>
      <c r="BB40" s="27">
        <f>IF(('Activity data'!BB9*EF!$H40*EF!AA58)*NtoN2O*kgtoGg=0,"NO",('Activity data'!BB9*EF!$H40*EF!AA58)*NtoN2O*kgtoGg)</f>
        <v>0.70960638652128127</v>
      </c>
      <c r="BC40" s="27">
        <f>IF(('Activity data'!BC9*EF!$H40*EF!AB58)*NtoN2O*kgtoGg=0,"NO",('Activity data'!BC9*EF!$H40*EF!AB58)*NtoN2O*kgtoGg)</f>
        <v>0.71067196478931216</v>
      </c>
      <c r="BD40" s="27">
        <f>IF(('Activity data'!BD9*EF!$H40*EF!AC58)*NtoN2O*kgtoGg=0,"NO",('Activity data'!BD9*EF!$H40*EF!AC58)*NtoN2O*kgtoGg)</f>
        <v>0.71047528886043954</v>
      </c>
      <c r="BE40" s="27">
        <f>IF(('Activity data'!BE9*EF!$H40*EF!AD58)*NtoN2O*kgtoGg=0,"NO",('Activity data'!BE9*EF!$H40*EF!AD58)*NtoN2O*kgtoGg)</f>
        <v>0.71062576991459914</v>
      </c>
      <c r="BF40" s="27">
        <f>IF(('Activity data'!BF9*EF!$H40*EF!AE58)*NtoN2O*kgtoGg=0,"NO",('Activity data'!BF9*EF!$H40*EF!AE58)*NtoN2O*kgtoGg)</f>
        <v>0.71028425694675268</v>
      </c>
      <c r="BG40" s="27">
        <f>IF(('Activity data'!BG9*EF!$H40*EF!AF58)*NtoN2O*kgtoGg=0,"NO",('Activity data'!BG9*EF!$H40*EF!AF58)*NtoN2O*kgtoGg)</f>
        <v>0.71538221187758488</v>
      </c>
      <c r="BH40" s="27">
        <f>IF(('Activity data'!BH9*EF!$H40*EF!AG58)*NtoN2O*kgtoGg=0,"NO",('Activity data'!BH9*EF!$H40*EF!AG58)*NtoN2O*kgtoGg)</f>
        <v>0.71911165532400878</v>
      </c>
      <c r="BI40" s="27">
        <f>IF(('Activity data'!BI9*EF!$H40*EF!AH58)*NtoN2O*kgtoGg=0,"NO",('Activity data'!BI9*EF!$H40*EF!AH58)*NtoN2O*kgtoGg)</f>
        <v>0.7226259193517196</v>
      </c>
      <c r="BJ40" s="27">
        <f>IF(('Activity data'!BJ9*EF!$H40*EF!AI58)*NtoN2O*kgtoGg=0,"NO",('Activity data'!BJ9*EF!$H40*EF!AI58)*NtoN2O*kgtoGg)</f>
        <v>0.72619388822876152</v>
      </c>
      <c r="BK40" s="27">
        <f>IF(('Activity data'!BK9*EF!$H40*EF!AJ58)*NtoN2O*kgtoGg=0,"NO",('Activity data'!BK9*EF!$H40*EF!AJ58)*NtoN2O*kgtoGg)</f>
        <v>0.72989293668793909</v>
      </c>
      <c r="BL40" s="27">
        <f>IF(('Activity data'!BL9*EF!$H40*EF!AK58)*NtoN2O*kgtoGg=0,"NO",('Activity data'!BL9*EF!$H40*EF!AK58)*NtoN2O*kgtoGg)</f>
        <v>0.73568977000726443</v>
      </c>
      <c r="BM40" s="27">
        <f>IF(('Activity data'!BM9*EF!$H40*EF!AL58)*NtoN2O*kgtoGg=0,"NO",('Activity data'!BM9*EF!$H40*EF!AL58)*NtoN2O*kgtoGg)</f>
        <v>0.73405703768463881</v>
      </c>
      <c r="BN40" s="27">
        <f>IF(('Activity data'!BN9*EF!$H40*EF!AM58)*NtoN2O*kgtoGg=0,"NO",('Activity data'!BN9*EF!$H40*EF!AM58)*NtoN2O*kgtoGg)</f>
        <v>0.73160906999785846</v>
      </c>
      <c r="BO40" s="27">
        <f>IF(('Activity data'!BO9*EF!$H40*EF!AN58)*NtoN2O*kgtoGg=0,"NO",('Activity data'!BO9*EF!$H40*EF!AN58)*NtoN2O*kgtoGg)</f>
        <v>0.72907363944108583</v>
      </c>
      <c r="BP40" s="27">
        <f>IF(('Activity data'!BP9*EF!$H40*EF!AO58)*NtoN2O*kgtoGg=0,"NO",('Activity data'!BP9*EF!$H40*EF!AO58)*NtoN2O*kgtoGg)</f>
        <v>0.72614737301582033</v>
      </c>
    </row>
    <row r="41" spans="1:68" x14ac:dyDescent="0.2">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1.0122801448609147</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1.1032367943433716</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1.0731659766272925</v>
      </c>
      <c r="AM41" s="27">
        <f>IF(('Activity data'!AM10*EF!$H41*EF!L59)*NtoN2O*kgtoGg=0,"NO",('Activity data'!AM10*EF!$H41*EF!L59)*NtoN2O*kgtoGg)</f>
        <v>1.1200435177813</v>
      </c>
      <c r="AN41" s="27">
        <f>IF(('Activity data'!AN10*EF!$H41*EF!M59)*NtoN2O*kgtoGg=0,"NO",('Activity data'!AN10*EF!$H41*EF!M59)*NtoN2O*kgtoGg)</f>
        <v>1.1581646088835691</v>
      </c>
      <c r="AO41" s="27">
        <f>IF(('Activity data'!AO10*EF!$H41*EF!N59)*NtoN2O*kgtoGg=0,"NO",('Activity data'!AO10*EF!$H41*EF!N59)*NtoN2O*kgtoGg)</f>
        <v>1.1944005912440496</v>
      </c>
      <c r="AP41" s="27">
        <f>IF(('Activity data'!AP10*EF!$H41*EF!O59)*NtoN2O*kgtoGg=0,"NO",('Activity data'!AP10*EF!$H41*EF!O59)*NtoN2O*kgtoGg)</f>
        <v>1.2355118571945767</v>
      </c>
      <c r="AQ41" s="27">
        <f>IF(('Activity data'!AQ10*EF!$H41*EF!P59)*NtoN2O*kgtoGg=0,"NO",('Activity data'!AQ10*EF!$H41*EF!P59)*NtoN2O*kgtoGg)</f>
        <v>1.2749845608108272</v>
      </c>
      <c r="AR41" s="27">
        <f>IF(('Activity data'!AR10*EF!$H41*EF!Q59)*NtoN2O*kgtoGg=0,"NO",('Activity data'!AR10*EF!$H41*EF!Q59)*NtoN2O*kgtoGg)</f>
        <v>1.3112710404440306</v>
      </c>
      <c r="AS41" s="27">
        <f>IF(('Activity data'!AS10*EF!$H41*EF!R59)*NtoN2O*kgtoGg=0,"NO",('Activity data'!AS10*EF!$H41*EF!R59)*NtoN2O*kgtoGg)</f>
        <v>1.3466036234744594</v>
      </c>
      <c r="AT41" s="27">
        <f>IF(('Activity data'!AT10*EF!$H41*EF!S59)*NtoN2O*kgtoGg=0,"NO",('Activity data'!AT10*EF!$H41*EF!S59)*NtoN2O*kgtoGg)</f>
        <v>1.3803261318564077</v>
      </c>
      <c r="AU41" s="27">
        <f>IF(('Activity data'!AU10*EF!$H41*EF!T59)*NtoN2O*kgtoGg=0,"NO",('Activity data'!AU10*EF!$H41*EF!T59)*NtoN2O*kgtoGg)</f>
        <v>1.4220578435636848</v>
      </c>
      <c r="AV41" s="27">
        <f>IF(('Activity data'!AV10*EF!$H41*EF!U59)*NtoN2O*kgtoGg=0,"NO",('Activity data'!AV10*EF!$H41*EF!U59)*NtoN2O*kgtoGg)</f>
        <v>1.4635769863229917</v>
      </c>
      <c r="AW41" s="27">
        <f>IF(('Activity data'!AW10*EF!$H41*EF!V59)*NtoN2O*kgtoGg=0,"NO",('Activity data'!AW10*EF!$H41*EF!V59)*NtoN2O*kgtoGg)</f>
        <v>1.5126623536535566</v>
      </c>
      <c r="AX41" s="27">
        <f>IF(('Activity data'!AX10*EF!$H41*EF!W59)*NtoN2O*kgtoGg=0,"NO",('Activity data'!AX10*EF!$H41*EF!W59)*NtoN2O*kgtoGg)</f>
        <v>1.5702927620533913</v>
      </c>
      <c r="AY41" s="27">
        <f>IF(('Activity data'!AY10*EF!$H41*EF!X59)*NtoN2O*kgtoGg=0,"NO",('Activity data'!AY10*EF!$H41*EF!X59)*NtoN2O*kgtoGg)</f>
        <v>1.6326718662100064</v>
      </c>
      <c r="AZ41" s="27">
        <f>IF(('Activity data'!AZ10*EF!$H41*EF!Y59)*NtoN2O*kgtoGg=0,"NO",('Activity data'!AZ10*EF!$H41*EF!Y59)*NtoN2O*kgtoGg)</f>
        <v>1.7047038536562504</v>
      </c>
      <c r="BA41" s="27">
        <f>IF(('Activity data'!BA10*EF!$H41*EF!Z59)*NtoN2O*kgtoGg=0,"NO",('Activity data'!BA10*EF!$H41*EF!Z59)*NtoN2O*kgtoGg)</f>
        <v>1.7647703233064436</v>
      </c>
      <c r="BB41" s="27">
        <f>IF(('Activity data'!BB10*EF!$H41*EF!AA59)*NtoN2O*kgtoGg=0,"NO",('Activity data'!BB10*EF!$H41*EF!AA59)*NtoN2O*kgtoGg)</f>
        <v>1.823914760279997</v>
      </c>
      <c r="BC41" s="27">
        <f>IF(('Activity data'!BC10*EF!$H41*EF!AB59)*NtoN2O*kgtoGg=0,"NO",('Activity data'!BC10*EF!$H41*EF!AB59)*NtoN2O*kgtoGg)</f>
        <v>1.8885037105241573</v>
      </c>
      <c r="BD41" s="27">
        <f>IF(('Activity data'!BD10*EF!$H41*EF!AC59)*NtoN2O*kgtoGg=0,"NO",('Activity data'!BD10*EF!$H41*EF!AC59)*NtoN2O*kgtoGg)</f>
        <v>1.9522655918668117</v>
      </c>
      <c r="BE41" s="27">
        <f>IF(('Activity data'!BE10*EF!$H41*EF!AD59)*NtoN2O*kgtoGg=0,"NO",('Activity data'!BE10*EF!$H41*EF!AD59)*NtoN2O*kgtoGg)</f>
        <v>2.0195785012565346</v>
      </c>
      <c r="BF41" s="27">
        <f>IF(('Activity data'!BF10*EF!$H41*EF!AE59)*NtoN2O*kgtoGg=0,"NO",('Activity data'!BF10*EF!$H41*EF!AE59)*NtoN2O*kgtoGg)</f>
        <v>2.0882359976906724</v>
      </c>
      <c r="BG41" s="27">
        <f>IF(('Activity data'!BG10*EF!$H41*EF!AF59)*NtoN2O*kgtoGg=0,"NO",('Activity data'!BG10*EF!$H41*EF!AF59)*NtoN2O*kgtoGg)</f>
        <v>2.1625669468600144</v>
      </c>
      <c r="BH41" s="27">
        <f>IF(('Activity data'!BH10*EF!$H41*EF!AG59)*NtoN2O*kgtoGg=0,"NO",('Activity data'!BH10*EF!$H41*EF!AG59)*NtoN2O*kgtoGg)</f>
        <v>2.2353883436386872</v>
      </c>
      <c r="BI41" s="27">
        <f>IF(('Activity data'!BI10*EF!$H41*EF!AH59)*NtoN2O*kgtoGg=0,"NO",('Activity data'!BI10*EF!$H41*EF!AH59)*NtoN2O*kgtoGg)</f>
        <v>2.310159637098629</v>
      </c>
      <c r="BJ41" s="27">
        <f>IF(('Activity data'!BJ10*EF!$H41*EF!AI59)*NtoN2O*kgtoGg=0,"NO",('Activity data'!BJ10*EF!$H41*EF!AI59)*NtoN2O*kgtoGg)</f>
        <v>2.387837748545981</v>
      </c>
      <c r="BK41" s="27">
        <f>IF(('Activity data'!BK10*EF!$H41*EF!AJ59)*NtoN2O*kgtoGg=0,"NO",('Activity data'!BK10*EF!$H41*EF!AJ59)*NtoN2O*kgtoGg)</f>
        <v>2.4688377318111754</v>
      </c>
      <c r="BL41" s="27">
        <f>IF(('Activity data'!BL10*EF!$H41*EF!AK59)*NtoN2O*kgtoGg=0,"NO",('Activity data'!BL10*EF!$H41*EF!AK59)*NtoN2O*kgtoGg)</f>
        <v>2.5601896833945608</v>
      </c>
      <c r="BM41" s="27">
        <f>IF(('Activity data'!BM10*EF!$H41*EF!AL59)*NtoN2O*kgtoGg=0,"NO",('Activity data'!BM10*EF!$H41*EF!AL59)*NtoN2O*kgtoGg)</f>
        <v>2.6285710200523447</v>
      </c>
      <c r="BN41" s="27">
        <f>IF(('Activity data'!BN10*EF!$H41*EF!AM59)*NtoN2O*kgtoGg=0,"NO",('Activity data'!BN10*EF!$H41*EF!AM59)*NtoN2O*kgtoGg)</f>
        <v>2.6962215322627681</v>
      </c>
      <c r="BO41" s="27">
        <f>IF(('Activity data'!BO10*EF!$H41*EF!AN59)*NtoN2O*kgtoGg=0,"NO",('Activity data'!BO10*EF!$H41*EF!AN59)*NtoN2O*kgtoGg)</f>
        <v>2.7657590792696469</v>
      </c>
      <c r="BP41" s="27">
        <f>IF(('Activity data'!BP10*EF!$H41*EF!AO59)*NtoN2O*kgtoGg=0,"NO",('Activity data'!BP10*EF!$H41*EF!AO59)*NtoN2O*kgtoGg)</f>
        <v>2.8360897430204677</v>
      </c>
    </row>
    <row r="42" spans="1:68" x14ac:dyDescent="0.2">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0.1195503235691774</v>
      </c>
      <c r="AM42" s="27">
        <f>IF(('Activity data'!AM11*EF!$H42*EF!L60)*NtoN2O*kgtoGg=0,"NO",('Activity data'!AM11*EF!$H42*EF!L60)*NtoN2O*kgtoGg)</f>
        <v>0.11973238900774033</v>
      </c>
      <c r="AN42" s="27">
        <f>IF(('Activity data'!AN11*EF!$H42*EF!M60)*NtoN2O*kgtoGg=0,"NO",('Activity data'!AN11*EF!$H42*EF!M60)*NtoN2O*kgtoGg)</f>
        <v>0.11993816652481025</v>
      </c>
      <c r="AO42" s="27">
        <f>IF(('Activity data'!AO11*EF!$H42*EF!N60)*NtoN2O*kgtoGg=0,"NO",('Activity data'!AO11*EF!$H42*EF!N60)*NtoN2O*kgtoGg)</f>
        <v>0.12017030175701968</v>
      </c>
      <c r="AP42" s="27">
        <f>IF(('Activity data'!AP11*EF!$H42*EF!O60)*NtoN2O*kgtoGg=0,"NO",('Activity data'!AP11*EF!$H42*EF!O60)*NtoN2O*kgtoGg)</f>
        <v>0.12043143682964785</v>
      </c>
      <c r="AQ42" s="27">
        <f>IF(('Activity data'!AQ11*EF!$H42*EF!P60)*NtoN2O*kgtoGg=0,"NO",('Activity data'!AQ11*EF!$H42*EF!P60)*NtoN2O*kgtoGg)</f>
        <v>0.12071612652319091</v>
      </c>
      <c r="AR42" s="27">
        <f>IF(('Activity data'!AR11*EF!$H42*EF!Q60)*NtoN2O*kgtoGg=0,"NO",('Activity data'!AR11*EF!$H42*EF!Q60)*NtoN2O*kgtoGg)</f>
        <v>0.12088927246048492</v>
      </c>
      <c r="AS42" s="27">
        <f>IF(('Activity data'!AS11*EF!$H42*EF!R60)*NtoN2O*kgtoGg=0,"NO",('Activity data'!AS11*EF!$H42*EF!R60)*NtoN2O*kgtoGg)</f>
        <v>0.12108266651499933</v>
      </c>
      <c r="AT42" s="27">
        <f>IF(('Activity data'!AT11*EF!$H42*EF!S60)*NtoN2O*kgtoGg=0,"NO",('Activity data'!AT11*EF!$H42*EF!S60)*NtoN2O*kgtoGg)</f>
        <v>0.12129489002398719</v>
      </c>
      <c r="AU42" s="27">
        <f>IF(('Activity data'!AU11*EF!$H42*EF!T60)*NtoN2O*kgtoGg=0,"NO",('Activity data'!AU11*EF!$H42*EF!T60)*NtoN2O*kgtoGg)</f>
        <v>0.12153074787723062</v>
      </c>
      <c r="AV42" s="27">
        <f>IF(('Activity data'!AV11*EF!$H42*EF!U60)*NtoN2O*kgtoGg=0,"NO",('Activity data'!AV11*EF!$H42*EF!U60)*NtoN2O*kgtoGg)</f>
        <v>0.12178444503760315</v>
      </c>
      <c r="AW42" s="27">
        <f>IF(('Activity data'!AW11*EF!$H42*EF!V60)*NtoN2O*kgtoGg=0,"NO",('Activity data'!AW11*EF!$H42*EF!V60)*NtoN2O*kgtoGg)</f>
        <v>0.12195021859922818</v>
      </c>
      <c r="AX42" s="27">
        <f>IF(('Activity data'!AX11*EF!$H42*EF!W60)*NtoN2O*kgtoGg=0,"NO",('Activity data'!AX11*EF!$H42*EF!W60)*NtoN2O*kgtoGg)</f>
        <v>0.12213630016303641</v>
      </c>
      <c r="AY42" s="27">
        <f>IF(('Activity data'!AY11*EF!$H42*EF!X60)*NtoN2O*kgtoGg=0,"NO",('Activity data'!AY11*EF!$H42*EF!X60)*NtoN2O*kgtoGg)</f>
        <v>0.12233971704233786</v>
      </c>
      <c r="AZ42" s="27">
        <f>IF(('Activity data'!AZ11*EF!$H42*EF!Y60)*NtoN2O*kgtoGg=0,"NO",('Activity data'!AZ11*EF!$H42*EF!Y60)*NtoN2O*kgtoGg)</f>
        <v>0.12256258176640643</v>
      </c>
      <c r="BA42" s="27">
        <f>IF(('Activity data'!BA11*EF!$H42*EF!Z60)*NtoN2O*kgtoGg=0,"NO",('Activity data'!BA11*EF!$H42*EF!Z60)*NtoN2O*kgtoGg)</f>
        <v>0.12279204268449652</v>
      </c>
      <c r="BB42" s="27">
        <f>IF(('Activity data'!BB11*EF!$H42*EF!AA60)*NtoN2O*kgtoGg=0,"NO",('Activity data'!BB11*EF!$H42*EF!AA60)*NtoN2O*kgtoGg)</f>
        <v>0.12293267358180958</v>
      </c>
      <c r="BC42" s="27">
        <f>IF(('Activity data'!BC11*EF!$H42*EF!AB60)*NtoN2O*kgtoGg=0,"NO",('Activity data'!BC11*EF!$H42*EF!AB60)*NtoN2O*kgtoGg)</f>
        <v>0.1230880284078129</v>
      </c>
      <c r="BD42" s="27">
        <f>IF(('Activity data'!BD11*EF!$H42*EF!AC60)*NtoN2O*kgtoGg=0,"NO",('Activity data'!BD11*EF!$H42*EF!AC60)*NtoN2O*kgtoGg)</f>
        <v>0.12325414703713089</v>
      </c>
      <c r="BE42" s="27">
        <f>IF(('Activity data'!BE11*EF!$H42*EF!AD60)*NtoN2O*kgtoGg=0,"NO",('Activity data'!BE11*EF!$H42*EF!AD60)*NtoN2O*kgtoGg)</f>
        <v>0.12343300581478904</v>
      </c>
      <c r="BF42" s="27">
        <f>IF(('Activity data'!BF11*EF!$H42*EF!AE60)*NtoN2O*kgtoGg=0,"NO",('Activity data'!BF11*EF!$H42*EF!AE60)*NtoN2O*kgtoGg)</f>
        <v>0.12362298848343736</v>
      </c>
      <c r="BG42" s="27">
        <f>IF(('Activity data'!BG11*EF!$H42*EF!AF60)*NtoN2O*kgtoGg=0,"NO",('Activity data'!BG11*EF!$H42*EF!AF60)*NtoN2O*kgtoGg)</f>
        <v>0.12373316293630814</v>
      </c>
      <c r="BH42" s="27">
        <f>IF(('Activity data'!BH11*EF!$H42*EF!AG60)*NtoN2O*kgtoGg=0,"NO",('Activity data'!BH11*EF!$H42*EF!AG60)*NtoN2O*kgtoGg)</f>
        <v>0.12385166980530417</v>
      </c>
      <c r="BI42" s="27">
        <f>IF(('Activity data'!BI11*EF!$H42*EF!AH60)*NtoN2O*kgtoGg=0,"NO",('Activity data'!BI11*EF!$H42*EF!AH60)*NtoN2O*kgtoGg)</f>
        <v>0.12398002361906417</v>
      </c>
      <c r="BJ42" s="27">
        <f>IF(('Activity data'!BJ11*EF!$H42*EF!AI60)*NtoN2O*kgtoGg=0,"NO",('Activity data'!BJ11*EF!$H42*EF!AI60)*NtoN2O*kgtoGg)</f>
        <v>0.12411840156820916</v>
      </c>
      <c r="BK42" s="27">
        <f>IF(('Activity data'!BK11*EF!$H42*EF!AJ60)*NtoN2O*kgtoGg=0,"NO",('Activity data'!BK11*EF!$H42*EF!AJ60)*NtoN2O*kgtoGg)</f>
        <v>0.12426670691930036</v>
      </c>
      <c r="BL42" s="27">
        <f>IF(('Activity data'!BL11*EF!$H42*EF!AK60)*NtoN2O*kgtoGg=0,"NO",('Activity data'!BL11*EF!$H42*EF!AK60)*NtoN2O*kgtoGg)</f>
        <v>0.12433302167931155</v>
      </c>
      <c r="BM42" s="27">
        <f>IF(('Activity data'!BM11*EF!$H42*EF!AL60)*NtoN2O*kgtoGg=0,"NO",('Activity data'!BM11*EF!$H42*EF!AL60)*NtoN2O*kgtoGg)</f>
        <v>0.12439474489368146</v>
      </c>
      <c r="BN42" s="27">
        <f>IF(('Activity data'!BN11*EF!$H42*EF!AM60)*NtoN2O*kgtoGg=0,"NO",('Activity data'!BN11*EF!$H42*EF!AM60)*NtoN2O*kgtoGg)</f>
        <v>0.1244631713501356</v>
      </c>
      <c r="BO42" s="27">
        <f>IF(('Activity data'!BO11*EF!$H42*EF!AN60)*NtoN2O*kgtoGg=0,"NO",('Activity data'!BO11*EF!$H42*EF!AN60)*NtoN2O*kgtoGg)</f>
        <v>0.12453939785824997</v>
      </c>
      <c r="BP42" s="27">
        <f>IF(('Activity data'!BP11*EF!$H42*EF!AO60)*NtoN2O*kgtoGg=0,"NO",('Activity data'!BP11*EF!$H42*EF!AO60)*NtoN2O*kgtoGg)</f>
        <v>0.12462263971956801</v>
      </c>
    </row>
    <row r="43" spans="1:68" x14ac:dyDescent="0.2">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6.3928512589691663E-2</v>
      </c>
      <c r="AM43" s="27">
        <f>IF(('Activity data'!AM12*EF!$H43*EF!L61)*NtoN2O*kgtoGg=0,"NO",('Activity data'!AM12*EF!$H43*EF!L61)*NtoN2O*kgtoGg)</f>
        <v>6.4025870525110232E-2</v>
      </c>
      <c r="AN43" s="27">
        <f>IF(('Activity data'!AN12*EF!$H43*EF!M61)*NtoN2O*kgtoGg=0,"NO",('Activity data'!AN12*EF!$H43*EF!M61)*NtoN2O*kgtoGg)</f>
        <v>6.4135908291616708E-2</v>
      </c>
      <c r="AO43" s="27">
        <f>IF(('Activity data'!AO12*EF!$H43*EF!N61)*NtoN2O*kgtoGg=0,"NO",('Activity data'!AO12*EF!$H43*EF!N61)*NtoN2O*kgtoGg)</f>
        <v>6.4260040620762821E-2</v>
      </c>
      <c r="AP43" s="27">
        <f>IF(('Activity data'!AP12*EF!$H43*EF!O61)*NtoN2O*kgtoGg=0,"NO",('Activity data'!AP12*EF!$H43*EF!O61)*NtoN2O*kgtoGg)</f>
        <v>6.4399680366434092E-2</v>
      </c>
      <c r="AQ43" s="27">
        <f>IF(('Activity data'!AQ12*EF!$H43*EF!P61)*NtoN2O*kgtoGg=0,"NO",('Activity data'!AQ12*EF!$H43*EF!P61)*NtoN2O*kgtoGg)</f>
        <v>6.4551915744093219E-2</v>
      </c>
      <c r="AR43" s="27">
        <f>IF(('Activity data'!AR12*EF!$H43*EF!Q61)*NtoN2O*kgtoGg=0,"NO",('Activity data'!AR12*EF!$H43*EF!Q61)*NtoN2O*kgtoGg)</f>
        <v>6.4644504052528431E-2</v>
      </c>
      <c r="AS43" s="27">
        <f>IF(('Activity data'!AS12*EF!$H43*EF!R61)*NtoN2O*kgtoGg=0,"NO",('Activity data'!AS12*EF!$H43*EF!R61)*NtoN2O*kgtoGg)</f>
        <v>6.4747919868393122E-2</v>
      </c>
      <c r="AT43" s="27">
        <f>IF(('Activity data'!AT12*EF!$H43*EF!S61)*NtoN2O*kgtoGg=0,"NO",('Activity data'!AT12*EF!$H43*EF!S61)*NtoN2O*kgtoGg)</f>
        <v>6.4861404573922254E-2</v>
      </c>
      <c r="AU43" s="27">
        <f>IF(('Activity data'!AU12*EF!$H43*EF!T61)*NtoN2O*kgtoGg=0,"NO",('Activity data'!AU12*EF!$H43*EF!T61)*NtoN2O*kgtoGg)</f>
        <v>6.4987527542813464E-2</v>
      </c>
      <c r="AV43" s="27">
        <f>IF(('Activity data'!AV12*EF!$H43*EF!U61)*NtoN2O*kgtoGg=0,"NO",('Activity data'!AV12*EF!$H43*EF!U61)*NtoN2O*kgtoGg)</f>
        <v>6.5123189928548972E-2</v>
      </c>
      <c r="AW43" s="27">
        <f>IF(('Activity data'!AW12*EF!$H43*EF!V61)*NtoN2O*kgtoGg=0,"NO",('Activity data'!AW12*EF!$H43*EF!V61)*NtoN2O*kgtoGg)</f>
        <v>6.5211835922177344E-2</v>
      </c>
      <c r="AX43" s="27">
        <f>IF(('Activity data'!AX12*EF!$H43*EF!W61)*NtoN2O*kgtoGg=0,"NO",('Activity data'!AX12*EF!$H43*EF!W61)*NtoN2O*kgtoGg)</f>
        <v>6.5311341446206636E-2</v>
      </c>
      <c r="AY43" s="27">
        <f>IF(('Activity data'!AY12*EF!$H43*EF!X61)*NtoN2O*kgtoGg=0,"NO",('Activity data'!AY12*EF!$H43*EF!X61)*NtoN2O*kgtoGg)</f>
        <v>6.5420116881865359E-2</v>
      </c>
      <c r="AZ43" s="27">
        <f>IF(('Activity data'!AZ12*EF!$H43*EF!Y61)*NtoN2O*kgtoGg=0,"NO",('Activity data'!AZ12*EF!$H43*EF!Y61)*NtoN2O*kgtoGg)</f>
        <v>6.5539291886106743E-2</v>
      </c>
      <c r="BA43" s="27">
        <f>IF(('Activity data'!BA12*EF!$H43*EF!Z61)*NtoN2O*kgtoGg=0,"NO",('Activity data'!BA12*EF!$H43*EF!Z61)*NtoN2O*kgtoGg)</f>
        <v>6.5661994148660446E-2</v>
      </c>
      <c r="BB43" s="27">
        <f>IF(('Activity data'!BB12*EF!$H43*EF!AA61)*NtoN2O*kgtoGg=0,"NO",('Activity data'!BB12*EF!$H43*EF!AA61)*NtoN2O*kgtoGg)</f>
        <v>6.5737195317682587E-2</v>
      </c>
      <c r="BC43" s="27">
        <f>IF(('Activity data'!BC12*EF!$H43*EF!AB61)*NtoN2O*kgtoGg=0,"NO",('Activity data'!BC12*EF!$H43*EF!AB61)*NtoN2O*kgtoGg)</f>
        <v>6.5820269981585744E-2</v>
      </c>
      <c r="BD43" s="27">
        <f>IF(('Activity data'!BD12*EF!$H43*EF!AC61)*NtoN2O*kgtoGg=0,"NO",('Activity data'!BD12*EF!$H43*EF!AC61)*NtoN2O*kgtoGg)</f>
        <v>6.5909100497210327E-2</v>
      </c>
      <c r="BE43" s="27">
        <f>IF(('Activity data'!BE12*EF!$H43*EF!AD61)*NtoN2O*kgtoGg=0,"NO",('Activity data'!BE12*EF!$H43*EF!AD61)*NtoN2O*kgtoGg)</f>
        <v>6.6004743698148058E-2</v>
      </c>
      <c r="BF43" s="27">
        <f>IF(('Activity data'!BF12*EF!$H43*EF!AE61)*NtoN2O*kgtoGg=0,"NO",('Activity data'!BF12*EF!$H43*EF!AE61)*NtoN2O*kgtoGg)</f>
        <v>6.6106335304610589E-2</v>
      </c>
      <c r="BG43" s="27">
        <f>IF(('Activity data'!BG12*EF!$H43*EF!AF61)*NtoN2O*kgtoGg=0,"NO",('Activity data'!BG12*EF!$H43*EF!AF61)*NtoN2O*kgtoGg)</f>
        <v>6.6165250150569468E-2</v>
      </c>
      <c r="BH43" s="27">
        <f>IF(('Activity data'!BH12*EF!$H43*EF!AG61)*NtoN2O*kgtoGg=0,"NO",('Activity data'!BH12*EF!$H43*EF!AG61)*NtoN2O*kgtoGg)</f>
        <v>6.6228620684754519E-2</v>
      </c>
      <c r="BI43" s="27">
        <f>IF(('Activity data'!BI12*EF!$H43*EF!AH61)*NtoN2O*kgtoGg=0,"NO",('Activity data'!BI12*EF!$H43*EF!AH61)*NtoN2O*kgtoGg)</f>
        <v>6.6297256788396222E-2</v>
      </c>
      <c r="BJ43" s="27">
        <f>IF(('Activity data'!BJ12*EF!$H43*EF!AI61)*NtoN2O*kgtoGg=0,"NO",('Activity data'!BJ12*EF!$H43*EF!AI61)*NtoN2O*kgtoGg)</f>
        <v>6.6371253212662962E-2</v>
      </c>
      <c r="BK43" s="27">
        <f>IF(('Activity data'!BK12*EF!$H43*EF!AJ61)*NtoN2O*kgtoGg=0,"NO",('Activity data'!BK12*EF!$H43*EF!AJ61)*NtoN2O*kgtoGg)</f>
        <v>6.6450558230176079E-2</v>
      </c>
      <c r="BL43" s="27">
        <f>IF(('Activity data'!BL12*EF!$H43*EF!AK61)*NtoN2O*kgtoGg=0,"NO",('Activity data'!BL12*EF!$H43*EF!AK61)*NtoN2O*kgtoGg)</f>
        <v>6.6486019480666153E-2</v>
      </c>
      <c r="BM43" s="27">
        <f>IF(('Activity data'!BM12*EF!$H43*EF!AL61)*NtoN2O*kgtoGg=0,"NO",('Activity data'!BM12*EF!$H43*EF!AL61)*NtoN2O*kgtoGg)</f>
        <v>6.6519025441412388E-2</v>
      </c>
      <c r="BN43" s="27">
        <f>IF(('Activity data'!BN12*EF!$H43*EF!AM61)*NtoN2O*kgtoGg=0,"NO",('Activity data'!BN12*EF!$H43*EF!AM61)*NtoN2O*kgtoGg)</f>
        <v>6.6555615903506504E-2</v>
      </c>
      <c r="BO43" s="27">
        <f>IF(('Activity data'!BO12*EF!$H43*EF!AN61)*NtoN2O*kgtoGg=0,"NO",('Activity data'!BO12*EF!$H43*EF!AN61)*NtoN2O*kgtoGg)</f>
        <v>6.6596377376484356E-2</v>
      </c>
      <c r="BP43" s="27">
        <f>IF(('Activity data'!BP12*EF!$H43*EF!AO61)*NtoN2O*kgtoGg=0,"NO",('Activity data'!BP12*EF!$H43*EF!AO61)*NtoN2O*kgtoGg)</f>
        <v>6.6640890249560589E-2</v>
      </c>
    </row>
    <row r="44" spans="1:68" x14ac:dyDescent="0.2">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1.4486129996083083E-2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1.4639017833045652E-2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1.4890706011157254E-2</v>
      </c>
      <c r="AK44" s="27">
        <f>IF(('Activity data'!AK13*EF!$H44*EF!J62)*NtoN2O*kgtoGg=0,"NO",('Activity data'!AK13*EF!$H44*EF!J62)*NtoN2O*kgtoGg)</f>
        <v>1.4988675221399694E-2</v>
      </c>
      <c r="AL44" s="27">
        <f>IF(('Activity data'!AL13*EF!$H44*EF!K62)*NtoN2O*kgtoGg=0,"NO",('Activity data'!AL13*EF!$H44*EF!K62)*NtoN2O*kgtoGg)</f>
        <v>1.5078679643027025E-2</v>
      </c>
      <c r="AM44" s="27">
        <f>IF(('Activity data'!AM13*EF!$H44*EF!L62)*NtoN2O*kgtoGg=0,"NO",('Activity data'!AM13*EF!$H44*EF!L62)*NtoN2O*kgtoGg)</f>
        <v>1.5122495296339114E-2</v>
      </c>
      <c r="AN44" s="27">
        <f>IF(('Activity data'!AN13*EF!$H44*EF!M62)*NtoN2O*kgtoGg=0,"NO",('Activity data'!AN13*EF!$H44*EF!M62)*NtoN2O*kgtoGg)</f>
        <v>1.516958973789732E-2</v>
      </c>
      <c r="AO44" s="27">
        <f>IF(('Activity data'!AO13*EF!$H44*EF!N62)*NtoN2O*kgtoGg=0,"NO",('Activity data'!AO13*EF!$H44*EF!N62)*NtoN2O*kgtoGg)</f>
        <v>1.5220538890996555E-2</v>
      </c>
      <c r="AP44" s="27">
        <f>IF(('Activity data'!AP13*EF!$H44*EF!O62)*NtoN2O*kgtoGg=0,"NO",('Activity data'!AP13*EF!$H44*EF!O62)*NtoN2O*kgtoGg)</f>
        <v>1.5275902163367263E-2</v>
      </c>
      <c r="AQ44" s="27">
        <f>IF(('Activity data'!AQ13*EF!$H44*EF!P62)*NtoN2O*kgtoGg=0,"NO",('Activity data'!AQ13*EF!$H44*EF!P62)*NtoN2O*kgtoGg)</f>
        <v>1.5334694454120529E-2</v>
      </c>
      <c r="AR44" s="27">
        <f>IF(('Activity data'!AR13*EF!$H44*EF!Q62)*NtoN2O*kgtoGg=0,"NO",('Activity data'!AR13*EF!$H44*EF!Q62)*NtoN2O*kgtoGg)</f>
        <v>1.5371448915304845E-2</v>
      </c>
      <c r="AS44" s="27">
        <f>IF(('Activity data'!AS13*EF!$H44*EF!R62)*NtoN2O*kgtoGg=0,"NO",('Activity data'!AS13*EF!$H44*EF!R62)*NtoN2O*kgtoGg)</f>
        <v>1.5411207509365298E-2</v>
      </c>
      <c r="AT44" s="27">
        <f>IF(('Activity data'!AT13*EF!$H44*EF!S62)*NtoN2O*kgtoGg=0,"NO",('Activity data'!AT13*EF!$H44*EF!S62)*NtoN2O*kgtoGg)</f>
        <v>1.545373639870192E-2</v>
      </c>
      <c r="AU44" s="27">
        <f>IF(('Activity data'!AU13*EF!$H44*EF!T62)*NtoN2O*kgtoGg=0,"NO",('Activity data'!AU13*EF!$H44*EF!T62)*NtoN2O*kgtoGg)</f>
        <v>1.5499966763922934E-2</v>
      </c>
      <c r="AV44" s="27">
        <f>IF(('Activity data'!AV13*EF!$H44*EF!U62)*NtoN2O*kgtoGg=0,"NO",('Activity data'!AV13*EF!$H44*EF!U62)*NtoN2O*kgtoGg)</f>
        <v>1.5548833641447303E-2</v>
      </c>
      <c r="AW44" s="27">
        <f>IF(('Activity data'!AW13*EF!$H44*EF!V62)*NtoN2O*kgtoGg=0,"NO",('Activity data'!AW13*EF!$H44*EF!V62)*NtoN2O*kgtoGg)</f>
        <v>1.5580602349578561E-2</v>
      </c>
      <c r="AX44" s="27">
        <f>IF(('Activity data'!AX13*EF!$H44*EF!W62)*NtoN2O*kgtoGg=0,"NO",('Activity data'!AX13*EF!$H44*EF!W62)*NtoN2O*kgtoGg)</f>
        <v>1.5615591404277505E-2</v>
      </c>
      <c r="AY44" s="27">
        <f>IF(('Activity data'!AY13*EF!$H44*EF!X62)*NtoN2O*kgtoGg=0,"NO",('Activity data'!AY13*EF!$H44*EF!X62)*NtoN2O*kgtoGg)</f>
        <v>1.5653259744642323E-2</v>
      </c>
      <c r="AZ44" s="27">
        <f>IF(('Activity data'!AZ13*EF!$H44*EF!Y62)*NtoN2O*kgtoGg=0,"NO",('Activity data'!AZ13*EF!$H44*EF!Y62)*NtoN2O*kgtoGg)</f>
        <v>1.5694012741398929E-2</v>
      </c>
      <c r="BA44" s="27">
        <f>IF(('Activity data'!BA13*EF!$H44*EF!Z62)*NtoN2O*kgtoGg=0,"NO",('Activity data'!BA13*EF!$H44*EF!Z62)*NtoN2O*kgtoGg)</f>
        <v>1.5735477279761712E-2</v>
      </c>
      <c r="BB44" s="27">
        <f>IF(('Activity data'!BB13*EF!$H44*EF!AA62)*NtoN2O*kgtoGg=0,"NO",('Activity data'!BB13*EF!$H44*EF!AA62)*NtoN2O*kgtoGg)</f>
        <v>1.5760021720349279E-2</v>
      </c>
      <c r="BC44" s="27">
        <f>IF(('Activity data'!BC13*EF!$H44*EF!AB62)*NtoN2O*kgtoGg=0,"NO",('Activity data'!BC13*EF!$H44*EF!AB62)*NtoN2O*kgtoGg)</f>
        <v>1.5786883711006117E-2</v>
      </c>
      <c r="BD44" s="27">
        <f>IF(('Activity data'!BD13*EF!$H44*EF!AC62)*NtoN2O*kgtoGg=0,"NO",('Activity data'!BD13*EF!$H44*EF!AC62)*NtoN2O*kgtoGg)</f>
        <v>1.5815340273420818E-2</v>
      </c>
      <c r="BE44" s="27">
        <f>IF(('Activity data'!BE13*EF!$H44*EF!AD62)*NtoN2O*kgtoGg=0,"NO",('Activity data'!BE13*EF!$H44*EF!AD62)*NtoN2O*kgtoGg)</f>
        <v>1.5845764593107773E-2</v>
      </c>
      <c r="BF44" s="27">
        <f>IF(('Activity data'!BF13*EF!$H44*EF!AE62)*NtoN2O*kgtoGg=0,"NO",('Activity data'!BF13*EF!$H44*EF!AE62)*NtoN2O*kgtoGg)</f>
        <v>1.5877866318833773E-2</v>
      </c>
      <c r="BG44" s="27">
        <f>IF(('Activity data'!BG13*EF!$H44*EF!AF62)*NtoN2O*kgtoGg=0,"NO",('Activity data'!BG13*EF!$H44*EF!AF62)*NtoN2O*kgtoGg)</f>
        <v>1.5894983838021428E-2</v>
      </c>
      <c r="BH44" s="27">
        <f>IF(('Activity data'!BH13*EF!$H44*EF!AG62)*NtoN2O*kgtoGg=0,"NO",('Activity data'!BH13*EF!$H44*EF!AG62)*NtoN2O*kgtoGg)</f>
        <v>1.5913339031971951E-2</v>
      </c>
      <c r="BI44" s="27">
        <f>IF(('Activity data'!BI13*EF!$H44*EF!AH62)*NtoN2O*kgtoGg=0,"NO",('Activity data'!BI13*EF!$H44*EF!AH62)*NtoN2O*kgtoGg)</f>
        <v>1.593321505910849E-2</v>
      </c>
      <c r="BJ44" s="27">
        <f>IF(('Activity data'!BJ13*EF!$H44*EF!AI62)*NtoN2O*kgtoGg=0,"NO",('Activity data'!BJ13*EF!$H44*EF!AI62)*NtoN2O*kgtoGg)</f>
        <v>1.5954648527995344E-2</v>
      </c>
      <c r="BK44" s="27">
        <f>IF(('Activity data'!BK13*EF!$H44*EF!AJ62)*NtoN2O*kgtoGg=0,"NO",('Activity data'!BK13*EF!$H44*EF!AJ62)*NtoN2O*kgtoGg)</f>
        <v>1.597762528830339E-2</v>
      </c>
      <c r="BL44" s="27">
        <f>IF(('Activity data'!BL13*EF!$H44*EF!AK62)*NtoN2O*kgtoGg=0,"NO",('Activity data'!BL13*EF!$H44*EF!AK62)*NtoN2O*kgtoGg)</f>
        <v>1.598544144020398E-2</v>
      </c>
      <c r="BM44" s="27">
        <f>IF(('Activity data'!BM13*EF!$H44*EF!AL62)*NtoN2O*kgtoGg=0,"NO",('Activity data'!BM13*EF!$H44*EF!AL62)*NtoN2O*kgtoGg)</f>
        <v>1.5992226212116378E-2</v>
      </c>
      <c r="BN44" s="27">
        <f>IF(('Activity data'!BN13*EF!$H44*EF!AM62)*NtoN2O*kgtoGg=0,"NO",('Activity data'!BN13*EF!$H44*EF!AM62)*NtoN2O*kgtoGg)</f>
        <v>1.600003943689176E-2</v>
      </c>
      <c r="BO44" s="27">
        <f>IF(('Activity data'!BO13*EF!$H44*EF!AN62)*NtoN2O*kgtoGg=0,"NO",('Activity data'!BO13*EF!$H44*EF!AN62)*NtoN2O*kgtoGg)</f>
        <v>1.6009082551352239E-2</v>
      </c>
      <c r="BP44" s="27">
        <f>IF(('Activity data'!BP13*EF!$H44*EF!AO62)*NtoN2O*kgtoGg=0,"NO",('Activity data'!BP13*EF!$H44*EF!AO62)*NtoN2O*kgtoGg)</f>
        <v>1.6019215529788255E-2</v>
      </c>
    </row>
    <row r="45" spans="1:68" x14ac:dyDescent="0.2">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0.11605647283191661</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0.11805182815822723</v>
      </c>
      <c r="AK45" s="27">
        <f>IF(('Activity data'!AK14*EF!$H45*EF!J63)*NtoN2O*kgtoGg=0,"NO",('Activity data'!AK14*EF!$H45*EF!J63)*NtoN2O*kgtoGg)</f>
        <v>0.11882851694408277</v>
      </c>
      <c r="AL45" s="27">
        <f>IF(('Activity data'!AL14*EF!$H45*EF!K63)*NtoN2O*kgtoGg=0,"NO",('Activity data'!AL14*EF!$H45*EF!K63)*NtoN2O*kgtoGg)</f>
        <v>0.11954206178926803</v>
      </c>
      <c r="AM45" s="27">
        <f>IF(('Activity data'!AM14*EF!$H45*EF!L63)*NtoN2O*kgtoGg=0,"NO",('Activity data'!AM14*EF!$H45*EF!L63)*NtoN2O*kgtoGg)</f>
        <v>0.11988942731858297</v>
      </c>
      <c r="AN45" s="27">
        <f>IF(('Activity data'!AN14*EF!$H45*EF!M63)*NtoN2O*kgtoGg=0,"NO",('Activity data'!AN14*EF!$H45*EF!M63)*NtoN2O*kgtoGg)</f>
        <v>0.12026278670919023</v>
      </c>
      <c r="AO45" s="27">
        <f>IF(('Activity data'!AO14*EF!$H45*EF!N63)*NtoN2O*kgtoGg=0,"NO",('Activity data'!AO14*EF!$H45*EF!N63)*NtoN2O*kgtoGg)</f>
        <v>0.12066670581564304</v>
      </c>
      <c r="AP45" s="27">
        <f>IF(('Activity data'!AP14*EF!$H45*EF!O63)*NtoN2O*kgtoGg=0,"NO",('Activity data'!AP14*EF!$H45*EF!O63)*NtoN2O*kgtoGg)</f>
        <v>0.12110561955897305</v>
      </c>
      <c r="AQ45" s="27">
        <f>IF(('Activity data'!AQ14*EF!$H45*EF!P63)*NtoN2O*kgtoGg=0,"NO",('Activity data'!AQ14*EF!$H45*EF!P63)*NtoN2O*kgtoGg)</f>
        <v>0.121571718171076</v>
      </c>
      <c r="AR45" s="27">
        <f>IF(('Activity data'!AR14*EF!$H45*EF!Q63)*NtoN2O*kgtoGg=0,"NO",('Activity data'!AR14*EF!$H45*EF!Q63)*NtoN2O*kgtoGg)</f>
        <v>0.12186310337017453</v>
      </c>
      <c r="AS45" s="27">
        <f>IF(('Activity data'!AS14*EF!$H45*EF!R63)*NtoN2O*kgtoGg=0,"NO",('Activity data'!AS14*EF!$H45*EF!R63)*NtoN2O*kgtoGg)</f>
        <v>0.12217830499394715</v>
      </c>
      <c r="AT45" s="27">
        <f>IF(('Activity data'!AT14*EF!$H45*EF!S63)*NtoN2O*kgtoGg=0,"NO",('Activity data'!AT14*EF!$H45*EF!S63)*NtoN2O*kgtoGg)</f>
        <v>0.12251546920442616</v>
      </c>
      <c r="AU45" s="27">
        <f>IF(('Activity data'!AU14*EF!$H45*EF!T63)*NtoN2O*kgtoGg=0,"NO",('Activity data'!AU14*EF!$H45*EF!T63)*NtoN2O*kgtoGg)</f>
        <v>0.12288197829584693</v>
      </c>
      <c r="AV45" s="27">
        <f>IF(('Activity data'!AV14*EF!$H45*EF!U63)*NtoN2O*kgtoGg=0,"NO",('Activity data'!AV14*EF!$H45*EF!U63)*NtoN2O*kgtoGg)</f>
        <v>0.12326938935774111</v>
      </c>
      <c r="AW45" s="27">
        <f>IF(('Activity data'!AW14*EF!$H45*EF!V63)*NtoN2O*kgtoGg=0,"NO",('Activity data'!AW14*EF!$H45*EF!V63)*NtoN2O*kgtoGg)</f>
        <v>0.12352124807218419</v>
      </c>
      <c r="AX45" s="27">
        <f>IF(('Activity data'!AX14*EF!$H45*EF!W63)*NtoN2O*kgtoGg=0,"NO",('Activity data'!AX14*EF!$H45*EF!W63)*NtoN2O*kgtoGg)</f>
        <v>0.12379863732892218</v>
      </c>
      <c r="AY45" s="27">
        <f>IF(('Activity data'!AY14*EF!$H45*EF!X63)*NtoN2O*kgtoGg=0,"NO",('Activity data'!AY14*EF!$H45*EF!X63)*NtoN2O*kgtoGg)</f>
        <v>0.12409726765849963</v>
      </c>
      <c r="AZ45" s="27">
        <f>IF(('Activity data'!AZ14*EF!$H45*EF!Y63)*NtoN2O*kgtoGg=0,"NO",('Activity data'!AZ14*EF!$H45*EF!Y63)*NtoN2O*kgtoGg)</f>
        <v>0.12442035279404921</v>
      </c>
      <c r="BA45" s="27">
        <f>IF(('Activity data'!BA14*EF!$H45*EF!Z63)*NtoN2O*kgtoGg=0,"NO",('Activity data'!BA14*EF!$H45*EF!Z63)*NtoN2O*kgtoGg)</f>
        <v>0.12474907895074024</v>
      </c>
      <c r="BB45" s="27">
        <f>IF(('Activity data'!BB14*EF!$H45*EF!AA63)*NtoN2O*kgtoGg=0,"NO",('Activity data'!BB14*EF!$H45*EF!AA63)*NtoN2O*kgtoGg)</f>
        <v>0.12494366449156763</v>
      </c>
      <c r="BC45" s="27">
        <f>IF(('Activity data'!BC14*EF!$H45*EF!AB63)*NtoN2O*kgtoGg=0,"NO",('Activity data'!BC14*EF!$H45*EF!AB63)*NtoN2O*kgtoGg)</f>
        <v>0.12515662330645747</v>
      </c>
      <c r="BD45" s="27">
        <f>IF(('Activity data'!BD14*EF!$H45*EF!AC63)*NtoN2O*kgtoGg=0,"NO",('Activity data'!BD14*EF!$H45*EF!AC63)*NtoN2O*kgtoGg)</f>
        <v>0.12538222370536653</v>
      </c>
      <c r="BE45" s="27">
        <f>IF(('Activity data'!BE14*EF!$H45*EF!AD63)*NtoN2O*kgtoGg=0,"NO",('Activity data'!BE14*EF!$H45*EF!AD63)*NtoN2O*kgtoGg)</f>
        <v>0.12562342426072123</v>
      </c>
      <c r="BF45" s="27">
        <f>IF(('Activity data'!BF14*EF!$H45*EF!AE63)*NtoN2O*kgtoGg=0,"NO",('Activity data'!BF14*EF!$H45*EF!AE63)*NtoN2O*kgtoGg)</f>
        <v>0.12587792310088028</v>
      </c>
      <c r="BG45" s="27">
        <f>IF(('Activity data'!BG14*EF!$H45*EF!AF63)*NtoN2O*kgtoGg=0,"NO",('Activity data'!BG14*EF!$H45*EF!AF63)*NtoN2O*kgtoGg)</f>
        <v>0.12601362885130757</v>
      </c>
      <c r="BH45" s="27">
        <f>IF(('Activity data'!BH14*EF!$H45*EF!AG63)*NtoN2O*kgtoGg=0,"NO",('Activity data'!BH14*EF!$H45*EF!AG63)*NtoN2O*kgtoGg)</f>
        <v>0.12615914674686166</v>
      </c>
      <c r="BI45" s="27">
        <f>IF(('Activity data'!BI14*EF!$H45*EF!AH63)*NtoN2O*kgtoGg=0,"NO",('Activity data'!BI14*EF!$H45*EF!AH63)*NtoN2O*kgtoGg)</f>
        <v>0.1263167216354017</v>
      </c>
      <c r="BJ45" s="27">
        <f>IF(('Activity data'!BJ14*EF!$H45*EF!AI63)*NtoN2O*kgtoGg=0,"NO",('Activity data'!BJ14*EF!$H45*EF!AI63)*NtoN2O*kgtoGg)</f>
        <v>0.12648664374547289</v>
      </c>
      <c r="BK45" s="27">
        <f>IF(('Activity data'!BK14*EF!$H45*EF!AJ63)*NtoN2O*kgtoGg=0,"NO",('Activity data'!BK14*EF!$H45*EF!AJ63)*NtoN2O*kgtoGg)</f>
        <v>0.12666880089487106</v>
      </c>
      <c r="BL45" s="27">
        <f>IF(('Activity data'!BL14*EF!$H45*EF!AK63)*NtoN2O*kgtoGg=0,"NO",('Activity data'!BL14*EF!$H45*EF!AK63)*NtoN2O*kgtoGg)</f>
        <v>0.12673076646052897</v>
      </c>
      <c r="BM45" s="27">
        <f>IF(('Activity data'!BM14*EF!$H45*EF!AL63)*NtoN2O*kgtoGg=0,"NO",('Activity data'!BM14*EF!$H45*EF!AL63)*NtoN2O*kgtoGg)</f>
        <v>0.12678455536263306</v>
      </c>
      <c r="BN45" s="27">
        <f>IF(('Activity data'!BN14*EF!$H45*EF!AM63)*NtoN2O*kgtoGg=0,"NO",('Activity data'!BN14*EF!$H45*EF!AM63)*NtoN2O*kgtoGg)</f>
        <v>0.1268464977223743</v>
      </c>
      <c r="BO45" s="27">
        <f>IF(('Activity data'!BO14*EF!$H45*EF!AN63)*NtoN2O*kgtoGg=0,"NO",('Activity data'!BO14*EF!$H45*EF!AN63)*NtoN2O*kgtoGg)</f>
        <v>0.12691819050802894</v>
      </c>
      <c r="BP45" s="27">
        <f>IF(('Activity data'!BP14*EF!$H45*EF!AO63)*NtoN2O*kgtoGg=0,"NO",('Activity data'!BP14*EF!$H45*EF!AO63)*NtoN2O*kgtoGg)</f>
        <v>0.12699852361165501</v>
      </c>
    </row>
    <row r="46" spans="1:68" x14ac:dyDescent="0.2">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2">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2">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9.6937181363551561E-2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9.4636150647850539E-2</v>
      </c>
      <c r="AI48" s="27">
        <f>IF(('Activity data'!AI17*EF!$H48*EF!H66)*NtoN2O*kgtoGg=0,"NO",('Activity data'!AI17*EF!$H48*EF!H66)*NtoN2O*kgtoGg)</f>
        <v>9.2641437622218353E-2</v>
      </c>
      <c r="AJ48" s="27">
        <f>IF(('Activity data'!AJ17*EF!$H48*EF!I66)*NtoN2O*kgtoGg=0,"NO",('Activity data'!AJ17*EF!$H48*EF!I66)*NtoN2O*kgtoGg)</f>
        <v>9.1193054757597203E-2</v>
      </c>
      <c r="AK48" s="27">
        <f>IF(('Activity data'!AK17*EF!$H48*EF!J66)*NtoN2O*kgtoGg=0,"NO",('Activity data'!AK17*EF!$H48*EF!J66)*NtoN2O*kgtoGg)</f>
        <v>8.9872834352323586E-2</v>
      </c>
      <c r="AL48" s="27">
        <f>IF(('Activity data'!AL17*EF!$H48*EF!K66)*NtoN2O*kgtoGg=0,"NO",('Activity data'!AL17*EF!$H48*EF!K66)*NtoN2O*kgtoGg)</f>
        <v>8.007614881771638E-2</v>
      </c>
      <c r="AM48" s="27">
        <f>IF(('Activity data'!AM17*EF!$H48*EF!L66)*NtoN2O*kgtoGg=0,"NO",('Activity data'!AM17*EF!$H48*EF!L66)*NtoN2O*kgtoGg)</f>
        <v>8.1326396788510474E-2</v>
      </c>
      <c r="AN48" s="27">
        <f>IF(('Activity data'!AN17*EF!$H48*EF!M66)*NtoN2O*kgtoGg=0,"NO",('Activity data'!AN17*EF!$H48*EF!M66)*NtoN2O*kgtoGg)</f>
        <v>8.1857388582928847E-2</v>
      </c>
      <c r="AO48" s="27">
        <f>IF(('Activity data'!AO17*EF!$H48*EF!N66)*NtoN2O*kgtoGg=0,"NO",('Activity data'!AO17*EF!$H48*EF!N66)*NtoN2O*kgtoGg)</f>
        <v>8.2207086470719101E-2</v>
      </c>
      <c r="AP48" s="27">
        <f>IF(('Activity data'!AP17*EF!$H48*EF!O66)*NtoN2O*kgtoGg=0,"NO",('Activity data'!AP17*EF!$H48*EF!O66)*NtoN2O*kgtoGg)</f>
        <v>8.285461390877466E-2</v>
      </c>
      <c r="AQ48" s="27">
        <f>IF(('Activity data'!AQ17*EF!$H48*EF!P66)*NtoN2O*kgtoGg=0,"NO",('Activity data'!AQ17*EF!$H48*EF!P66)*NtoN2O*kgtoGg)</f>
        <v>8.333689669834958E-2</v>
      </c>
      <c r="AR48" s="27">
        <f>IF(('Activity data'!AR17*EF!$H48*EF!Q66)*NtoN2O*kgtoGg=0,"NO",('Activity data'!AR17*EF!$H48*EF!Q66)*NtoN2O*kgtoGg)</f>
        <v>8.3589871912565908E-2</v>
      </c>
      <c r="AS48" s="27">
        <f>IF(('Activity data'!AS17*EF!$H48*EF!R66)*NtoN2O*kgtoGg=0,"NO",('Activity data'!AS17*EF!$H48*EF!R66)*NtoN2O*kgtoGg)</f>
        <v>8.3744868407458789E-2</v>
      </c>
      <c r="AT48" s="27">
        <f>IF(('Activity data'!AT17*EF!$H48*EF!S66)*NtoN2O*kgtoGg=0,"NO",('Activity data'!AT17*EF!$H48*EF!S66)*NtoN2O*kgtoGg)</f>
        <v>8.3765893880963477E-2</v>
      </c>
      <c r="AU48" s="27">
        <f>IF(('Activity data'!AU17*EF!$H48*EF!T66)*NtoN2O*kgtoGg=0,"NO",('Activity data'!AU17*EF!$H48*EF!T66)*NtoN2O*kgtoGg)</f>
        <v>8.4252320791482468E-2</v>
      </c>
      <c r="AV48" s="27">
        <f>IF(('Activity data'!AV17*EF!$H48*EF!U66)*NtoN2O*kgtoGg=0,"NO",('Activity data'!AV17*EF!$H48*EF!U66)*NtoN2O*kgtoGg)</f>
        <v>8.467721169561411E-2</v>
      </c>
      <c r="AW48" s="27">
        <f>IF(('Activity data'!AW17*EF!$H48*EF!V66)*NtoN2O*kgtoGg=0,"NO",('Activity data'!AW17*EF!$H48*EF!V66)*NtoN2O*kgtoGg)</f>
        <v>8.5288552318902811E-2</v>
      </c>
      <c r="AX48" s="27">
        <f>IF(('Activity data'!AX17*EF!$H48*EF!W66)*NtoN2O*kgtoGg=0,"NO",('Activity data'!AX17*EF!$H48*EF!W66)*NtoN2O*kgtoGg)</f>
        <v>8.6321222168383255E-2</v>
      </c>
      <c r="AY48" s="27">
        <f>IF(('Activity data'!AY17*EF!$H48*EF!X66)*NtoN2O*kgtoGg=0,"NO",('Activity data'!AY17*EF!$H48*EF!X66)*NtoN2O*kgtoGg)</f>
        <v>8.7530536010928472E-2</v>
      </c>
      <c r="AZ48" s="27">
        <f>IF(('Activity data'!AZ17*EF!$H48*EF!Y66)*NtoN2O*kgtoGg=0,"NO",('Activity data'!AZ17*EF!$H48*EF!Y66)*NtoN2O*kgtoGg)</f>
        <v>8.9167849032446608E-2</v>
      </c>
      <c r="BA48" s="27">
        <f>IF(('Activity data'!BA17*EF!$H48*EF!Z66)*NtoN2O*kgtoGg=0,"NO",('Activity data'!BA17*EF!$H48*EF!Z66)*NtoN2O*kgtoGg)</f>
        <v>9.0051741731639295E-2</v>
      </c>
      <c r="BB48" s="27">
        <f>IF(('Activity data'!BB17*EF!$H48*EF!AA66)*NtoN2O*kgtoGg=0,"NO",('Activity data'!BB17*EF!$H48*EF!AA66)*NtoN2O*kgtoGg)</f>
        <v>9.0823732502808008E-2</v>
      </c>
      <c r="BC48" s="27">
        <f>IF(('Activity data'!BC17*EF!$H48*EF!AB66)*NtoN2O*kgtoGg=0,"NO",('Activity data'!BC17*EF!$H48*EF!AB66)*NtoN2O*kgtoGg)</f>
        <v>9.1793903682288E-2</v>
      </c>
      <c r="BD48" s="27">
        <f>IF(('Activity data'!BD17*EF!$H48*EF!AC66)*NtoN2O*kgtoGg=0,"NO",('Activity data'!BD17*EF!$H48*EF!AC66)*NtoN2O*kgtoGg)</f>
        <v>9.2636221139642705E-2</v>
      </c>
      <c r="BE48" s="27">
        <f>IF(('Activity data'!BE17*EF!$H48*EF!AD66)*NtoN2O*kgtoGg=0,"NO",('Activity data'!BE17*EF!$H48*EF!AD66)*NtoN2O*kgtoGg)</f>
        <v>9.3568236692189041E-2</v>
      </c>
      <c r="BF48" s="27">
        <f>IF(('Activity data'!BF17*EF!$H48*EF!AE66)*NtoN2O*kgtoGg=0,"NO",('Activity data'!BF17*EF!$H48*EF!AE66)*NtoN2O*kgtoGg)</f>
        <v>9.4477344703207677E-2</v>
      </c>
      <c r="BG48" s="27">
        <f>IF(('Activity data'!BG17*EF!$H48*EF!AF66)*NtoN2O*kgtoGg=0,"NO",('Activity data'!BG17*EF!$H48*EF!AF66)*NtoN2O*kgtoGg)</f>
        <v>9.5701309146604296E-2</v>
      </c>
      <c r="BH48" s="27">
        <f>IF(('Activity data'!BH17*EF!$H48*EF!AG66)*NtoN2O*kgtoGg=0,"NO",('Activity data'!BH17*EF!$H48*EF!AG66)*NtoN2O*kgtoGg)</f>
        <v>9.6764158959885563E-2</v>
      </c>
      <c r="BI48" s="27">
        <f>IF(('Activity data'!BI17*EF!$H48*EF!AH66)*NtoN2O*kgtoGg=0,"NO",('Activity data'!BI17*EF!$H48*EF!AH66)*NtoN2O*kgtoGg)</f>
        <v>9.7826064209534019E-2</v>
      </c>
      <c r="BJ48" s="27">
        <f>IF(('Activity data'!BJ17*EF!$H48*EF!AI66)*NtoN2O*kgtoGg=0,"NO",('Activity data'!BJ17*EF!$H48*EF!AI66)*NtoN2O*kgtoGg)</f>
        <v>9.8925683865692504E-2</v>
      </c>
      <c r="BK48" s="27">
        <f>IF(('Activity data'!BK17*EF!$H48*EF!AJ66)*NtoN2O*kgtoGg=0,"NO",('Activity data'!BK17*EF!$H48*EF!AJ66)*NtoN2O*kgtoGg)</f>
        <v>0.1000753787258143</v>
      </c>
      <c r="BL48" s="27">
        <f>IF(('Activity data'!BL17*EF!$H48*EF!AK66)*NtoN2O*kgtoGg=0,"NO",('Activity data'!BL17*EF!$H48*EF!AK66)*NtoN2O*kgtoGg)</f>
        <v>0.10157365781943821</v>
      </c>
      <c r="BM48" s="27">
        <f>IF(('Activity data'!BM17*EF!$H48*EF!AL66)*NtoN2O*kgtoGg=0,"NO",('Activity data'!BM17*EF!$H48*EF!AL66)*NtoN2O*kgtoGg)</f>
        <v>0.10203766217050345</v>
      </c>
      <c r="BN48" s="27">
        <f>IF(('Activity data'!BN17*EF!$H48*EF!AM66)*NtoN2O*kgtoGg=0,"NO",('Activity data'!BN17*EF!$H48*EF!AM66)*NtoN2O*kgtoGg)</f>
        <v>0.10240826928518969</v>
      </c>
      <c r="BO48" s="27">
        <f>IF(('Activity data'!BO17*EF!$H48*EF!AN66)*NtoN2O*kgtoGg=0,"NO",('Activity data'!BO17*EF!$H48*EF!AN66)*NtoN2O*kgtoGg)</f>
        <v>0.10279047259457187</v>
      </c>
      <c r="BP48" s="27">
        <f>IF(('Activity data'!BP17*EF!$H48*EF!AO66)*NtoN2O*kgtoGg=0,"NO",('Activity data'!BP17*EF!$H48*EF!AO66)*NtoN2O*kgtoGg)</f>
        <v>0.10314026973807801</v>
      </c>
    </row>
    <row r="49" spans="1:68" x14ac:dyDescent="0.2">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3.7923788015899976E-2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3.7023578211438583E-2</v>
      </c>
      <c r="AI49" s="27">
        <f>IF(('Activity data'!AI18*EF!$H49*EF!H67)*NtoN2O*kgtoGg=0,"NO",('Activity data'!AI18*EF!$H49*EF!H67)*NtoN2O*kgtoGg)</f>
        <v>3.6243206089281214E-2</v>
      </c>
      <c r="AJ49" s="27">
        <f>IF(('Activity data'!AJ18*EF!$H49*EF!I67)*NtoN2O*kgtoGg=0,"NO",('Activity data'!AJ18*EF!$H49*EF!I67)*NtoN2O*kgtoGg)</f>
        <v>3.5676569387541844E-2</v>
      </c>
      <c r="AK49" s="27">
        <f>IF(('Activity data'!AK18*EF!$H49*EF!J67)*NtoN2O*kgtoGg=0,"NO",('Activity data'!AK18*EF!$H49*EF!J67)*NtoN2O*kgtoGg)</f>
        <v>3.5160072434777256E-2</v>
      </c>
      <c r="AL49" s="27">
        <f>IF(('Activity data'!AL18*EF!$H49*EF!K67)*NtoN2O*kgtoGg=0,"NO",('Activity data'!AL18*EF!$H49*EF!K67)*NtoN2O*kgtoGg)</f>
        <v>3.132741070223205E-2</v>
      </c>
      <c r="AM49" s="27">
        <f>IF(('Activity data'!AM18*EF!$H49*EF!L67)*NtoN2O*kgtoGg=0,"NO",('Activity data'!AM18*EF!$H49*EF!L67)*NtoN2O*kgtoGg)</f>
        <v>3.1816533021911265E-2</v>
      </c>
      <c r="AN49" s="27">
        <f>IF(('Activity data'!AN18*EF!$H49*EF!M67)*NtoN2O*kgtoGg=0,"NO",('Activity data'!AN18*EF!$H49*EF!M67)*NtoN2O*kgtoGg)</f>
        <v>3.2024267762765575E-2</v>
      </c>
      <c r="AO49" s="27">
        <f>IF(('Activity data'!AO18*EF!$H49*EF!N67)*NtoN2O*kgtoGg=0,"NO",('Activity data'!AO18*EF!$H49*EF!N67)*NtoN2O*kgtoGg)</f>
        <v>3.2161076656727829E-2</v>
      </c>
      <c r="AP49" s="27">
        <f>IF(('Activity data'!AP18*EF!$H49*EF!O67)*NtoN2O*kgtoGg=0,"NO",('Activity data'!AP18*EF!$H49*EF!O67)*NtoN2O*kgtoGg)</f>
        <v>3.2414402500845374E-2</v>
      </c>
      <c r="AQ49" s="27">
        <f>IF(('Activity data'!AQ18*EF!$H49*EF!P67)*NtoN2O*kgtoGg=0,"NO",('Activity data'!AQ18*EF!$H49*EF!P67)*NtoN2O*kgtoGg)</f>
        <v>3.2603081292804072E-2</v>
      </c>
      <c r="AR49" s="27">
        <f>IF(('Activity data'!AR18*EF!$H49*EF!Q67)*NtoN2O*kgtoGg=0,"NO",('Activity data'!AR18*EF!$H49*EF!Q67)*NtoN2O*kgtoGg)</f>
        <v>3.2702050318540822E-2</v>
      </c>
      <c r="AS49" s="27">
        <f>IF(('Activity data'!AS18*EF!$H49*EF!R67)*NtoN2O*kgtoGg=0,"NO",('Activity data'!AS18*EF!$H49*EF!R67)*NtoN2O*kgtoGg)</f>
        <v>3.2762688085523954E-2</v>
      </c>
      <c r="AT49" s="27">
        <f>IF(('Activity data'!AT18*EF!$H49*EF!S67)*NtoN2O*kgtoGg=0,"NO",('Activity data'!AT18*EF!$H49*EF!S67)*NtoN2O*kgtoGg)</f>
        <v>3.2770913676457285E-2</v>
      </c>
      <c r="AU49" s="27">
        <f>IF(('Activity data'!AU18*EF!$H49*EF!T67)*NtoN2O*kgtoGg=0,"NO",('Activity data'!AU18*EF!$H49*EF!T67)*NtoN2O*kgtoGg)</f>
        <v>3.2961213732434436E-2</v>
      </c>
      <c r="AV49" s="27">
        <f>IF(('Activity data'!AV18*EF!$H49*EF!U67)*NtoN2O*kgtoGg=0,"NO",('Activity data'!AV18*EF!$H49*EF!U67)*NtoN2O*kgtoGg)</f>
        <v>3.3127439656806437E-2</v>
      </c>
      <c r="AW49" s="27">
        <f>IF(('Activity data'!AW18*EF!$H49*EF!V67)*NtoN2O*kgtoGg=0,"NO",('Activity data'!AW18*EF!$H49*EF!V67)*NtoN2O*kgtoGg)</f>
        <v>3.3366608486320448E-2</v>
      </c>
      <c r="AX49" s="27">
        <f>IF(('Activity data'!AX18*EF!$H49*EF!W67)*NtoN2O*kgtoGg=0,"NO",('Activity data'!AX18*EF!$H49*EF!W67)*NtoN2O*kgtoGg)</f>
        <v>3.377060983968385E-2</v>
      </c>
      <c r="AY49" s="27">
        <f>IF(('Activity data'!AY18*EF!$H49*EF!X67)*NtoN2O*kgtoGg=0,"NO",('Activity data'!AY18*EF!$H49*EF!X67)*NtoN2O*kgtoGg)</f>
        <v>3.4243717899607513E-2</v>
      </c>
      <c r="AZ49" s="27">
        <f>IF(('Activity data'!AZ18*EF!$H49*EF!Y67)*NtoN2O*kgtoGg=0,"NO",('Activity data'!AZ18*EF!$H49*EF!Y67)*NtoN2O*kgtoGg)</f>
        <v>3.4884267903953659E-2</v>
      </c>
      <c r="BA49" s="27">
        <f>IF(('Activity data'!BA18*EF!$H49*EF!Z67)*NtoN2O*kgtoGg=0,"NO",('Activity data'!BA18*EF!$H49*EF!Z67)*NtoN2O*kgtoGg)</f>
        <v>3.523006462386518E-2</v>
      </c>
      <c r="BB49" s="27">
        <f>IF(('Activity data'!BB18*EF!$H49*EF!AA67)*NtoN2O*kgtoGg=0,"NO",('Activity data'!BB18*EF!$H49*EF!AA67)*NtoN2O*kgtoGg)</f>
        <v>3.5532083043879219E-2</v>
      </c>
      <c r="BC49" s="27">
        <f>IF(('Activity data'!BC18*EF!$H49*EF!AB67)*NtoN2O*kgtoGg=0,"NO",('Activity data'!BC18*EF!$H49*EF!AB67)*NtoN2O*kgtoGg)</f>
        <v>3.5911633652141173E-2</v>
      </c>
      <c r="BD49" s="27">
        <f>IF(('Activity data'!BD18*EF!$H49*EF!AC67)*NtoN2O*kgtoGg=0,"NO",('Activity data'!BD18*EF!$H49*EF!AC67)*NtoN2O*kgtoGg)</f>
        <v>3.6241165295680604E-2</v>
      </c>
      <c r="BE49" s="27">
        <f>IF(('Activity data'!BE18*EF!$H49*EF!AD67)*NtoN2O*kgtoGg=0,"NO",('Activity data'!BE18*EF!$H49*EF!AD67)*NtoN2O*kgtoGg)</f>
        <v>3.6605788650157255E-2</v>
      </c>
      <c r="BF49" s="27">
        <f>IF(('Activity data'!BF18*EF!$H49*EF!AE67)*NtoN2O*kgtoGg=0,"NO",('Activity data'!BF18*EF!$H49*EF!AE67)*NtoN2O*kgtoGg)</f>
        <v>3.6961450110584139E-2</v>
      </c>
      <c r="BG49" s="27">
        <f>IF(('Activity data'!BG18*EF!$H49*EF!AF67)*NtoN2O*kgtoGg=0,"NO",('Activity data'!BG18*EF!$H49*EF!AF67)*NtoN2O*kgtoGg)</f>
        <v>3.7440289782188468E-2</v>
      </c>
      <c r="BH49" s="27">
        <f>IF(('Activity data'!BH18*EF!$H49*EF!AG67)*NtoN2O*kgtoGg=0,"NO",('Activity data'!BH18*EF!$H49*EF!AG67)*NtoN2O*kgtoGg)</f>
        <v>3.7856098148438051E-2</v>
      </c>
      <c r="BI49" s="27">
        <f>IF(('Activity data'!BI18*EF!$H49*EF!AH67)*NtoN2O*kgtoGg=0,"NO",('Activity data'!BI18*EF!$H49*EF!AH67)*NtoN2O*kgtoGg)</f>
        <v>3.82715369822701E-2</v>
      </c>
      <c r="BJ49" s="27">
        <f>IF(('Activity data'!BJ18*EF!$H49*EF!AI67)*NtoN2O*kgtoGg=0,"NO",('Activity data'!BJ18*EF!$H49*EF!AI67)*NtoN2O*kgtoGg)</f>
        <v>3.8701730455524434E-2</v>
      </c>
      <c r="BK49" s="27">
        <f>IF(('Activity data'!BK18*EF!$H49*EF!AJ67)*NtoN2O*kgtoGg=0,"NO",('Activity data'!BK18*EF!$H49*EF!AJ67)*NtoN2O*kgtoGg)</f>
        <v>3.9151514362431208E-2</v>
      </c>
      <c r="BL49" s="27">
        <f>IF(('Activity data'!BL18*EF!$H49*EF!AK67)*NtoN2O*kgtoGg=0,"NO",('Activity data'!BL18*EF!$H49*EF!AK67)*NtoN2O*kgtoGg)</f>
        <v>3.973767147919479E-2</v>
      </c>
      <c r="BM49" s="27">
        <f>IF(('Activity data'!BM18*EF!$H49*EF!AL67)*NtoN2O*kgtoGg=0,"NO",('Activity data'!BM18*EF!$H49*EF!AL67)*NtoN2O*kgtoGg)</f>
        <v>3.9919199375928846E-2</v>
      </c>
      <c r="BN49" s="27">
        <f>IF(('Activity data'!BN18*EF!$H49*EF!AM67)*NtoN2O*kgtoGg=0,"NO",('Activity data'!BN18*EF!$H49*EF!AM67)*NtoN2O*kgtoGg)</f>
        <v>4.0064188382797468E-2</v>
      </c>
      <c r="BO49" s="27">
        <f>IF(('Activity data'!BO18*EF!$H49*EF!AN67)*NtoN2O*kgtoGg=0,"NO",('Activity data'!BO18*EF!$H49*EF!AN67)*NtoN2O*kgtoGg)</f>
        <v>4.0213714055816842E-2</v>
      </c>
      <c r="BP49" s="27">
        <f>IF(('Activity data'!BP18*EF!$H49*EF!AO67)*NtoN2O*kgtoGg=0,"NO",('Activity data'!BP18*EF!$H49*EF!AO67)*NtoN2O*kgtoGg)</f>
        <v>4.0350561780624759E-2</v>
      </c>
    </row>
    <row r="50" spans="1:68" x14ac:dyDescent="0.2">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0.32784224726088984</v>
      </c>
      <c r="AE50" s="27">
        <f>IF(('Activity data'!AE19*EF!$H50*EF!$H68)*NtoN2O*kgtoGg=0,"NO",('Activity data'!AE19*EF!$H50*EF!$H68)*NtoN2O*kgtoGg)</f>
        <v>0.33450793008613738</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0.35308310351311484</v>
      </c>
      <c r="AI50" s="27">
        <f>IF(('Activity data'!AI19*EF!$H50*EF!H68)*NtoN2O*kgtoGg=0,"NO",('Activity data'!AI19*EF!$H50*EF!H68)*NtoN2O*kgtoGg)</f>
        <v>0.35667649320457151</v>
      </c>
      <c r="AJ50" s="27">
        <f>IF(('Activity data'!AJ19*EF!$H50*EF!I68)*NtoN2O*kgtoGg=0,"NO",('Activity data'!AJ19*EF!$H50*EF!I68)*NtoN2O*kgtoGg)</f>
        <v>0.36128421068096001</v>
      </c>
      <c r="AK50" s="27">
        <f>IF(('Activity data'!AK19*EF!$H50*EF!J68)*NtoN2O*kgtoGg=0,"NO",('Activity data'!AK19*EF!$H50*EF!J68)*NtoN2O*kgtoGg)</f>
        <v>0.36607496135357964</v>
      </c>
      <c r="AL50" s="27">
        <f>IF(('Activity data'!AL19*EF!$H50*EF!K68)*NtoN2O*kgtoGg=0,"NO",('Activity data'!AL19*EF!$H50*EF!K68)*NtoN2O*kgtoGg)</f>
        <v>0.35143183243338239</v>
      </c>
      <c r="AM50" s="27">
        <f>IF(('Activity data'!AM19*EF!$H50*EF!L68)*NtoN2O*kgtoGg=0,"NO",('Activity data'!AM19*EF!$H50*EF!L68)*NtoN2O*kgtoGg)</f>
        <v>0.36075285272545593</v>
      </c>
      <c r="AN50" s="27">
        <f>IF(('Activity data'!AN19*EF!$H50*EF!M68)*NtoN2O*kgtoGg=0,"NO",('Activity data'!AN19*EF!$H50*EF!M68)*NtoN2O*kgtoGg)</f>
        <v>0.36853031698633509</v>
      </c>
      <c r="AO50" s="27">
        <f>IF(('Activity data'!AO19*EF!$H50*EF!N68)*NtoN2O*kgtoGg=0,"NO",('Activity data'!AO19*EF!$H50*EF!N68)*NtoN2O*kgtoGg)</f>
        <v>0.37596763636775804</v>
      </c>
      <c r="AP50" s="27">
        <f>IF(('Activity data'!AP19*EF!$H50*EF!O68)*NtoN2O*kgtoGg=0,"NO",('Activity data'!AP19*EF!$H50*EF!O68)*NtoN2O*kgtoGg)</f>
        <v>0.38423631077311071</v>
      </c>
      <c r="AQ50" s="27">
        <f>IF(('Activity data'!AQ19*EF!$H50*EF!P68)*NtoN2O*kgtoGg=0,"NO",('Activity data'!AQ19*EF!$H50*EF!P68)*NtoN2O*kgtoGg)</f>
        <v>0.39220730600957571</v>
      </c>
      <c r="AR50" s="27">
        <f>IF(('Activity data'!AR19*EF!$H50*EF!Q68)*NtoN2O*kgtoGg=0,"NO",('Activity data'!AR19*EF!$H50*EF!Q68)*NtoN2O*kgtoGg)</f>
        <v>0.39936428537617313</v>
      </c>
      <c r="AS50" s="27">
        <f>IF(('Activity data'!AS19*EF!$H50*EF!R68)*NtoN2O*kgtoGg=0,"NO",('Activity data'!AS19*EF!$H50*EF!R68)*NtoN2O*kgtoGg)</f>
        <v>0.40634242638516721</v>
      </c>
      <c r="AT50" s="27">
        <f>IF(('Activity data'!AT19*EF!$H50*EF!S68)*NtoN2O*kgtoGg=0,"NO",('Activity data'!AT19*EF!$H50*EF!S68)*NtoN2O*kgtoGg)</f>
        <v>0.41303118340854511</v>
      </c>
      <c r="AU50" s="27">
        <f>IF(('Activity data'!AU19*EF!$H50*EF!T68)*NtoN2O*kgtoGg=0,"NO",('Activity data'!AU19*EF!$H50*EF!T68)*NtoN2O*kgtoGg)</f>
        <v>0.42107387695618559</v>
      </c>
      <c r="AV50" s="27">
        <f>IF(('Activity data'!AV19*EF!$H50*EF!U68)*NtoN2O*kgtoGg=0,"NO",('Activity data'!AV19*EF!$H50*EF!U68)*NtoN2O*kgtoGg)</f>
        <v>0.42906142963568294</v>
      </c>
      <c r="AW50" s="27">
        <f>IF(('Activity data'!AW19*EF!$H50*EF!V68)*NtoN2O*kgtoGg=0,"NO",('Activity data'!AW19*EF!$H50*EF!V68)*NtoN2O*kgtoGg)</f>
        <v>0.43743347438516689</v>
      </c>
      <c r="AX50" s="27">
        <f>IF(('Activity data'!AX19*EF!$H50*EF!W68)*NtoN2O*kgtoGg=0,"NO",('Activity data'!AX19*EF!$H50*EF!W68)*NtoN2O*kgtoGg)</f>
        <v>0.44718290108725961</v>
      </c>
      <c r="AY50" s="27">
        <f>IF(('Activity data'!AY19*EF!$H50*EF!X68)*NtoN2O*kgtoGg=0,"NO",('Activity data'!AY19*EF!$H50*EF!X68)*NtoN2O*kgtoGg)</f>
        <v>0.45765280094933275</v>
      </c>
      <c r="AZ50" s="27">
        <f>IF(('Activity data'!AZ19*EF!$H50*EF!Y68)*NtoN2O*kgtoGg=0,"NO",('Activity data'!AZ19*EF!$H50*EF!Y68)*NtoN2O*kgtoGg)</f>
        <v>0.46964954754544574</v>
      </c>
      <c r="BA50" s="27">
        <f>IF(('Activity data'!BA19*EF!$H50*EF!Z68)*NtoN2O*kgtoGg=0,"NO",('Activity data'!BA19*EF!$H50*EF!Z68)*NtoN2O*kgtoGg)</f>
        <v>0.47956610826401264</v>
      </c>
      <c r="BB50" s="27">
        <f>IF(('Activity data'!BB19*EF!$H50*EF!AA68)*NtoN2O*kgtoGg=0,"NO",('Activity data'!BB19*EF!$H50*EF!AA68)*NtoN2O*kgtoGg)</f>
        <v>0.48905427439468169</v>
      </c>
      <c r="BC50" s="27">
        <f>IF(('Activity data'!BC19*EF!$H50*EF!AB68)*NtoN2O*kgtoGg=0,"NO",('Activity data'!BC19*EF!$H50*EF!AB68)*NtoN2O*kgtoGg)</f>
        <v>0.49936104134598547</v>
      </c>
      <c r="BD50" s="27">
        <f>IF(('Activity data'!BD19*EF!$H50*EF!AC68)*NtoN2O*kgtoGg=0,"NO",('Activity data'!BD19*EF!$H50*EF!AC68)*NtoN2O*kgtoGg)</f>
        <v>0.5094502425603159</v>
      </c>
      <c r="BE50" s="27">
        <f>IF(('Activity data'!BE19*EF!$H50*EF!AD68)*NtoN2O*kgtoGg=0,"NO",('Activity data'!BE19*EF!$H50*EF!AD68)*NtoN2O*kgtoGg)</f>
        <v>0.52003660978561117</v>
      </c>
      <c r="BF50" s="27">
        <f>IF(('Activity data'!BF19*EF!$H50*EF!AE68)*NtoN2O*kgtoGg=0,"NO",('Activity data'!BF19*EF!$H50*EF!AE68)*NtoN2O*kgtoGg)</f>
        <v>0.53075624094362661</v>
      </c>
      <c r="BG50" s="27">
        <f>IF(('Activity data'!BG19*EF!$H50*EF!AF68)*NtoN2O*kgtoGg=0,"NO",('Activity data'!BG19*EF!$H50*EF!AF68)*NtoN2O*kgtoGg)</f>
        <v>0.54254535314858965</v>
      </c>
      <c r="BH50" s="27">
        <f>IF(('Activity data'!BH19*EF!$H50*EF!AG68)*NtoN2O*kgtoGg=0,"NO",('Activity data'!BH19*EF!$H50*EF!AG68)*NtoN2O*kgtoGg)</f>
        <v>0.55401935597193963</v>
      </c>
      <c r="BI50" s="27">
        <f>IF(('Activity data'!BI19*EF!$H50*EF!AH68)*NtoN2O*kgtoGg=0,"NO",('Activity data'!BI19*EF!$H50*EF!AH68)*NtoN2O*kgtoGg)</f>
        <v>0.56573487647354037</v>
      </c>
      <c r="BJ50" s="27">
        <f>IF(('Activity data'!BJ19*EF!$H50*EF!AI68)*NtoN2O*kgtoGg=0,"NO",('Activity data'!BJ19*EF!$H50*EF!AI68)*NtoN2O*kgtoGg)</f>
        <v>0.57784177154062866</v>
      </c>
      <c r="BK50" s="27">
        <f>IF(('Activity data'!BK19*EF!$H50*EF!AJ68)*NtoN2O*kgtoGg=0,"NO",('Activity data'!BK19*EF!$H50*EF!AJ68)*NtoN2O*kgtoGg)</f>
        <v>0.59040171392478091</v>
      </c>
      <c r="BL50" s="27">
        <f>IF(('Activity data'!BL19*EF!$H50*EF!AK68)*NtoN2O*kgtoGg=0,"NO",('Activity data'!BL19*EF!$H50*EF!AK68)*NtoN2O*kgtoGg)</f>
        <v>0.60432458622346374</v>
      </c>
      <c r="BM50" s="27">
        <f>IF(('Activity data'!BM19*EF!$H50*EF!AL68)*NtoN2O*kgtoGg=0,"NO",('Activity data'!BM19*EF!$H50*EF!AL68)*NtoN2O*kgtoGg)</f>
        <v>0.61453867581789445</v>
      </c>
      <c r="BN50" s="27">
        <f>IF(('Activity data'!BN19*EF!$H50*EF!AM68)*NtoN2O*kgtoGg=0,"NO",('Activity data'!BN19*EF!$H50*EF!AM68)*NtoN2O*kgtoGg)</f>
        <v>0.62457515677108666</v>
      </c>
      <c r="BO50" s="27">
        <f>IF(('Activity data'!BO19*EF!$H50*EF!AN68)*NtoN2O*kgtoGg=0,"NO",('Activity data'!BO19*EF!$H50*EF!AN68)*NtoN2O*kgtoGg)</f>
        <v>0.63484544126508857</v>
      </c>
      <c r="BP50" s="27">
        <f>IF(('Activity data'!BP19*EF!$H50*EF!AO68)*NtoN2O*kgtoGg=0,"NO",('Activity data'!BP19*EF!$H50*EF!AO68)*NtoN2O*kgtoGg)</f>
        <v>0.64517661361237144</v>
      </c>
    </row>
    <row r="51" spans="1:68" x14ac:dyDescent="0.2">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1.7017151675634961</v>
      </c>
      <c r="AE51" s="27">
        <f>IF(('Activity data'!AE20*EF!$H51*EF!$H69)*NtoN2O*kgtoGg=0,"NO",('Activity data'!AE20*EF!$H51*EF!$H69)*NtoN2O*kgtoGg)</f>
        <v>1.7241237147327644</v>
      </c>
      <c r="AF51" s="27">
        <f>IF(('Activity data'!AF20*EF!$H51*EF!$H69)*NtoN2O*kgtoGg=0,"NO",('Activity data'!AF20*EF!$H51*EF!$H69)*NtoN2O*kgtoGg)</f>
        <v>1.7601182693498112</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1.7315152516158574</v>
      </c>
      <c r="AK51" s="27">
        <f>IF(('Activity data'!AK20*EF!$H51*EF!J69)*NtoN2O*kgtoGg=0,"NO",('Activity data'!AK20*EF!$H51*EF!J69)*NtoN2O*kgtoGg)</f>
        <v>1.7240481490859678</v>
      </c>
      <c r="AL51" s="27">
        <f>IF(('Activity data'!AL20*EF!$H51*EF!K69)*NtoN2O*kgtoGg=0,"NO",('Activity data'!AL20*EF!$H51*EF!K69)*NtoN2O*kgtoGg)</f>
        <v>1.4738757031674365</v>
      </c>
      <c r="AM51" s="27">
        <f>IF(('Activity data'!AM20*EF!$H51*EF!L69)*NtoN2O*kgtoGg=0,"NO",('Activity data'!AM20*EF!$H51*EF!L69)*NtoN2O*kgtoGg)</f>
        <v>1.5388372787954712</v>
      </c>
      <c r="AN51" s="27">
        <f>IF(('Activity data'!AN20*EF!$H51*EF!M69)*NtoN2O*kgtoGg=0,"NO",('Activity data'!AN20*EF!$H51*EF!M69)*NtoN2O*kgtoGg)</f>
        <v>1.5836036619864218</v>
      </c>
      <c r="AO51" s="27">
        <f>IF(('Activity data'!AO20*EF!$H51*EF!N69)*NtoN2O*kgtoGg=0,"NO",('Activity data'!AO20*EF!$H51*EF!N69)*NtoN2O*kgtoGg)</f>
        <v>1.6233328828738469</v>
      </c>
      <c r="AP51" s="27">
        <f>IF(('Activity data'!AP20*EF!$H51*EF!O69)*NtoN2O*kgtoGg=0,"NO",('Activity data'!AP20*EF!$H51*EF!O69)*NtoN2O*kgtoGg)</f>
        <v>1.6722487915194271</v>
      </c>
      <c r="AQ51" s="27">
        <f>IF(('Activity data'!AQ20*EF!$H51*EF!P69)*NtoN2O*kgtoGg=0,"NO",('Activity data'!AQ20*EF!$H51*EF!P69)*NtoN2O*kgtoGg)</f>
        <v>1.7166486312949987</v>
      </c>
      <c r="AR51" s="27">
        <f>IF(('Activity data'!AR20*EF!$H51*EF!Q69)*NtoN2O*kgtoGg=0,"NO",('Activity data'!AR20*EF!$H51*EF!Q69)*NtoN2O*kgtoGg)</f>
        <v>1.7558377432347874</v>
      </c>
      <c r="AS51" s="27">
        <f>IF(('Activity data'!AS20*EF!$H51*EF!R69)*NtoN2O*kgtoGg=0,"NO",('Activity data'!AS20*EF!$H51*EF!R69)*NtoN2O*kgtoGg)</f>
        <v>1.7922488857917309</v>
      </c>
      <c r="AT51" s="27">
        <f>IF(('Activity data'!AT20*EF!$H51*EF!S69)*NtoN2O*kgtoGg=0,"NO",('Activity data'!AT20*EF!$H51*EF!S69)*NtoN2O*kgtoGg)</f>
        <v>1.8246587141077992</v>
      </c>
      <c r="AU51" s="27">
        <f>IF(('Activity data'!AU20*EF!$H51*EF!T69)*NtoN2O*kgtoGg=0,"NO",('Activity data'!AU20*EF!$H51*EF!T69)*NtoN2O*kgtoGg)</f>
        <v>1.8721447091119181</v>
      </c>
      <c r="AV51" s="27">
        <f>IF(('Activity data'!AV20*EF!$H51*EF!U69)*NtoN2O*kgtoGg=0,"NO",('Activity data'!AV20*EF!$H51*EF!U69)*NtoN2O*kgtoGg)</f>
        <v>1.9182061569635991</v>
      </c>
      <c r="AW51" s="27">
        <f>IF(('Activity data'!AW20*EF!$H51*EF!V69)*NtoN2O*kgtoGg=0,"NO",('Activity data'!AW20*EF!$H51*EF!V69)*NtoN2O*kgtoGg)</f>
        <v>1.9720971341440943</v>
      </c>
      <c r="AX51" s="27">
        <f>IF(('Activity data'!AX20*EF!$H51*EF!W69)*NtoN2O*kgtoGg=0,"NO",('Activity data'!AX20*EF!$H51*EF!W69)*NtoN2O*kgtoGg)</f>
        <v>2.0407669485031263</v>
      </c>
      <c r="AY51" s="27">
        <f>IF(('Activity data'!AY20*EF!$H51*EF!X69)*NtoN2O*kgtoGg=0,"NO",('Activity data'!AY20*EF!$H51*EF!X69)*NtoN2O*kgtoGg)</f>
        <v>2.1165368943229095</v>
      </c>
      <c r="AZ51" s="27">
        <f>IF(('Activity data'!AZ20*EF!$H51*EF!Y69)*NtoN2O*kgtoGg=0,"NO",('Activity data'!AZ20*EF!$H51*EF!Y69)*NtoN2O*kgtoGg)</f>
        <v>2.2082604288024275</v>
      </c>
      <c r="BA51" s="27">
        <f>IF(('Activity data'!BA20*EF!$H51*EF!Z69)*NtoN2O*kgtoGg=0,"NO",('Activity data'!BA20*EF!$H51*EF!Z69)*NtoN2O*kgtoGg)</f>
        <v>2.275680198252084</v>
      </c>
      <c r="BB51" s="27">
        <f>IF(('Activity data'!BB20*EF!$H51*EF!AA69)*NtoN2O*kgtoGg=0,"NO",('Activity data'!BB20*EF!$H51*EF!AA69)*NtoN2O*kgtoGg)</f>
        <v>2.3413904736766207</v>
      </c>
      <c r="BC51" s="27">
        <f>IF(('Activity data'!BC20*EF!$H51*EF!AB69)*NtoN2O*kgtoGg=0,"NO",('Activity data'!BC20*EF!$H51*EF!AB69)*NtoN2O*kgtoGg)</f>
        <v>2.415218944506448</v>
      </c>
      <c r="BD51" s="27">
        <f>IF(('Activity data'!BD20*EF!$H51*EF!AC69)*NtoN2O*kgtoGg=0,"NO",('Activity data'!BD20*EF!$H51*EF!AC69)*NtoN2O*kgtoGg)</f>
        <v>2.4857625444009255</v>
      </c>
      <c r="BE51" s="27">
        <f>IF(('Activity data'!BE20*EF!$H51*EF!AD69)*NtoN2O*kgtoGg=0,"NO",('Activity data'!BE20*EF!$H51*EF!AD69)*NtoN2O*kgtoGg)</f>
        <v>2.5608054567251783</v>
      </c>
      <c r="BF51" s="27">
        <f>IF(('Activity data'!BF20*EF!$H51*EF!AE69)*NtoN2O*kgtoGg=0,"NO",('Activity data'!BF20*EF!$H51*EF!AE69)*NtoN2O*kgtoGg)</f>
        <v>2.6363672729917886</v>
      </c>
      <c r="BG51" s="27">
        <f>IF(('Activity data'!BG20*EF!$H51*EF!AF69)*NtoN2O*kgtoGg=0,"NO",('Activity data'!BG20*EF!$H51*EF!AF69)*NtoN2O*kgtoGg)</f>
        <v>2.7260471010137848</v>
      </c>
      <c r="BH51" s="27">
        <f>IF(('Activity data'!BH20*EF!$H51*EF!AG69)*NtoN2O*kgtoGg=0,"NO",('Activity data'!BH20*EF!$H51*EF!AG69)*NtoN2O*kgtoGg)</f>
        <v>2.8113754255419443</v>
      </c>
      <c r="BI51" s="27">
        <f>IF(('Activity data'!BI20*EF!$H51*EF!AH69)*NtoN2O*kgtoGg=0,"NO",('Activity data'!BI20*EF!$H51*EF!AH69)*NtoN2O*kgtoGg)</f>
        <v>2.8983044964731111</v>
      </c>
      <c r="BJ51" s="27">
        <f>IF(('Activity data'!BJ20*EF!$H51*EF!AI69)*NtoN2O*kgtoGg=0,"NO",('Activity data'!BJ20*EF!$H51*EF!AI69)*NtoN2O*kgtoGg)</f>
        <v>2.9883855152257053</v>
      </c>
      <c r="BK51" s="27">
        <f>IF(('Activity data'!BK20*EF!$H51*EF!AJ69)*NtoN2O*kgtoGg=0,"NO",('Activity data'!BK20*EF!$H51*EF!AJ69)*NtoN2O*kgtoGg)</f>
        <v>3.0822159477018669</v>
      </c>
      <c r="BL51" s="27">
        <f>IF(('Activity data'!BL20*EF!$H51*EF!AK69)*NtoN2O*kgtoGg=0,"NO",('Activity data'!BL20*EF!$H51*EF!AK69)*NtoN2O*kgtoGg)</f>
        <v>3.1927841339465477</v>
      </c>
      <c r="BM51" s="27">
        <f>IF(('Activity data'!BM20*EF!$H51*EF!AL69)*NtoN2O*kgtoGg=0,"NO",('Activity data'!BM20*EF!$H51*EF!AL69)*NtoN2O*kgtoGg)</f>
        <v>3.2639921874822613</v>
      </c>
      <c r="BN51" s="27">
        <f>IF(('Activity data'!BN20*EF!$H51*EF!AM69)*NtoN2O*kgtoGg=0,"NO",('Activity data'!BN20*EF!$H51*EF!AM69)*NtoN2O*kgtoGg)</f>
        <v>3.3326892535191242</v>
      </c>
      <c r="BO51" s="27">
        <f>IF(('Activity data'!BO20*EF!$H51*EF!AN69)*NtoN2O*kgtoGg=0,"NO",('Activity data'!BO20*EF!$H51*EF!AN69)*NtoN2O*kgtoGg)</f>
        <v>3.4031153641230509</v>
      </c>
      <c r="BP51" s="27">
        <f>IF(('Activity data'!BP20*EF!$H51*EF!AO69)*NtoN2O*kgtoGg=0,"NO",('Activity data'!BP20*EF!$H51*EF!AO69)*NtoN2O*kgtoGg)</f>
        <v>3.4734928434212469</v>
      </c>
    </row>
    <row r="52" spans="1:68" x14ac:dyDescent="0.2">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1.3660093635870424E-2</v>
      </c>
      <c r="AE52" s="27">
        <f>IF(('Activity data'!AE21*EF!$H52*EF!$H70)*NtoN2O*kgtoGg=0,"NO",('Activity data'!AE21*EF!$H52*EF!$H70)*NtoN2O*kgtoGg)</f>
        <v>1.3937830420255738E-2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1.4711795979713135E-2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1.5253123389732504E-2</v>
      </c>
      <c r="AL52" s="27">
        <f>IF(('Activity data'!AL21*EF!$H52*EF!K70)*NtoN2O*kgtoGg=0,"NO",('Activity data'!AL21*EF!$H52*EF!K70)*NtoN2O*kgtoGg)</f>
        <v>1.4642993018057613E-2</v>
      </c>
      <c r="AM52" s="27">
        <f>IF(('Activity data'!AM21*EF!$H52*EF!L70)*NtoN2O*kgtoGg=0,"NO",('Activity data'!AM21*EF!$H52*EF!L70)*NtoN2O*kgtoGg)</f>
        <v>1.5031368863560678E-2</v>
      </c>
      <c r="AN52" s="27">
        <f>IF(('Activity data'!AN21*EF!$H52*EF!M70)*NtoN2O*kgtoGg=0,"NO",('Activity data'!AN21*EF!$H52*EF!M70)*NtoN2O*kgtoGg)</f>
        <v>1.5355429874430639E-2</v>
      </c>
      <c r="AO52" s="27">
        <f>IF(('Activity data'!AO21*EF!$H52*EF!N70)*NtoN2O*kgtoGg=0,"NO",('Activity data'!AO21*EF!$H52*EF!N70)*NtoN2O*kgtoGg)</f>
        <v>1.5665318181989931E-2</v>
      </c>
      <c r="AP52" s="27">
        <f>IF(('Activity data'!AP21*EF!$H52*EF!O70)*NtoN2O*kgtoGg=0,"NO",('Activity data'!AP21*EF!$H52*EF!O70)*NtoN2O*kgtoGg)</f>
        <v>1.6009846282212959E-2</v>
      </c>
      <c r="AQ52" s="27">
        <f>IF(('Activity data'!AQ21*EF!$H52*EF!P70)*NtoN2O*kgtoGg=0,"NO",('Activity data'!AQ21*EF!$H52*EF!P70)*NtoN2O*kgtoGg)</f>
        <v>1.6341971083732341E-2</v>
      </c>
      <c r="AR52" s="27">
        <f>IF(('Activity data'!AR21*EF!$H52*EF!Q70)*NtoN2O*kgtoGg=0,"NO",('Activity data'!AR21*EF!$H52*EF!Q70)*NtoN2O*kgtoGg)</f>
        <v>1.6640178557340561E-2</v>
      </c>
      <c r="AS52" s="27">
        <f>IF(('Activity data'!AS21*EF!$H52*EF!R70)*NtoN2O*kgtoGg=0,"NO",('Activity data'!AS21*EF!$H52*EF!R70)*NtoN2O*kgtoGg)</f>
        <v>1.693093443271531E-2</v>
      </c>
      <c r="AT52" s="27">
        <f>IF(('Activity data'!AT21*EF!$H52*EF!S70)*NtoN2O*kgtoGg=0,"NO",('Activity data'!AT21*EF!$H52*EF!S70)*NtoN2O*kgtoGg)</f>
        <v>1.7209632642022729E-2</v>
      </c>
      <c r="AU52" s="27">
        <f>IF(('Activity data'!AU21*EF!$H52*EF!T70)*NtoN2O*kgtoGg=0,"NO",('Activity data'!AU21*EF!$H52*EF!T70)*NtoN2O*kgtoGg)</f>
        <v>1.7544744873174416E-2</v>
      </c>
      <c r="AV52" s="27">
        <f>IF(('Activity data'!AV21*EF!$H52*EF!U70)*NtoN2O*kgtoGg=0,"NO",('Activity data'!AV21*EF!$H52*EF!U70)*NtoN2O*kgtoGg)</f>
        <v>1.7877559568153477E-2</v>
      </c>
      <c r="AW52" s="27">
        <f>IF(('Activity data'!AW21*EF!$H52*EF!V70)*NtoN2O*kgtoGg=0,"NO",('Activity data'!AW21*EF!$H52*EF!V70)*NtoN2O*kgtoGg)</f>
        <v>1.8226394766048638E-2</v>
      </c>
      <c r="AX52" s="27">
        <f>IF(('Activity data'!AX21*EF!$H52*EF!W70)*NtoN2O*kgtoGg=0,"NO",('Activity data'!AX21*EF!$H52*EF!W70)*NtoN2O*kgtoGg)</f>
        <v>1.8632620878635837E-2</v>
      </c>
      <c r="AY52" s="27">
        <f>IF(('Activity data'!AY21*EF!$H52*EF!X70)*NtoN2O*kgtoGg=0,"NO",('Activity data'!AY21*EF!$H52*EF!X70)*NtoN2O*kgtoGg)</f>
        <v>1.906886670622222E-2</v>
      </c>
      <c r="AZ52" s="27">
        <f>IF(('Activity data'!AZ21*EF!$H52*EF!Y70)*NtoN2O*kgtoGg=0,"NO",('Activity data'!AZ21*EF!$H52*EF!Y70)*NtoN2O*kgtoGg)</f>
        <v>1.9568731147726923E-2</v>
      </c>
      <c r="BA52" s="27">
        <f>IF(('Activity data'!BA21*EF!$H52*EF!Z70)*NtoN2O*kgtoGg=0,"NO",('Activity data'!BA21*EF!$H52*EF!Z70)*NtoN2O*kgtoGg)</f>
        <v>1.9981921177667211E-2</v>
      </c>
      <c r="BB52" s="27">
        <f>IF(('Activity data'!BB21*EF!$H52*EF!AA70)*NtoN2O*kgtoGg=0,"NO",('Activity data'!BB21*EF!$H52*EF!AA70)*NtoN2O*kgtoGg)</f>
        <v>2.0377261433111755E-2</v>
      </c>
      <c r="BC52" s="27">
        <f>IF(('Activity data'!BC21*EF!$H52*EF!AB70)*NtoN2O*kgtoGg=0,"NO",('Activity data'!BC21*EF!$H52*EF!AB70)*NtoN2O*kgtoGg)</f>
        <v>2.0806710056082745E-2</v>
      </c>
      <c r="BD52" s="27">
        <f>IF(('Activity data'!BD21*EF!$H52*EF!AC70)*NtoN2O*kgtoGg=0,"NO",('Activity data'!BD21*EF!$H52*EF!AC70)*NtoN2O*kgtoGg)</f>
        <v>2.1227093440013181E-2</v>
      </c>
      <c r="BE52" s="27">
        <f>IF(('Activity data'!BE21*EF!$H52*EF!AD70)*NtoN2O*kgtoGg=0,"NO",('Activity data'!BE21*EF!$H52*EF!AD70)*NtoN2O*kgtoGg)</f>
        <v>2.1668192074400485E-2</v>
      </c>
      <c r="BF52" s="27">
        <f>IF(('Activity data'!BF21*EF!$H52*EF!AE70)*NtoN2O*kgtoGg=0,"NO",('Activity data'!BF21*EF!$H52*EF!AE70)*NtoN2O*kgtoGg)</f>
        <v>2.2114843372651131E-2</v>
      </c>
      <c r="BG52" s="27">
        <f>IF(('Activity data'!BG21*EF!$H52*EF!AF70)*NtoN2O*kgtoGg=0,"NO",('Activity data'!BG21*EF!$H52*EF!AF70)*NtoN2O*kgtoGg)</f>
        <v>2.2606056381191265E-2</v>
      </c>
      <c r="BH52" s="27">
        <f>IF(('Activity data'!BH21*EF!$H52*EF!AG70)*NtoN2O*kgtoGg=0,"NO",('Activity data'!BH21*EF!$H52*EF!AG70)*NtoN2O*kgtoGg)</f>
        <v>2.3084139832164171E-2</v>
      </c>
      <c r="BI52" s="27">
        <f>IF(('Activity data'!BI21*EF!$H52*EF!AH70)*NtoN2O*kgtoGg=0,"NO",('Activity data'!BI21*EF!$H52*EF!AH70)*NtoN2O*kgtoGg)</f>
        <v>2.3572286519730874E-2</v>
      </c>
      <c r="BJ52" s="27">
        <f>IF(('Activity data'!BJ21*EF!$H52*EF!AI70)*NtoN2O*kgtoGg=0,"NO",('Activity data'!BJ21*EF!$H52*EF!AI70)*NtoN2O*kgtoGg)</f>
        <v>2.4076740480859553E-2</v>
      </c>
      <c r="BK52" s="27">
        <f>IF(('Activity data'!BK21*EF!$H52*EF!AJ70)*NtoN2O*kgtoGg=0,"NO",('Activity data'!BK21*EF!$H52*EF!AJ70)*NtoN2O*kgtoGg)</f>
        <v>2.4600071413532563E-2</v>
      </c>
      <c r="BL52" s="27">
        <f>IF(('Activity data'!BL21*EF!$H52*EF!AK70)*NtoN2O*kgtoGg=0,"NO",('Activity data'!BL21*EF!$H52*EF!AK70)*NtoN2O*kgtoGg)</f>
        <v>2.5180191092644345E-2</v>
      </c>
      <c r="BM52" s="27">
        <f>IF(('Activity data'!BM21*EF!$H52*EF!AL70)*NtoN2O*kgtoGg=0,"NO",('Activity data'!BM21*EF!$H52*EF!AL70)*NtoN2O*kgtoGg)</f>
        <v>2.5605778159078961E-2</v>
      </c>
      <c r="BN52" s="27">
        <f>IF(('Activity data'!BN21*EF!$H52*EF!AM70)*NtoN2O*kgtoGg=0,"NO",('Activity data'!BN21*EF!$H52*EF!AM70)*NtoN2O*kgtoGg)</f>
        <v>2.6023964865461973E-2</v>
      </c>
      <c r="BO52" s="27">
        <f>IF(('Activity data'!BO21*EF!$H52*EF!AN70)*NtoN2O*kgtoGg=0,"NO",('Activity data'!BO21*EF!$H52*EF!AN70)*NtoN2O*kgtoGg)</f>
        <v>2.6451893386045391E-2</v>
      </c>
      <c r="BP52" s="27">
        <f>IF(('Activity data'!BP21*EF!$H52*EF!AO70)*NtoN2O*kgtoGg=0,"NO",('Activity data'!BP21*EF!$H52*EF!AO70)*NtoN2O*kgtoGg)</f>
        <v>2.6882358900515501E-2</v>
      </c>
    </row>
    <row r="53" spans="1:68" x14ac:dyDescent="0.2">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7.0904798648479067E-2</v>
      </c>
      <c r="AE53" s="27">
        <f>IF(('Activity data'!AE22*EF!$H53*EF!$H71)*NtoN2O*kgtoGg=0,"NO",('Activity data'!AE22*EF!$H53*EF!$H71)*NtoN2O*kgtoGg)</f>
        <v>7.1838488113865256E-2</v>
      </c>
      <c r="AF53" s="27">
        <f>IF(('Activity data'!AF22*EF!$H53*EF!$H71)*NtoN2O*kgtoGg=0,"NO",('Activity data'!AF22*EF!$H53*EF!$H71)*NtoN2O*kgtoGg)</f>
        <v>7.333826122290886E-2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7.2146468817327461E-2</v>
      </c>
      <c r="AK53" s="27">
        <f>IF(('Activity data'!AK22*EF!$H53*EF!J71)*NtoN2O*kgtoGg=0,"NO",('Activity data'!AK22*EF!$H53*EF!J71)*NtoN2O*kgtoGg)</f>
        <v>7.1835339545248733E-2</v>
      </c>
      <c r="AL53" s="27">
        <f>IF(('Activity data'!AL22*EF!$H53*EF!K71)*NtoN2O*kgtoGg=0,"NO",('Activity data'!AL22*EF!$H53*EF!K71)*NtoN2O*kgtoGg)</f>
        <v>6.1411487631976583E-2</v>
      </c>
      <c r="AM53" s="27">
        <f>IF(('Activity data'!AM22*EF!$H53*EF!L71)*NtoN2O*kgtoGg=0,"NO",('Activity data'!AM22*EF!$H53*EF!L71)*NtoN2O*kgtoGg)</f>
        <v>6.4118219949811373E-2</v>
      </c>
      <c r="AN53" s="27">
        <f>IF(('Activity data'!AN22*EF!$H53*EF!M71)*NtoN2O*kgtoGg=0,"NO",('Activity data'!AN22*EF!$H53*EF!M71)*NtoN2O*kgtoGg)</f>
        <v>6.5983485916100967E-2</v>
      </c>
      <c r="AO53" s="27">
        <f>IF(('Activity data'!AO22*EF!$H53*EF!N71)*NtoN2O*kgtoGg=0,"NO",('Activity data'!AO22*EF!$H53*EF!N71)*NtoN2O*kgtoGg)</f>
        <v>6.7638870119743691E-2</v>
      </c>
      <c r="AP53" s="27">
        <f>IF(('Activity data'!AP22*EF!$H53*EF!O71)*NtoN2O*kgtoGg=0,"NO",('Activity data'!AP22*EF!$H53*EF!O71)*NtoN2O*kgtoGg)</f>
        <v>6.9677032979976197E-2</v>
      </c>
      <c r="AQ53" s="27">
        <f>IF(('Activity data'!AQ22*EF!$H53*EF!P71)*NtoN2O*kgtoGg=0,"NO",('Activity data'!AQ22*EF!$H53*EF!P71)*NtoN2O*kgtoGg)</f>
        <v>7.1527026303958338E-2</v>
      </c>
      <c r="AR53" s="27">
        <f>IF(('Activity data'!AR22*EF!$H53*EF!Q71)*NtoN2O*kgtoGg=0,"NO",('Activity data'!AR22*EF!$H53*EF!Q71)*NtoN2O*kgtoGg)</f>
        <v>7.3159905968116196E-2</v>
      </c>
      <c r="AS53" s="27">
        <f>IF(('Activity data'!AS22*EF!$H53*EF!R71)*NtoN2O*kgtoGg=0,"NO",('Activity data'!AS22*EF!$H53*EF!R71)*NtoN2O*kgtoGg)</f>
        <v>7.4677036907988839E-2</v>
      </c>
      <c r="AT53" s="27">
        <f>IF(('Activity data'!AT22*EF!$H53*EF!S71)*NtoN2O*kgtoGg=0,"NO",('Activity data'!AT22*EF!$H53*EF!S71)*NtoN2O*kgtoGg)</f>
        <v>7.6027446421158371E-2</v>
      </c>
      <c r="AU53" s="27">
        <f>IF(('Activity data'!AU22*EF!$H53*EF!T71)*NtoN2O*kgtoGg=0,"NO",('Activity data'!AU22*EF!$H53*EF!T71)*NtoN2O*kgtoGg)</f>
        <v>7.8006029546329986E-2</v>
      </c>
      <c r="AV53" s="27">
        <f>IF(('Activity data'!AV22*EF!$H53*EF!U71)*NtoN2O*kgtoGg=0,"NO",('Activity data'!AV22*EF!$H53*EF!U71)*NtoN2O*kgtoGg)</f>
        <v>7.9925256540150022E-2</v>
      </c>
      <c r="AW53" s="27">
        <f>IF(('Activity data'!AW22*EF!$H53*EF!V71)*NtoN2O*kgtoGg=0,"NO",('Activity data'!AW22*EF!$H53*EF!V71)*NtoN2O*kgtoGg)</f>
        <v>8.2170713922670655E-2</v>
      </c>
      <c r="AX53" s="27">
        <f>IF(('Activity data'!AX22*EF!$H53*EF!W71)*NtoN2O*kgtoGg=0,"NO",('Activity data'!AX22*EF!$H53*EF!W71)*NtoN2O*kgtoGg)</f>
        <v>8.5031956187630361E-2</v>
      </c>
      <c r="AY53" s="27">
        <f>IF(('Activity data'!AY22*EF!$H53*EF!X71)*NtoN2O*kgtoGg=0,"NO",('Activity data'!AY22*EF!$H53*EF!X71)*NtoN2O*kgtoGg)</f>
        <v>8.8189037263454617E-2</v>
      </c>
      <c r="AZ53" s="27">
        <f>IF(('Activity data'!AZ22*EF!$H53*EF!Y71)*NtoN2O*kgtoGg=0,"NO",('Activity data'!AZ22*EF!$H53*EF!Y71)*NtoN2O*kgtoGg)</f>
        <v>9.2010851200101232E-2</v>
      </c>
      <c r="BA53" s="27">
        <f>IF(('Activity data'!BA22*EF!$H53*EF!Z71)*NtoN2O*kgtoGg=0,"NO",('Activity data'!BA22*EF!$H53*EF!Z71)*NtoN2O*kgtoGg)</f>
        <v>9.4820008260503588E-2</v>
      </c>
      <c r="BB53" s="27">
        <f>IF(('Activity data'!BB22*EF!$H53*EF!AA71)*NtoN2O*kgtoGg=0,"NO",('Activity data'!BB22*EF!$H53*EF!AA71)*NtoN2O*kgtoGg)</f>
        <v>9.755793640319263E-2</v>
      </c>
      <c r="BC53" s="27">
        <f>IF(('Activity data'!BC22*EF!$H53*EF!AB71)*NtoN2O*kgtoGg=0,"NO",('Activity data'!BC22*EF!$H53*EF!AB71)*NtoN2O*kgtoGg)</f>
        <v>0.10063412268776877</v>
      </c>
      <c r="BD53" s="27">
        <f>IF(('Activity data'!BD22*EF!$H53*EF!AC71)*NtoN2O*kgtoGg=0,"NO",('Activity data'!BD22*EF!$H53*EF!AC71)*NtoN2O*kgtoGg)</f>
        <v>0.10357343935003867</v>
      </c>
      <c r="BE53" s="27">
        <f>IF(('Activity data'!BE22*EF!$H53*EF!AD71)*NtoN2O*kgtoGg=0,"NO",('Activity data'!BE22*EF!$H53*EF!AD71)*NtoN2O*kgtoGg)</f>
        <v>0.10670022736354919</v>
      </c>
      <c r="BF53" s="27">
        <f>IF(('Activity data'!BF22*EF!$H53*EF!AE71)*NtoN2O*kgtoGg=0,"NO",('Activity data'!BF22*EF!$H53*EF!AE71)*NtoN2O*kgtoGg)</f>
        <v>0.10984863637465794</v>
      </c>
      <c r="BG53" s="27">
        <f>IF(('Activity data'!BG22*EF!$H53*EF!AF71)*NtoN2O*kgtoGg=0,"NO",('Activity data'!BG22*EF!$H53*EF!AF71)*NtoN2O*kgtoGg)</f>
        <v>0.11358529587557446</v>
      </c>
      <c r="BH53" s="27">
        <f>IF(('Activity data'!BH22*EF!$H53*EF!AG71)*NtoN2O*kgtoGg=0,"NO",('Activity data'!BH22*EF!$H53*EF!AG71)*NtoN2O*kgtoGg)</f>
        <v>0.11714064273091444</v>
      </c>
      <c r="BI53" s="27">
        <f>IF(('Activity data'!BI22*EF!$H53*EF!AH71)*NtoN2O*kgtoGg=0,"NO",('Activity data'!BI22*EF!$H53*EF!AH71)*NtoN2O*kgtoGg)</f>
        <v>0.12076268735304639</v>
      </c>
      <c r="BJ53" s="27">
        <f>IF(('Activity data'!BJ22*EF!$H53*EF!AI71)*NtoN2O*kgtoGg=0,"NO",('Activity data'!BJ22*EF!$H53*EF!AI71)*NtoN2O*kgtoGg)</f>
        <v>0.12451606313440448</v>
      </c>
      <c r="BK53" s="27">
        <f>IF(('Activity data'!BK22*EF!$H53*EF!AJ71)*NtoN2O*kgtoGg=0,"NO",('Activity data'!BK22*EF!$H53*EF!AJ71)*NtoN2O*kgtoGg)</f>
        <v>0.12842566448757792</v>
      </c>
      <c r="BL53" s="27">
        <f>IF(('Activity data'!BL22*EF!$H53*EF!AK71)*NtoN2O*kgtoGg=0,"NO",('Activity data'!BL22*EF!$H53*EF!AK71)*NtoN2O*kgtoGg)</f>
        <v>0.1330326722477729</v>
      </c>
      <c r="BM53" s="27">
        <f>IF(('Activity data'!BM22*EF!$H53*EF!AL71)*NtoN2O*kgtoGg=0,"NO",('Activity data'!BM22*EF!$H53*EF!AL71)*NtoN2O*kgtoGg)</f>
        <v>0.1359996744784277</v>
      </c>
      <c r="BN53" s="27">
        <f>IF(('Activity data'!BN22*EF!$H53*EF!AM71)*NtoN2O*kgtoGg=0,"NO",('Activity data'!BN22*EF!$H53*EF!AM71)*NtoN2O*kgtoGg)</f>
        <v>0.13886205222996365</v>
      </c>
      <c r="BO53" s="27">
        <f>IF(('Activity data'!BO22*EF!$H53*EF!AN71)*NtoN2O*kgtoGg=0,"NO",('Activity data'!BO22*EF!$H53*EF!AN71)*NtoN2O*kgtoGg)</f>
        <v>0.14179647350512722</v>
      </c>
      <c r="BP53" s="27">
        <f>IF(('Activity data'!BP22*EF!$H53*EF!AO71)*NtoN2O*kgtoGg=0,"NO",('Activity data'!BP22*EF!$H53*EF!AO71)*NtoN2O*kgtoGg)</f>
        <v>0.14472886847588542</v>
      </c>
    </row>
    <row r="54" spans="1:68" x14ac:dyDescent="0.2">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2">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2">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2">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2">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2">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2">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2">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2">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2">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2">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2">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2">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2">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2">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2">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2">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2">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2">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2">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2">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2">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2">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2">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2">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2">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2">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2">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2">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2">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2">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2">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2">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892.99961042800624</v>
      </c>
      <c r="AN86" s="22">
        <f>'Activity data'!AN45*EF!$H$149*CtoCO2*ttoGg</f>
        <v>897.66502434733229</v>
      </c>
      <c r="AO86" s="22">
        <f>'Activity data'!AO45*EF!$H$149*CtoCO2*ttoGg</f>
        <v>901.31677957229135</v>
      </c>
      <c r="AP86" s="22">
        <f>'Activity data'!AP45*EF!$H$149*CtoCO2*ttoGg</f>
        <v>904.69718143729835</v>
      </c>
      <c r="AQ86" s="22">
        <f>'Activity data'!AQ45*EF!$H$149*CtoCO2*ttoGg</f>
        <v>908.47574920758507</v>
      </c>
      <c r="AR86" s="22">
        <f>'Activity data'!AR45*EF!$H$149*CtoCO2*ttoGg</f>
        <v>912.00886230682897</v>
      </c>
      <c r="AS86" s="22">
        <f>'Activity data'!AS45*EF!$H$149*CtoCO2*ttoGg</f>
        <v>915.15522281701794</v>
      </c>
      <c r="AT86" s="22">
        <f>'Activity data'!AT45*EF!$H$149*CtoCO2*ttoGg</f>
        <v>918.14911339193043</v>
      </c>
      <c r="AU86" s="22">
        <f>'Activity data'!AU45*EF!$H$149*CtoCO2*ttoGg</f>
        <v>920.93862378014114</v>
      </c>
      <c r="AV86" s="22">
        <f>'Activity data'!AV45*EF!$H$149*CtoCO2*ttoGg</f>
        <v>924.38117404713842</v>
      </c>
      <c r="AW86" s="22">
        <f>'Activity data'!AW45*EF!$H$149*CtoCO2*ttoGg</f>
        <v>927.72886456057699</v>
      </c>
      <c r="AX86" s="22">
        <f>'Activity data'!AX45*EF!$H$149*CtoCO2*ttoGg</f>
        <v>931.30044289181558</v>
      </c>
      <c r="AY86" s="22">
        <f>'Activity data'!AY45*EF!$H$149*CtoCO2*ttoGg</f>
        <v>935.47463981104102</v>
      </c>
      <c r="AZ86" s="22">
        <f>'Activity data'!AZ45*EF!$H$149*CtoCO2*ttoGg</f>
        <v>939.89945345474598</v>
      </c>
      <c r="BA86" s="22">
        <f>'Activity data'!BA45*EF!$H$149*CtoCO2*ttoGg</f>
        <v>944.93069992096457</v>
      </c>
      <c r="BB86" s="22">
        <f>'Activity data'!BB45*EF!$H$149*CtoCO2*ttoGg</f>
        <v>948.88651159106837</v>
      </c>
      <c r="BC86" s="22">
        <f>'Activity data'!BC45*EF!$H$149*CtoCO2*ttoGg</f>
        <v>952.65045566979234</v>
      </c>
      <c r="BD86" s="22">
        <f>'Activity data'!BD45*EF!$H$149*CtoCO2*ttoGg</f>
        <v>956.69732285696261</v>
      </c>
      <c r="BE86" s="22">
        <f>'Activity data'!BE45*EF!$H$149*CtoCO2*ttoGg</f>
        <v>960.56505395961551</v>
      </c>
      <c r="BF86" s="22">
        <f>'Activity data'!BF45*EF!$H$149*CtoCO2*ttoGg</f>
        <v>964.56260681029062</v>
      </c>
      <c r="BG86" s="22">
        <f>'Activity data'!BG45*EF!$H$149*CtoCO2*ttoGg</f>
        <v>968.53102991020114</v>
      </c>
      <c r="BH86" s="22">
        <f>'Activity data'!BH45*EF!$H$149*CtoCO2*ttoGg</f>
        <v>972.91815093223238</v>
      </c>
      <c r="BI86" s="22">
        <f>'Activity data'!BI45*EF!$H$149*CtoCO2*ttoGg</f>
        <v>977.08221160435949</v>
      </c>
      <c r="BJ86" s="22">
        <f>'Activity data'!BJ45*EF!$H$149*CtoCO2*ttoGg</f>
        <v>981.24968371542741</v>
      </c>
      <c r="BK86" s="22">
        <f>'Activity data'!BK45*EF!$H$149*CtoCO2*ttoGg</f>
        <v>985.47496417545995</v>
      </c>
      <c r="BL86" s="22">
        <f>'Activity data'!BL45*EF!$H$149*CtoCO2*ttoGg</f>
        <v>989.77519860882489</v>
      </c>
      <c r="BM86" s="22">
        <f>'Activity data'!BM45*EF!$H$149*CtoCO2*ttoGg</f>
        <v>994.53641231240658</v>
      </c>
      <c r="BN86" s="22">
        <f>'Activity data'!BN45*EF!$H$149*CtoCO2*ttoGg</f>
        <v>997.87560728554854</v>
      </c>
      <c r="BO86" s="22">
        <f>'Activity data'!BO45*EF!$H$149*CtoCO2*ttoGg</f>
        <v>1001.0952288876074</v>
      </c>
      <c r="BP86" s="22">
        <f>'Activity data'!BP45*EF!$H$149*CtoCO2*ttoGg</f>
        <v>1004.3409499737036</v>
      </c>
    </row>
    <row r="87" spans="1:68" x14ac:dyDescent="0.2">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469.9309125855201</v>
      </c>
      <c r="AN87" s="22">
        <f>'Activity data'!AN46*EF!$H$150*CtoCO2*ttoGg</f>
        <v>469.81336359291407</v>
      </c>
      <c r="AO87" s="22">
        <f>'Activity data'!AO46*EF!$H$150*CtoCO2*ttoGg</f>
        <v>469.7213545760593</v>
      </c>
      <c r="AP87" s="22">
        <f>'Activity data'!AP46*EF!$H$150*CtoCO2*ttoGg</f>
        <v>469.63618253329815</v>
      </c>
      <c r="AQ87" s="22">
        <f>'Activity data'!AQ46*EF!$H$150*CtoCO2*ttoGg</f>
        <v>469.54097836865776</v>
      </c>
      <c r="AR87" s="22">
        <f>'Activity data'!AR46*EF!$H$150*CtoCO2*ttoGg</f>
        <v>469.45195863905593</v>
      </c>
      <c r="AS87" s="22">
        <f>'Activity data'!AS46*EF!$H$150*CtoCO2*ttoGg</f>
        <v>469.37268346331723</v>
      </c>
      <c r="AT87" s="22">
        <f>'Activity data'!AT46*EF!$H$150*CtoCO2*ttoGg</f>
        <v>469.29724989469105</v>
      </c>
      <c r="AU87" s="22">
        <f>'Activity data'!AU46*EF!$H$150*CtoCO2*ttoGg</f>
        <v>469.22696585523204</v>
      </c>
      <c r="AV87" s="22">
        <f>'Activity data'!AV46*EF!$H$150*CtoCO2*ttoGg</f>
        <v>469.14022793167828</v>
      </c>
      <c r="AW87" s="22">
        <f>'Activity data'!AW46*EF!$H$150*CtoCO2*ttoGg</f>
        <v>469.05588007868687</v>
      </c>
      <c r="AX87" s="22">
        <f>'Activity data'!AX46*EF!$H$150*CtoCO2*ttoGg</f>
        <v>468.96589118550173</v>
      </c>
      <c r="AY87" s="22">
        <f>'Activity data'!AY46*EF!$H$150*CtoCO2*ttoGg</f>
        <v>468.86071881467279</v>
      </c>
      <c r="AZ87" s="22">
        <f>'Activity data'!AZ46*EF!$H$150*CtoCO2*ttoGg</f>
        <v>468.74923194656606</v>
      </c>
      <c r="BA87" s="22">
        <f>'Activity data'!BA46*EF!$H$150*CtoCO2*ttoGg</f>
        <v>468.62246549799733</v>
      </c>
      <c r="BB87" s="22">
        <f>'Activity data'!BB46*EF!$H$150*CtoCO2*ttoGg</f>
        <v>468.5227955255574</v>
      </c>
      <c r="BC87" s="22">
        <f>'Activity data'!BC46*EF!$H$150*CtoCO2*ttoGg</f>
        <v>468.42795981701568</v>
      </c>
      <c r="BD87" s="22">
        <f>'Activity data'!BD46*EF!$H$150*CtoCO2*ttoGg</f>
        <v>468.325995624923</v>
      </c>
      <c r="BE87" s="22">
        <f>'Activity data'!BE46*EF!$H$150*CtoCO2*ttoGg</f>
        <v>468.22854491580057</v>
      </c>
      <c r="BF87" s="22">
        <f>'Activity data'!BF46*EF!$H$150*CtoCO2*ttoGg</f>
        <v>468.12782323952234</v>
      </c>
      <c r="BG87" s="22">
        <f>'Activity data'!BG46*EF!$H$150*CtoCO2*ttoGg</f>
        <v>468.02783551159615</v>
      </c>
      <c r="BH87" s="22">
        <f>'Activity data'!BH46*EF!$H$150*CtoCO2*ttoGg</f>
        <v>467.91729834051165</v>
      </c>
      <c r="BI87" s="22">
        <f>'Activity data'!BI46*EF!$H$150*CtoCO2*ttoGg</f>
        <v>467.81238136087751</v>
      </c>
      <c r="BJ87" s="22">
        <f>'Activity data'!BJ46*EF!$H$150*CtoCO2*ttoGg</f>
        <v>467.70737842719552</v>
      </c>
      <c r="BK87" s="22">
        <f>'Activity data'!BK46*EF!$H$150*CtoCO2*ttoGg</f>
        <v>467.60091896397466</v>
      </c>
      <c r="BL87" s="22">
        <f>'Activity data'!BL46*EF!$H$150*CtoCO2*ttoGg</f>
        <v>467.49257097291689</v>
      </c>
      <c r="BM87" s="22">
        <f>'Activity data'!BM46*EF!$H$150*CtoCO2*ttoGg</f>
        <v>467.37260822489156</v>
      </c>
      <c r="BN87" s="22">
        <f>'Activity data'!BN46*EF!$H$150*CtoCO2*ttoGg</f>
        <v>467.28847442411939</v>
      </c>
      <c r="BO87" s="22">
        <f>'Activity data'!BO46*EF!$H$150*CtoCO2*ttoGg</f>
        <v>467.20735337410349</v>
      </c>
      <c r="BP87" s="22">
        <f>'Activity data'!BP46*EF!$H$150*CtoCO2*ttoGg</f>
        <v>467.12557472583177</v>
      </c>
    </row>
    <row r="88" spans="1:68" x14ac:dyDescent="0.2">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6.60388696259374</v>
      </c>
      <c r="AN88" s="22">
        <f>'Activity data'!AN47*ttokg*SNEF*NtoN2O*kgtoGg</f>
        <v>6.6020342469478921</v>
      </c>
      <c r="AO88" s="22">
        <f>'Activity data'!AO47*ttokg*SNEF*NtoN2O*kgtoGg</f>
        <v>6.6005840725031204</v>
      </c>
      <c r="AP88" s="22">
        <f>'Activity data'!AP47*ttokg*SNEF*NtoN2O*kgtoGg</f>
        <v>6.5992416571177221</v>
      </c>
      <c r="AQ88" s="22">
        <f>'Activity data'!AQ47*ttokg*SNEF*NtoN2O*kgtoGg</f>
        <v>6.5977411232427086</v>
      </c>
      <c r="AR88" s="22">
        <f>'Activity data'!AR47*ttokg*SNEF*NtoN2O*kgtoGg</f>
        <v>6.5963380636148372</v>
      </c>
      <c r="AS88" s="22">
        <f>'Activity data'!AS47*ttokg*SNEF*NtoN2O*kgtoGg</f>
        <v>6.5950885900535399</v>
      </c>
      <c r="AT88" s="22">
        <f>'Activity data'!AT47*ttokg*SNEF*NtoN2O*kgtoGg</f>
        <v>6.593899664910774</v>
      </c>
      <c r="AU88" s="22">
        <f>'Activity data'!AU47*ttokg*SNEF*NtoN2O*kgtoGg</f>
        <v>6.5927919026350441</v>
      </c>
      <c r="AV88" s="22">
        <f>'Activity data'!AV47*ttokg*SNEF*NtoN2O*kgtoGg</f>
        <v>6.5914248070564794</v>
      </c>
      <c r="AW88" s="22">
        <f>'Activity data'!AW47*ttokg*SNEF*NtoN2O*kgtoGg</f>
        <v>6.5900953819081538</v>
      </c>
      <c r="AX88" s="22">
        <f>'Activity data'!AX47*ttokg*SNEF*NtoN2O*kgtoGg</f>
        <v>6.5886770470789005</v>
      </c>
      <c r="AY88" s="22">
        <f>'Activity data'!AY47*ttokg*SNEF*NtoN2O*kgtoGg</f>
        <v>6.5870194021035937</v>
      </c>
      <c r="AZ88" s="22">
        <f>'Activity data'!AZ47*ttokg*SNEF*NtoN2O*kgtoGg</f>
        <v>6.5852622329414547</v>
      </c>
      <c r="BA88" s="22">
        <f>'Activity data'!BA47*ttokg*SNEF*NtoN2O*kgtoGg</f>
        <v>6.5832642389355076</v>
      </c>
      <c r="BB88" s="22">
        <f>'Activity data'!BB47*ttokg*SNEF*NtoN2O*kgtoGg</f>
        <v>6.5816933184770097</v>
      </c>
      <c r="BC88" s="22">
        <f>'Activity data'!BC47*ttokg*SNEF*NtoN2O*kgtoGg</f>
        <v>6.5801985919199808</v>
      </c>
      <c r="BD88" s="22">
        <f>'Activity data'!BD47*ttokg*SNEF*NtoN2O*kgtoGg</f>
        <v>6.5785915117586082</v>
      </c>
      <c r="BE88" s="22">
        <f>'Activity data'!BE47*ttokg*SNEF*NtoN2O*kgtoGg</f>
        <v>6.5770555695996213</v>
      </c>
      <c r="BF88" s="22">
        <f>'Activity data'!BF47*ttokg*SNEF*NtoN2O*kgtoGg</f>
        <v>6.5754680730045454</v>
      </c>
      <c r="BG88" s="22">
        <f>'Activity data'!BG47*ttokg*SNEF*NtoN2O*kgtoGg</f>
        <v>6.5738921443316158</v>
      </c>
      <c r="BH88" s="22">
        <f>'Activity data'!BH47*ttokg*SNEF*NtoN2O*kgtoGg</f>
        <v>6.5721499435540869</v>
      </c>
      <c r="BI88" s="22">
        <f>'Activity data'!BI47*ttokg*SNEF*NtoN2O*kgtoGg</f>
        <v>6.5704963238558332</v>
      </c>
      <c r="BJ88" s="22">
        <f>'Activity data'!BJ47*ttokg*SNEF*NtoN2O*kgtoGg</f>
        <v>6.5688413494168394</v>
      </c>
      <c r="BK88" s="22">
        <f>'Activity data'!BK47*ttokg*SNEF*NtoN2O*kgtoGg</f>
        <v>6.5671634182939496</v>
      </c>
      <c r="BL88" s="22">
        <f>'Activity data'!BL47*ttokg*SNEF*NtoN2O*kgtoGg</f>
        <v>6.5654557216665381</v>
      </c>
      <c r="BM88" s="22">
        <f>'Activity data'!BM47*ttokg*SNEF*NtoN2O*kgtoGg</f>
        <v>6.5635649622881891</v>
      </c>
      <c r="BN88" s="22">
        <f>'Activity data'!BN47*ttokg*SNEF*NtoN2O*kgtoGg</f>
        <v>6.5622389108641883</v>
      </c>
      <c r="BO88" s="22">
        <f>'Activity data'!BO47*ttokg*SNEF*NtoN2O*kgtoGg</f>
        <v>6.560960344070546</v>
      </c>
      <c r="BP88" s="22">
        <f>'Activity data'!BP47*ttokg*SNEF*NtoN2O*kgtoGg</f>
        <v>6.5596714127254918</v>
      </c>
    </row>
    <row r="89" spans="1:68" x14ac:dyDescent="0.2">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4.358565395311869E-2</v>
      </c>
      <c r="AN89" s="22">
        <f>'Activity data'!AN48*ttokg*ONEF*NtoN2O*kgtoGg</f>
        <v>4.3573426029856095E-2</v>
      </c>
      <c r="AO89" s="22">
        <f>'Activity data'!AO48*ttokg*ONEF*NtoN2O*kgtoGg</f>
        <v>4.3563854878520596E-2</v>
      </c>
      <c r="AP89" s="22">
        <f>'Activity data'!AP48*ttokg*ONEF*NtoN2O*kgtoGg</f>
        <v>4.3554994936976968E-2</v>
      </c>
      <c r="AQ89" s="22">
        <f>'Activity data'!AQ48*ttokg*ONEF*NtoN2O*kgtoGg</f>
        <v>4.354509141340189E-2</v>
      </c>
      <c r="AR89" s="22">
        <f>'Activity data'!AR48*ttokg*ONEF*NtoN2O*kgtoGg</f>
        <v>4.3535831219857934E-2</v>
      </c>
      <c r="AS89" s="22">
        <f>'Activity data'!AS48*ttokg*ONEF*NtoN2O*kgtoGg</f>
        <v>4.3527584694353361E-2</v>
      </c>
      <c r="AT89" s="22">
        <f>'Activity data'!AT48*ttokg*ONEF*NtoN2O*kgtoGg</f>
        <v>4.3519737788411117E-2</v>
      </c>
      <c r="AU89" s="22">
        <f>'Activity data'!AU48*ttokg*ONEF*NtoN2O*kgtoGg</f>
        <v>4.35124265573913E-2</v>
      </c>
      <c r="AV89" s="22">
        <f>'Activity data'!AV48*ttokg*ONEF*NtoN2O*kgtoGg</f>
        <v>4.350340372657277E-2</v>
      </c>
      <c r="AW89" s="22">
        <f>'Activity data'!AW48*ttokg*ONEF*NtoN2O*kgtoGg</f>
        <v>4.3494629520593811E-2</v>
      </c>
      <c r="AX89" s="22">
        <f>'Activity data'!AX48*ttokg*ONEF*NtoN2O*kgtoGg</f>
        <v>4.3485268510720758E-2</v>
      </c>
      <c r="AY89" s="22">
        <f>'Activity data'!AY48*ttokg*ONEF*NtoN2O*kgtoGg</f>
        <v>4.347432805388373E-2</v>
      </c>
      <c r="AZ89" s="22">
        <f>'Activity data'!AZ48*ttokg*ONEF*NtoN2O*kgtoGg</f>
        <v>4.3462730737413614E-2</v>
      </c>
      <c r="BA89" s="22">
        <f>'Activity data'!BA48*ttokg*ONEF*NtoN2O*kgtoGg</f>
        <v>4.3449543976974349E-2</v>
      </c>
      <c r="BB89" s="22">
        <f>'Activity data'!BB48*ttokg*ONEF*NtoN2O*kgtoGg</f>
        <v>4.343917590194827E-2</v>
      </c>
      <c r="BC89" s="22">
        <f>'Activity data'!BC48*ttokg*ONEF*NtoN2O*kgtoGg</f>
        <v>4.3429310706671886E-2</v>
      </c>
      <c r="BD89" s="22">
        <f>'Activity data'!BD48*ttokg*ONEF*NtoN2O*kgtoGg</f>
        <v>4.3418703977606825E-2</v>
      </c>
      <c r="BE89" s="22">
        <f>'Activity data'!BE48*ttokg*ONEF*NtoN2O*kgtoGg</f>
        <v>4.340856675935751E-2</v>
      </c>
      <c r="BF89" s="22">
        <f>'Activity data'!BF48*ttokg*ONEF*NtoN2O*kgtoGg</f>
        <v>4.3398089281830012E-2</v>
      </c>
      <c r="BG89" s="22">
        <f>'Activity data'!BG48*ttokg*ONEF*NtoN2O*kgtoGg</f>
        <v>4.3387688152588685E-2</v>
      </c>
      <c r="BH89" s="22">
        <f>'Activity data'!BH48*ttokg*ONEF*NtoN2O*kgtoGg</f>
        <v>4.3376189627456985E-2</v>
      </c>
      <c r="BI89" s="22">
        <f>'Activity data'!BI48*ttokg*ONEF*NtoN2O*kgtoGg</f>
        <v>4.3365275737448507E-2</v>
      </c>
      <c r="BJ89" s="22">
        <f>'Activity data'!BJ48*ttokg*ONEF*NtoN2O*kgtoGg</f>
        <v>4.3354352906151139E-2</v>
      </c>
      <c r="BK89" s="22">
        <f>'Activity data'!BK48*ttokg*ONEF*NtoN2O*kgtoGg</f>
        <v>4.3343278560740071E-2</v>
      </c>
      <c r="BL89" s="22">
        <f>'Activity data'!BL48*ttokg*ONEF*NtoN2O*kgtoGg</f>
        <v>4.3332007762999163E-2</v>
      </c>
      <c r="BM89" s="22">
        <f>'Activity data'!BM48*ttokg*ONEF*NtoN2O*kgtoGg</f>
        <v>4.3319528751102059E-2</v>
      </c>
      <c r="BN89" s="22">
        <f>'Activity data'!BN48*ttokg*ONEF*NtoN2O*kgtoGg</f>
        <v>4.3310776811703651E-2</v>
      </c>
      <c r="BO89" s="22">
        <f>'Activity data'!BO48*ttokg*ONEF*NtoN2O*kgtoGg</f>
        <v>4.3302338270865603E-2</v>
      </c>
      <c r="BP89" s="22">
        <f>'Activity data'!BP48*ttokg*ONEF*NtoN2O*kgtoGg</f>
        <v>4.3293831323988244E-2</v>
      </c>
    </row>
    <row r="90" spans="1:68" x14ac:dyDescent="0.2">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2.968676648093143</v>
      </c>
      <c r="AN90" s="22">
        <f>'Activity data'!AN85*CREF*NtoN2O*kgtoGg</f>
        <v>2.9825082583829583</v>
      </c>
      <c r="AO90" s="22">
        <f>'Activity data'!AO85*CREF*NtoN2O*kgtoGg</f>
        <v>2.9933346622173946</v>
      </c>
      <c r="AP90" s="22">
        <f>'Activity data'!AP85*CREF*NtoN2O*kgtoGg</f>
        <v>3.0033565813928953</v>
      </c>
      <c r="AQ90" s="22">
        <f>'Activity data'!AQ85*CREF*NtoN2O*kgtoGg</f>
        <v>3.0145589479472883</v>
      </c>
      <c r="AR90" s="22">
        <f>'Activity data'!AR85*CREF*NtoN2O*kgtoGg</f>
        <v>3.0250336120057435</v>
      </c>
      <c r="AS90" s="22">
        <f>'Activity data'!AS85*CREF*NtoN2O*kgtoGg</f>
        <v>3.0343616658849326</v>
      </c>
      <c r="AT90" s="22">
        <f>'Activity data'!AT85*CREF*NtoN2O*kgtoGg</f>
        <v>3.0432376902631781</v>
      </c>
      <c r="AU90" s="22">
        <f>'Activity data'!AU85*CREF*NtoN2O*kgtoGg</f>
        <v>3.0515077861767024</v>
      </c>
      <c r="AV90" s="22">
        <f>'Activity data'!AV85*CREF*NtoN2O*kgtoGg</f>
        <v>3.0617139574874526</v>
      </c>
      <c r="AW90" s="22">
        <f>'Activity data'!AW85*CREF*NtoN2O*kgtoGg</f>
        <v>3.0716388969147959</v>
      </c>
      <c r="AX90" s="22">
        <f>'Activity data'!AX85*CREF*NtoN2O*kgtoGg</f>
        <v>3.0822275993217993</v>
      </c>
      <c r="AY90" s="22">
        <f>'Activity data'!AY85*CREF*NtoN2O*kgtoGg</f>
        <v>3.0946028925022198</v>
      </c>
      <c r="AZ90" s="22">
        <f>'Activity data'!AZ85*CREF*NtoN2O*kgtoGg</f>
        <v>3.1077211921821801</v>
      </c>
      <c r="BA90" s="22">
        <f>'Activity data'!BA85*CREF*NtoN2O*kgtoGg</f>
        <v>3.122637390743785</v>
      </c>
      <c r="BB90" s="22">
        <f>'Activity data'!BB85*CREF*NtoN2O*kgtoGg</f>
        <v>3.1343652344778912</v>
      </c>
      <c r="BC90" s="22">
        <f>'Activity data'!BC85*CREF*NtoN2O*kgtoGg</f>
        <v>3.1455242459932262</v>
      </c>
      <c r="BD90" s="22">
        <f>'Activity data'!BD85*CREF*NtoN2O*kgtoGg</f>
        <v>3.1575220431438074</v>
      </c>
      <c r="BE90" s="22">
        <f>'Activity data'!BE85*CREF*NtoN2O*kgtoGg</f>
        <v>3.1689887533313184</v>
      </c>
      <c r="BF90" s="22">
        <f>'Activity data'!BF85*CREF*NtoN2O*kgtoGg</f>
        <v>3.1808403476591942</v>
      </c>
      <c r="BG90" s="22">
        <f>'Activity data'!BG85*CREF*NtoN2O*kgtoGg</f>
        <v>3.1926055806550666</v>
      </c>
      <c r="BH90" s="22">
        <f>'Activity data'!BH85*CREF*NtoN2O*kgtoGg</f>
        <v>3.2056121325538434</v>
      </c>
      <c r="BI90" s="22">
        <f>'Activity data'!BI85*CREF*NtoN2O*kgtoGg</f>
        <v>3.217957374677253</v>
      </c>
      <c r="BJ90" s="22">
        <f>'Activity data'!BJ85*CREF*NtoN2O*kgtoGg</f>
        <v>3.2303127307358399</v>
      </c>
      <c r="BK90" s="22">
        <f>'Activity data'!BK85*CREF*NtoN2O*kgtoGg</f>
        <v>3.24283947192085</v>
      </c>
      <c r="BL90" s="22">
        <f>'Activity data'!BL85*CREF*NtoN2O*kgtoGg</f>
        <v>3.2555884300766866</v>
      </c>
      <c r="BM90" s="22">
        <f>'Activity data'!BM85*CREF*NtoN2O*kgtoGg</f>
        <v>3.2697040591705311</v>
      </c>
      <c r="BN90" s="22">
        <f>'Activity data'!BN85*CREF*NtoN2O*kgtoGg</f>
        <v>3.2796038117645905</v>
      </c>
      <c r="BO90" s="22">
        <f>'Activity data'!BO85*CREF*NtoN2O*kgtoGg</f>
        <v>3.2891490637080194</v>
      </c>
      <c r="BP90" s="22">
        <f>'Activity data'!BP85*CREF*NtoN2O*kgtoGg</f>
        <v>3.2987716931142437</v>
      </c>
    </row>
    <row r="91" spans="1:68" x14ac:dyDescent="0.2">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0.32056321299147922</v>
      </c>
      <c r="AF91" s="22">
        <f>'Activity data'!AF50*ManureNEF*NtoN2O*kgtoGg</f>
        <v>0.32309177745176459</v>
      </c>
      <c r="AG91" s="22">
        <f>'Activity data'!AG50*ManureNEF*NtoN2O*kgtoGg</f>
        <v>0.32471664946511047</v>
      </c>
      <c r="AH91" s="22">
        <f>'Activity data'!AH50*ManureNEF*NtoN2O*kgtoGg</f>
        <v>0.32579638434951891</v>
      </c>
      <c r="AI91" s="22">
        <f>'Activity data'!AI50*ManureNEF*NtoN2O*kgtoGg</f>
        <v>0.32632035510276458</v>
      </c>
      <c r="AJ91" s="22">
        <f>'Activity data'!AJ50*ManureNEF*NtoN2O*kgtoGg</f>
        <v>0.32747800149861978</v>
      </c>
      <c r="AK91" s="22">
        <f>'Activity data'!AK50*ManureNEF*NtoN2O*kgtoGg</f>
        <v>0.32880601635823298</v>
      </c>
      <c r="AL91" s="22">
        <f>'Activity data'!AL50*ManureNEF*NtoN2O*kgtoGg</f>
        <v>0.31980488008437191</v>
      </c>
      <c r="AM91" s="22">
        <f>'Activity data'!AM50*ManureNEF*NtoN2O*kgtoGg</f>
        <v>0.32348013385904834</v>
      </c>
      <c r="AN91" s="22">
        <f>'Activity data'!AN50*ManureNEF*NtoN2O*kgtoGg</f>
        <v>0.3263600829079687</v>
      </c>
      <c r="AO91" s="22">
        <f>'Activity data'!AO50*ManureNEF*NtoN2O*kgtoGg</f>
        <v>0.32908851818149565</v>
      </c>
      <c r="AP91" s="22">
        <f>'Activity data'!AP50*ManureNEF*NtoN2O*kgtoGg</f>
        <v>0.33227832556349268</v>
      </c>
      <c r="AQ91" s="22">
        <f>'Activity data'!AQ50*ManureNEF*NtoN2O*kgtoGg</f>
        <v>0.33533311826905887</v>
      </c>
      <c r="AR91" s="22">
        <f>'Activity data'!AR50*ManureNEF*NtoN2O*kgtoGg</f>
        <v>0.33789515194056902</v>
      </c>
      <c r="AS91" s="22">
        <f>'Activity data'!AS50*ManureNEF*NtoN2O*kgtoGg</f>
        <v>0.34038602610303131</v>
      </c>
      <c r="AT91" s="22">
        <f>'Activity data'!AT50*ManureNEF*NtoN2O*kgtoGg</f>
        <v>0.34274865356811024</v>
      </c>
      <c r="AU91" s="22">
        <f>'Activity data'!AU50*ManureNEF*NtoN2O*kgtoGg</f>
        <v>0.34582201192682688</v>
      </c>
      <c r="AV91" s="22">
        <f>'Activity data'!AV50*ManureNEF*NtoN2O*kgtoGg</f>
        <v>0.34887956660233338</v>
      </c>
      <c r="AW91" s="22">
        <f>'Activity data'!AW50*ManureNEF*NtoN2O*kgtoGg</f>
        <v>0.35206948034993701</v>
      </c>
      <c r="AX91" s="22">
        <f>'Activity data'!AX50*ManureNEF*NtoN2O*kgtoGg</f>
        <v>0.3559611034908382</v>
      </c>
      <c r="AY91" s="22">
        <f>'Activity data'!AY50*ManureNEF*NtoN2O*kgtoGg</f>
        <v>0.36021553712523996</v>
      </c>
      <c r="AZ91" s="22">
        <f>'Activity data'!AZ50*ManureNEF*NtoN2O*kgtoGg</f>
        <v>0.36523063944756523</v>
      </c>
      <c r="BA91" s="22">
        <f>'Activity data'!BA50*ManureNEF*NtoN2O*kgtoGg</f>
        <v>0.36920261310751928</v>
      </c>
      <c r="BB91" s="22">
        <f>'Activity data'!BB50*ManureNEF*NtoN2O*kgtoGg</f>
        <v>0.3728925335928876</v>
      </c>
      <c r="BC91" s="22">
        <f>'Activity data'!BC50*ManureNEF*NtoN2O*kgtoGg</f>
        <v>0.37698699496053195</v>
      </c>
      <c r="BD91" s="22">
        <f>'Activity data'!BD50*ManureNEF*NtoN2O*kgtoGg</f>
        <v>0.38097151646383681</v>
      </c>
      <c r="BE91" s="22">
        <f>'Activity data'!BE50*ManureNEF*NtoN2O*kgtoGg</f>
        <v>0.38519729456570295</v>
      </c>
      <c r="BF91" s="22">
        <f>'Activity data'!BF50*ManureNEF*NtoN2O*kgtoGg</f>
        <v>0.38948381880632194</v>
      </c>
      <c r="BG91" s="22">
        <f>'Activity data'!BG50*ManureNEF*NtoN2O*kgtoGg</f>
        <v>0.3942210595490877</v>
      </c>
      <c r="BH91" s="22">
        <f>'Activity data'!BH50*ManureNEF*NtoN2O*kgtoGg</f>
        <v>0.39879649772923048</v>
      </c>
      <c r="BI91" s="22">
        <f>'Activity data'!BI50*ManureNEF*NtoN2O*kgtoGg</f>
        <v>0.40348070497447158</v>
      </c>
      <c r="BJ91" s="22">
        <f>'Activity data'!BJ50*ManureNEF*NtoN2O*kgtoGg</f>
        <v>0.40834470639522963</v>
      </c>
      <c r="BK91" s="22">
        <f>'Activity data'!BK50*ManureNEF*NtoN2O*kgtoGg</f>
        <v>0.41341630943614366</v>
      </c>
      <c r="BL91" s="22">
        <f>'Activity data'!BL50*ManureNEF*NtoN2O*kgtoGg</f>
        <v>0.41906350167167566</v>
      </c>
      <c r="BM91" s="22">
        <f>'Activity data'!BM50*ManureNEF*NtoN2O*kgtoGg</f>
        <v>0.42292582986675353</v>
      </c>
      <c r="BN91" s="22">
        <f>'Activity data'!BN50*ManureNEF*NtoN2O*kgtoGg</f>
        <v>0.42669932950648143</v>
      </c>
      <c r="BO91" s="22">
        <f>'Activity data'!BO50*ManureNEF*NtoN2O*kgtoGg</f>
        <v>0.43057975647849034</v>
      </c>
      <c r="BP91" s="22">
        <f>'Activity data'!BP50*ManureNEF*NtoN2O*kgtoGg</f>
        <v>0.43448428362104141</v>
      </c>
    </row>
    <row r="92" spans="1:68" x14ac:dyDescent="0.2">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0.93731746283627526</v>
      </c>
      <c r="AF92" s="22">
        <f>'Activity data'!AF51*ManureNEF*NtoN2O*kgtoGg</f>
        <v>0.94471091139331731</v>
      </c>
      <c r="AG92" s="22">
        <f>'Activity data'!AG51*ManureNEF*NtoN2O*kgtoGg</f>
        <v>0.94946198965576145</v>
      </c>
      <c r="AH92" s="22">
        <f>'Activity data'!AH51*ManureNEF*NtoN2O*kgtoGg</f>
        <v>0.95261910289076102</v>
      </c>
      <c r="AI92" s="22">
        <f>'Activity data'!AI51*ManureNEF*NtoN2O*kgtoGg</f>
        <v>0.95415117805450056</v>
      </c>
      <c r="AJ92" s="22">
        <f>'Activity data'!AJ51*ManureNEF*NtoN2O*kgtoGg</f>
        <v>0.95753610227115837</v>
      </c>
      <c r="AK92" s="22">
        <f>'Activity data'!AK51*ManureNEF*NtoN2O*kgtoGg</f>
        <v>0.96141917889497119</v>
      </c>
      <c r="AL92" s="22">
        <f>'Activity data'!AL51*ManureNEF*NtoN2O*kgtoGg</f>
        <v>0.93510011958643091</v>
      </c>
      <c r="AM92" s="22">
        <f>'Activity data'!AM51*ManureNEF*NtoN2O*kgtoGg</f>
        <v>0.94584645417427005</v>
      </c>
      <c r="AN92" s="22">
        <f>'Activity data'!AN51*ManureNEF*NtoN2O*kgtoGg</f>
        <v>0.95426734099543964</v>
      </c>
      <c r="AO92" s="22">
        <f>'Activity data'!AO51*ManureNEF*NtoN2O*kgtoGg</f>
        <v>0.96224520596699892</v>
      </c>
      <c r="AP92" s="22">
        <f>'Activity data'!AP51*ManureNEF*NtoN2O*kgtoGg</f>
        <v>0.97157210949510064</v>
      </c>
      <c r="AQ92" s="22">
        <f>'Activity data'!AQ51*ManureNEF*NtoN2O*kgtoGg</f>
        <v>0.98050423405659315</v>
      </c>
      <c r="AR92" s="22">
        <f>'Activity data'!AR51*ManureNEF*NtoN2O*kgtoGg</f>
        <v>0.98799554560875424</v>
      </c>
      <c r="AS92" s="22">
        <f>'Activity data'!AS51*ManureNEF*NtoN2O*kgtoGg</f>
        <v>0.99527878883687138</v>
      </c>
      <c r="AT92" s="22">
        <f>'Activity data'!AT51*ManureNEF*NtoN2O*kgtoGg</f>
        <v>1.0021870424712456</v>
      </c>
      <c r="AU92" s="22">
        <f>'Activity data'!AU51*ManureNEF*NtoN2O*kgtoGg</f>
        <v>1.011173452459766</v>
      </c>
      <c r="AV92" s="22">
        <f>'Activity data'!AV51*ManureNEF*NtoN2O*kgtoGg</f>
        <v>1.0201136529406156</v>
      </c>
      <c r="AW92" s="22">
        <f>'Activity data'!AW51*ManureNEF*NtoN2O*kgtoGg</f>
        <v>1.0294408674786415</v>
      </c>
      <c r="AX92" s="22">
        <f>'Activity data'!AX51*ManureNEF*NtoN2O*kgtoGg</f>
        <v>1.0408198597675704</v>
      </c>
      <c r="AY92" s="22">
        <f>'Activity data'!AY51*ManureNEF*NtoN2O*kgtoGg</f>
        <v>1.0532596993324077</v>
      </c>
      <c r="AZ92" s="22">
        <f>'Activity data'!AZ51*ManureNEF*NtoN2O*kgtoGg</f>
        <v>1.0679237119019074</v>
      </c>
      <c r="BA92" s="22">
        <f>'Activity data'!BA51*ManureNEF*NtoN2O*kgtoGg</f>
        <v>1.0795376467594282</v>
      </c>
      <c r="BB92" s="22">
        <f>'Activity data'!BB51*ManureNEF*NtoN2O*kgtoGg</f>
        <v>1.0903268663805361</v>
      </c>
      <c r="BC92" s="22">
        <f>'Activity data'!BC51*ManureNEF*NtoN2O*kgtoGg</f>
        <v>1.102298951714306</v>
      </c>
      <c r="BD92" s="22">
        <f>'Activity data'!BD51*ManureNEF*NtoN2O*kgtoGg</f>
        <v>1.1139495760989377</v>
      </c>
      <c r="BE92" s="22">
        <f>'Activity data'!BE51*ManureNEF*NtoN2O*kgtoGg</f>
        <v>1.1263056277244112</v>
      </c>
      <c r="BF92" s="22">
        <f>'Activity data'!BF51*ManureNEF*NtoN2O*kgtoGg</f>
        <v>1.1388392992836296</v>
      </c>
      <c r="BG92" s="22">
        <f>'Activity data'!BG51*ManureNEF*NtoN2O*kgtoGg</f>
        <v>1.152690852718028</v>
      </c>
      <c r="BH92" s="22">
        <f>'Activity data'!BH51*ManureNEF*NtoN2O*kgtoGg</f>
        <v>1.1660693001897589</v>
      </c>
      <c r="BI92" s="22">
        <f>'Activity data'!BI51*ManureNEF*NtoN2O*kgtoGg</f>
        <v>1.1797657852278758</v>
      </c>
      <c r="BJ92" s="22">
        <f>'Activity data'!BJ51*ManureNEF*NtoN2O*kgtoGg</f>
        <v>1.1939879831787625</v>
      </c>
      <c r="BK92" s="22">
        <f>'Activity data'!BK51*ManureNEF*NtoN2O*kgtoGg</f>
        <v>1.2088172021975669</v>
      </c>
      <c r="BL92" s="22">
        <f>'Activity data'!BL51*ManureNEF*NtoN2O*kgtoGg</f>
        <v>1.225329427193572</v>
      </c>
      <c r="BM92" s="22">
        <f>'Activity data'!BM51*ManureNEF*NtoN2O*kgtoGg</f>
        <v>1.2366227619173775</v>
      </c>
      <c r="BN92" s="22">
        <f>'Activity data'!BN51*ManureNEF*NtoN2O*kgtoGg</f>
        <v>1.2476563645423218</v>
      </c>
      <c r="BO92" s="22">
        <f>'Activity data'!BO51*ManureNEF*NtoN2O*kgtoGg</f>
        <v>1.2590026195607404</v>
      </c>
      <c r="BP92" s="22">
        <f>'Activity data'!BP51*ManureNEF*NtoN2O*kgtoGg</f>
        <v>1.2704193427732338</v>
      </c>
    </row>
    <row r="93" spans="1:68" x14ac:dyDescent="0.2">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5.0141199304605817E-2</v>
      </c>
      <c r="AF93" s="22">
        <f>'Activity data'!AF52*ManureNEF*NtoN2O*kgtoGg</f>
        <v>5.0536707115294892E-2</v>
      </c>
      <c r="AG93" s="22">
        <f>'Activity data'!AG52*ManureNEF*NtoN2O*kgtoGg</f>
        <v>5.0790863013925151E-2</v>
      </c>
      <c r="AH93" s="22">
        <f>'Activity data'!AH52*ManureNEF*NtoN2O*kgtoGg</f>
        <v>5.0959750770976343E-2</v>
      </c>
      <c r="AI93" s="22">
        <f>'Activity data'!AI52*ManureNEF*NtoN2O*kgtoGg</f>
        <v>5.1041708153806091E-2</v>
      </c>
      <c r="AJ93" s="22">
        <f>'Activity data'!AJ52*ManureNEF*NtoN2O*kgtoGg</f>
        <v>5.122278251388987E-2</v>
      </c>
      <c r="AK93" s="22">
        <f>'Activity data'!AK52*ManureNEF*NtoN2O*kgtoGg</f>
        <v>5.1430505218981168E-2</v>
      </c>
      <c r="AL93" s="22">
        <f>'Activity data'!AL52*ManureNEF*NtoN2O*kgtoGg</f>
        <v>5.0022583942975041E-2</v>
      </c>
      <c r="AM93" s="22">
        <f>'Activity data'!AM52*ManureNEF*NtoN2O*kgtoGg</f>
        <v>5.0597452251447961E-2</v>
      </c>
      <c r="AN93" s="22">
        <f>'Activity data'!AN52*ManureNEF*NtoN2O*kgtoGg</f>
        <v>5.1047922216174907E-2</v>
      </c>
      <c r="AO93" s="22">
        <f>'Activity data'!AO52*ManureNEF*NtoN2O*kgtoGg</f>
        <v>5.147469300987563E-2</v>
      </c>
      <c r="AP93" s="22">
        <f>'Activity data'!AP52*ManureNEF*NtoN2O*kgtoGg</f>
        <v>5.1973629759952025E-2</v>
      </c>
      <c r="AQ93" s="22">
        <f>'Activity data'!AQ52*ManureNEF*NtoN2O*kgtoGg</f>
        <v>5.2451448061230796E-2</v>
      </c>
      <c r="AR93" s="22">
        <f>'Activity data'!AR52*ManureNEF*NtoN2O*kgtoGg</f>
        <v>5.285219099036944E-2</v>
      </c>
      <c r="AS93" s="22">
        <f>'Activity data'!AS52*ManureNEF*NtoN2O*kgtoGg</f>
        <v>5.3241803437341126E-2</v>
      </c>
      <c r="AT93" s="22">
        <f>'Activity data'!AT52*ManureNEF*NtoN2O*kgtoGg</f>
        <v>5.361135605538344E-2</v>
      </c>
      <c r="AU93" s="22">
        <f>'Activity data'!AU52*ManureNEF*NtoN2O*kgtoGg</f>
        <v>5.4092078320926051E-2</v>
      </c>
      <c r="AV93" s="22">
        <f>'Activity data'!AV52*ManureNEF*NtoN2O*kgtoGg</f>
        <v>5.457032863835528E-2</v>
      </c>
      <c r="AW93" s="22">
        <f>'Activity data'!AW52*ManureNEF*NtoN2O*kgtoGg</f>
        <v>5.5069282025709015E-2</v>
      </c>
      <c r="AX93" s="22">
        <f>'Activity data'!AX52*ManureNEF*NtoN2O*kgtoGg</f>
        <v>5.5677993954022266E-2</v>
      </c>
      <c r="AY93" s="22">
        <f>'Activity data'!AY52*ManureNEF*NtoN2O*kgtoGg</f>
        <v>5.634345523013079E-2</v>
      </c>
      <c r="AZ93" s="22">
        <f>'Activity data'!AZ52*ManureNEF*NtoN2O*kgtoGg</f>
        <v>5.7127897221244069E-2</v>
      </c>
      <c r="BA93" s="22">
        <f>'Activity data'!BA52*ManureNEF*NtoN2O*kgtoGg</f>
        <v>5.774917725228023E-2</v>
      </c>
      <c r="BB93" s="22">
        <f>'Activity data'!BB52*ManureNEF*NtoN2O*kgtoGg</f>
        <v>5.8326339668230698E-2</v>
      </c>
      <c r="BC93" s="22">
        <f>'Activity data'!BC52*ManureNEF*NtoN2O*kgtoGg</f>
        <v>5.8966778730355766E-2</v>
      </c>
      <c r="BD93" s="22">
        <f>'Activity data'!BD52*ManureNEF*NtoN2O*kgtoGg</f>
        <v>5.9590021444222652E-2</v>
      </c>
      <c r="BE93" s="22">
        <f>'Activity data'!BE52*ManureNEF*NtoN2O*kgtoGg</f>
        <v>6.025100053800389E-2</v>
      </c>
      <c r="BF93" s="22">
        <f>'Activity data'!BF52*ManureNEF*NtoN2O*kgtoGg</f>
        <v>6.0921481296750873E-2</v>
      </c>
      <c r="BG93" s="22">
        <f>'Activity data'!BG52*ManureNEF*NtoN2O*kgtoGg</f>
        <v>6.1662461305093973E-2</v>
      </c>
      <c r="BH93" s="22">
        <f>'Activity data'!BH52*ManureNEF*NtoN2O*kgtoGg</f>
        <v>6.2378132811988125E-2</v>
      </c>
      <c r="BI93" s="22">
        <f>'Activity data'!BI52*ManureNEF*NtoN2O*kgtoGg</f>
        <v>6.3110817535465588E-2</v>
      </c>
      <c r="BJ93" s="22">
        <f>'Activity data'!BJ52*ManureNEF*NtoN2O*kgtoGg</f>
        <v>6.3871624935604179E-2</v>
      </c>
      <c r="BK93" s="22">
        <f>'Activity data'!BK52*ManureNEF*NtoN2O*kgtoGg</f>
        <v>6.4664904540257612E-2</v>
      </c>
      <c r="BL93" s="22">
        <f>'Activity data'!BL52*ManureNEF*NtoN2O*kgtoGg</f>
        <v>6.5548215475254884E-2</v>
      </c>
      <c r="BM93" s="22">
        <f>'Activity data'!BM52*ManureNEF*NtoN2O*kgtoGg</f>
        <v>6.6152345206804408E-2</v>
      </c>
      <c r="BN93" s="22">
        <f>'Activity data'!BN52*ManureNEF*NtoN2O*kgtoGg</f>
        <v>6.6742580735534546E-2</v>
      </c>
      <c r="BO93" s="22">
        <f>'Activity data'!BO52*ManureNEF*NtoN2O*kgtoGg</f>
        <v>6.7349541404460839E-2</v>
      </c>
      <c r="BP93" s="22">
        <f>'Activity data'!BP52*ManureNEF*NtoN2O*kgtoGg</f>
        <v>6.7960271724443314E-2</v>
      </c>
    </row>
    <row r="94" spans="1:68" x14ac:dyDescent="0.2">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0.3999997899835232</v>
      </c>
      <c r="AE94" s="22">
        <f>'Activity data'!AE53*ManureNEF*NtoN2O*kgtoGg</f>
        <v>0.39653071954810204</v>
      </c>
      <c r="AF94" s="22">
        <f>'Activity data'!AF53*ManureNEF*NtoN2O*kgtoGg</f>
        <v>0.39521014945095023</v>
      </c>
      <c r="AG94" s="22">
        <f>'Activity data'!AG53*ManureNEF*NtoN2O*kgtoGg</f>
        <v>0.38993263522397309</v>
      </c>
      <c r="AH94" s="22">
        <f>'Activity data'!AH53*ManureNEF*NtoN2O*kgtoGg</f>
        <v>0.38227219443770111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0.31703545795580812</v>
      </c>
      <c r="AM94" s="22">
        <f>'Activity data'!AM53*ManureNEF*NtoN2O*kgtoGg</f>
        <v>0.32309971218055339</v>
      </c>
      <c r="AN94" s="22">
        <f>'Activity data'!AN53*ManureNEF*NtoN2O*kgtoGg</f>
        <v>0.32634203711003062</v>
      </c>
      <c r="AO94" s="22">
        <f>'Activity data'!AO53*ManureNEF*NtoN2O*kgtoGg</f>
        <v>0.32883794885575124</v>
      </c>
      <c r="AP94" s="22">
        <f>'Activity data'!AP53*ManureNEF*NtoN2O*kgtoGg</f>
        <v>0.33244914541099557</v>
      </c>
      <c r="AQ94" s="22">
        <f>'Activity data'!AQ53*ManureNEF*NtoN2O*kgtoGg</f>
        <v>0.33537982425623064</v>
      </c>
      <c r="AR94" s="22">
        <f>'Activity data'!AR53*ManureNEF*NtoN2O*kgtoGg</f>
        <v>0.33726910277056216</v>
      </c>
      <c r="AS94" s="22">
        <f>'Activity data'!AS53*ManureNEF*NtoN2O*kgtoGg</f>
        <v>0.33873976472971684</v>
      </c>
      <c r="AT94" s="22">
        <f>'Activity data'!AT53*ManureNEF*NtoN2O*kgtoGg</f>
        <v>0.3396512538265225</v>
      </c>
      <c r="AU94" s="22">
        <f>'Activity data'!AU53*ManureNEF*NtoN2O*kgtoGg</f>
        <v>0.34234961980351264</v>
      </c>
      <c r="AV94" s="22">
        <f>'Activity data'!AV53*ManureNEF*NtoN2O*kgtoGg</f>
        <v>0.34477749763229165</v>
      </c>
      <c r="AW94" s="22">
        <f>'Activity data'!AW53*ManureNEF*NtoN2O*kgtoGg</f>
        <v>0.34490271847402698</v>
      </c>
      <c r="AX94" s="22">
        <f>'Activity data'!AX53*ManureNEF*NtoN2O*kgtoGg</f>
        <v>0.34652917307942177</v>
      </c>
      <c r="AY94" s="22">
        <f>'Activity data'!AY53*ManureNEF*NtoN2O*kgtoGg</f>
        <v>0.34867994569293842</v>
      </c>
      <c r="AZ94" s="22">
        <f>'Activity data'!AZ53*ManureNEF*NtoN2O*kgtoGg</f>
        <v>0.35229087700726325</v>
      </c>
      <c r="BA94" s="22">
        <f>'Activity data'!BA53*ManureNEF*NtoN2O*kgtoGg</f>
        <v>0.35286760038592668</v>
      </c>
      <c r="BB94" s="22">
        <f>'Activity data'!BB53*ManureNEF*NtoN2O*kgtoGg</f>
        <v>0.35280706113320703</v>
      </c>
      <c r="BC94" s="22">
        <f>'Activity data'!BC53*ManureNEF*NtoN2O*kgtoGg</f>
        <v>0.35333685278149574</v>
      </c>
      <c r="BD94" s="22">
        <f>'Activity data'!BD53*ManureNEF*NtoN2O*kgtoGg</f>
        <v>0.35323906806904226</v>
      </c>
      <c r="BE94" s="22">
        <f>'Activity data'!BE53*ManureNEF*NtoN2O*kgtoGg</f>
        <v>0.35331388529093138</v>
      </c>
      <c r="BF94" s="22">
        <f>'Activity data'!BF53*ManureNEF*NtoN2O*kgtoGg</f>
        <v>0.35314408948749232</v>
      </c>
      <c r="BG94" s="22">
        <f>'Activity data'!BG53*ManureNEF*NtoN2O*kgtoGg</f>
        <v>0.35567872633842856</v>
      </c>
      <c r="BH94" s="22">
        <f>'Activity data'!BH53*ManureNEF*NtoN2O*kgtoGg</f>
        <v>0.35753295708802146</v>
      </c>
      <c r="BI94" s="22">
        <f>'Activity data'!BI53*ManureNEF*NtoN2O*kgtoGg</f>
        <v>0.35928020343080169</v>
      </c>
      <c r="BJ94" s="22">
        <f>'Activity data'!BJ53*ManureNEF*NtoN2O*kgtoGg</f>
        <v>0.36105415112579775</v>
      </c>
      <c r="BK94" s="22">
        <f>'Activity data'!BK53*ManureNEF*NtoN2O*kgtoGg</f>
        <v>0.36289326988326759</v>
      </c>
      <c r="BL94" s="22">
        <f>'Activity data'!BL53*ManureNEF*NtoN2O*kgtoGg</f>
        <v>0.36577537997432297</v>
      </c>
      <c r="BM94" s="22">
        <f>'Activity data'!BM53*ManureNEF*NtoN2O*kgtoGg</f>
        <v>0.36496360671057504</v>
      </c>
      <c r="BN94" s="22">
        <f>'Activity data'!BN53*ManureNEF*NtoN2O*kgtoGg</f>
        <v>0.36374650903258482</v>
      </c>
      <c r="BO94" s="22">
        <f>'Activity data'!BO53*ManureNEF*NtoN2O*kgtoGg</f>
        <v>0.36248592595380585</v>
      </c>
      <c r="BP94" s="22">
        <f>'Activity data'!BP53*ManureNEF*NtoN2O*kgtoGg</f>
        <v>0.36103102436723483</v>
      </c>
    </row>
    <row r="95" spans="1:68" x14ac:dyDescent="0.2">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2.6602988559851246</v>
      </c>
      <c r="AE95" s="22">
        <f>'Activity data'!AE54*ManureNEF*NtoN2O*kgtoGg</f>
        <v>2.6372269335947092</v>
      </c>
      <c r="AF95" s="22">
        <f>'Activity data'!AF54*ManureNEF*NtoN2O*kgtoGg</f>
        <v>2.6284441511866339</v>
      </c>
      <c r="AG95" s="22">
        <f>'Activity data'!AG54*ManureNEF*NtoN2O*kgtoGg</f>
        <v>2.5933447201068058</v>
      </c>
      <c r="AH95" s="22">
        <f>'Activity data'!AH54*ManureNEF*NtoN2O*kgtoGg</f>
        <v>2.5423970387070205</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2.1085237723282266</v>
      </c>
      <c r="AM95" s="22">
        <f>'Activity data'!AM54*ManureNEF*NtoN2O*kgtoGg</f>
        <v>2.1488556149453371</v>
      </c>
      <c r="AN95" s="22">
        <f>'Activity data'!AN54*ManureNEF*NtoN2O*kgtoGg</f>
        <v>2.1704195095188212</v>
      </c>
      <c r="AO95" s="22">
        <f>'Activity data'!AO54*ManureNEF*NtoN2O*kgtoGg</f>
        <v>2.1870191961387908</v>
      </c>
      <c r="AP95" s="22">
        <f>'Activity data'!AP54*ManureNEF*NtoN2O*kgtoGg</f>
        <v>2.211036363910428</v>
      </c>
      <c r="AQ95" s="22">
        <f>'Activity data'!AQ54*ManureNEF*NtoN2O*kgtoGg</f>
        <v>2.2305275780922154</v>
      </c>
      <c r="AR95" s="22">
        <f>'Activity data'!AR54*ManureNEF*NtoN2O*kgtoGg</f>
        <v>2.2430926983652055</v>
      </c>
      <c r="AS95" s="22">
        <f>'Activity data'!AS54*ManureNEF*NtoN2O*kgtoGg</f>
        <v>2.252873704319335</v>
      </c>
      <c r="AT95" s="22">
        <f>'Activity data'!AT54*ManureNEF*NtoN2O*kgtoGg</f>
        <v>2.2589357910058689</v>
      </c>
      <c r="AU95" s="22">
        <f>'Activity data'!AU54*ManureNEF*NtoN2O*kgtoGg</f>
        <v>2.2768819502323812</v>
      </c>
      <c r="AV95" s="22">
        <f>'Activity data'!AV54*ManureNEF*NtoN2O*kgtoGg</f>
        <v>2.2930291602362631</v>
      </c>
      <c r="AW95" s="22">
        <f>'Activity data'!AW54*ManureNEF*NtoN2O*kgtoGg</f>
        <v>2.2938619728285596</v>
      </c>
      <c r="AX95" s="22">
        <f>'Activity data'!AX54*ManureNEF*NtoN2O*kgtoGg</f>
        <v>2.3046791168231131</v>
      </c>
      <c r="AY95" s="22">
        <f>'Activity data'!AY54*ManureNEF*NtoN2O*kgtoGg</f>
        <v>2.3189833691414923</v>
      </c>
      <c r="AZ95" s="22">
        <f>'Activity data'!AZ54*ManureNEF*NtoN2O*kgtoGg</f>
        <v>2.3429987728619159</v>
      </c>
      <c r="BA95" s="22">
        <f>'Activity data'!BA54*ManureNEF*NtoN2O*kgtoGg</f>
        <v>2.346834416236983</v>
      </c>
      <c r="BB95" s="22">
        <f>'Activity data'!BB54*ManureNEF*NtoN2O*kgtoGg</f>
        <v>2.3464317847637033</v>
      </c>
      <c r="BC95" s="22">
        <f>'Activity data'!BC54*ManureNEF*NtoN2O*kgtoGg</f>
        <v>2.3499552969033255</v>
      </c>
      <c r="BD95" s="22">
        <f>'Activity data'!BD54*ManureNEF*NtoN2O*kgtoGg</f>
        <v>2.3493049551651861</v>
      </c>
      <c r="BE95" s="22">
        <f>'Activity data'!BE54*ManureNEF*NtoN2O*kgtoGg</f>
        <v>2.3498025458509408</v>
      </c>
      <c r="BF95" s="22">
        <f>'Activity data'!BF54*ManureNEF*NtoN2O*kgtoGg</f>
        <v>2.3486732763039284</v>
      </c>
      <c r="BG95" s="22">
        <f>'Activity data'!BG54*ManureNEF*NtoN2O*kgtoGg</f>
        <v>2.3655305139418807</v>
      </c>
      <c r="BH95" s="22">
        <f>'Activity data'!BH54*ManureNEF*NtoN2O*kgtoGg</f>
        <v>2.3778625402713889</v>
      </c>
      <c r="BI95" s="22">
        <f>'Activity data'!BI54*ManureNEF*NtoN2O*kgtoGg</f>
        <v>2.3894830399896865</v>
      </c>
      <c r="BJ95" s="22">
        <f>'Activity data'!BJ54*ManureNEF*NtoN2O*kgtoGg</f>
        <v>2.4012811237431047</v>
      </c>
      <c r="BK95" s="22">
        <f>'Activity data'!BK54*ManureNEF*NtoN2O*kgtoGg</f>
        <v>2.413512643981452</v>
      </c>
      <c r="BL95" s="22">
        <f>'Activity data'!BL54*ManureNEF*NtoN2O*kgtoGg</f>
        <v>2.4326808394906876</v>
      </c>
      <c r="BM95" s="22">
        <f>'Activity data'!BM54*ManureNEF*NtoN2O*kgtoGg</f>
        <v>2.4272819379438721</v>
      </c>
      <c r="BN95" s="22">
        <f>'Activity data'!BN54*ManureNEF*NtoN2O*kgtoGg</f>
        <v>2.4191873247929188</v>
      </c>
      <c r="BO95" s="22">
        <f>'Activity data'!BO54*ManureNEF*NtoN2O*kgtoGg</f>
        <v>2.4108035010851898</v>
      </c>
      <c r="BP95" s="22">
        <f>'Activity data'!BP54*ManureNEF*NtoN2O*kgtoGg</f>
        <v>2.4011273134389794</v>
      </c>
    </row>
    <row r="96" spans="1:68" x14ac:dyDescent="0.2">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0.35516571939691516</v>
      </c>
      <c r="AF96" s="22">
        <f>'Activity data'!AF55*ManureNEF*NtoN2O*kgtoGg</f>
        <v>0.36891582276573964</v>
      </c>
      <c r="AG96" s="22">
        <f>'Activity data'!AG55*ManureNEF*NtoN2O*kgtoGg</f>
        <v>0.37917034791782095</v>
      </c>
      <c r="AH96" s="22">
        <f>'Activity data'!AH55*ManureNEF*NtoN2O*kgtoGg</f>
        <v>0.38707850955818868</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0.37652794837094722</v>
      </c>
      <c r="AM96" s="22">
        <f>'Activity data'!AM55*ManureNEF*NtoN2O*kgtoGg</f>
        <v>0.39297526852441034</v>
      </c>
      <c r="AN96" s="22">
        <f>'Activity data'!AN55*ManureNEF*NtoN2O*kgtoGg</f>
        <v>0.40635032563114942</v>
      </c>
      <c r="AO96" s="22">
        <f>'Activity data'!AO55*ManureNEF*NtoN2O*kgtoGg</f>
        <v>0.41906397887076929</v>
      </c>
      <c r="AP96" s="22">
        <f>'Activity data'!AP55*ManureNEF*NtoN2O*kgtoGg</f>
        <v>0.4334881601814114</v>
      </c>
      <c r="AQ96" s="22">
        <f>'Activity data'!AQ55*ManureNEF*NtoN2O*kgtoGg</f>
        <v>0.44733744019305588</v>
      </c>
      <c r="AR96" s="22">
        <f>'Activity data'!AR55*ManureNEF*NtoN2O*kgtoGg</f>
        <v>0.46006881076150558</v>
      </c>
      <c r="AS96" s="22">
        <f>'Activity data'!AS55*ManureNEF*NtoN2O*kgtoGg</f>
        <v>0.47246549989332448</v>
      </c>
      <c r="AT96" s="22">
        <f>'Activity data'!AT55*ManureNEF*NtoN2O*kgtoGg</f>
        <v>0.4842972828341911</v>
      </c>
      <c r="AU96" s="22">
        <f>'Activity data'!AU55*ManureNEF*NtoN2O*kgtoGg</f>
        <v>0.49893915197034427</v>
      </c>
      <c r="AV96" s="22">
        <f>'Activity data'!AV55*ManureNEF*NtoN2O*kgtoGg</f>
        <v>0.51350643977275245</v>
      </c>
      <c r="AW96" s="22">
        <f>'Activity data'!AW55*ManureNEF*NtoN2O*kgtoGg</f>
        <v>0.53072839151044782</v>
      </c>
      <c r="AX96" s="22">
        <f>'Activity data'!AX55*ManureNEF*NtoN2O*kgtoGg</f>
        <v>0.55094843194330412</v>
      </c>
      <c r="AY96" s="22">
        <f>'Activity data'!AY55*ManureNEF*NtoN2O*kgtoGg</f>
        <v>0.57283458620168215</v>
      </c>
      <c r="AZ96" s="22">
        <f>'Activity data'!AZ55*ManureNEF*NtoN2O*kgtoGg</f>
        <v>0.59810752351139296</v>
      </c>
      <c r="BA96" s="22">
        <f>'Activity data'!BA55*ManureNEF*NtoN2O*kgtoGg</f>
        <v>0.61918227343437504</v>
      </c>
      <c r="BB96" s="22">
        <f>'Activity data'!BB55*ManureNEF*NtoN2O*kgtoGg</f>
        <v>0.63993352160681027</v>
      </c>
      <c r="BC96" s="22">
        <f>'Activity data'!BC55*ManureNEF*NtoN2O*kgtoGg</f>
        <v>0.66259501614961847</v>
      </c>
      <c r="BD96" s="22">
        <f>'Activity data'!BD55*ManureNEF*NtoN2O*kgtoGg</f>
        <v>0.68496632766069843</v>
      </c>
      <c r="BE96" s="22">
        <f>'Activity data'!BE55*ManureNEF*NtoN2O*kgtoGg</f>
        <v>0.70858354272657831</v>
      </c>
      <c r="BF96" s="22">
        <f>'Activity data'!BF55*ManureNEF*NtoN2O*kgtoGg</f>
        <v>0.73267251576118442</v>
      </c>
      <c r="BG96" s="22">
        <f>'Activity data'!BG55*ManureNEF*NtoN2O*kgtoGg</f>
        <v>0.75875206021259933</v>
      </c>
      <c r="BH96" s="22">
        <f>'Activity data'!BH55*ManureNEF*NtoN2O*kgtoGg</f>
        <v>0.78430196742523084</v>
      </c>
      <c r="BI96" s="22">
        <f>'Activity data'!BI55*ManureNEF*NtoN2O*kgtoGg</f>
        <v>0.81053600981631879</v>
      </c>
      <c r="BJ96" s="22">
        <f>'Activity data'!BJ55*ManureNEF*NtoN2O*kgtoGg</f>
        <v>0.83778993006127533</v>
      </c>
      <c r="BK96" s="22">
        <f>'Activity data'!BK55*ManureNEF*NtoN2O*kgtoGg</f>
        <v>0.86620935276117805</v>
      </c>
      <c r="BL96" s="22">
        <f>'Activity data'!BL55*ManureNEF*NtoN2O*kgtoGg</f>
        <v>0.89826083748814867</v>
      </c>
      <c r="BM96" s="22">
        <f>'Activity data'!BM55*ManureNEF*NtoN2O*kgtoGg</f>
        <v>0.9222529178926514</v>
      </c>
      <c r="BN96" s="22">
        <f>'Activity data'!BN55*ManureNEF*NtoN2O*kgtoGg</f>
        <v>0.94598858331962243</v>
      </c>
      <c r="BO96" s="22">
        <f>'Activity data'!BO55*ManureNEF*NtoN2O*kgtoGg</f>
        <v>0.9703863283837505</v>
      </c>
      <c r="BP96" s="22">
        <f>'Activity data'!BP55*ManureNEF*NtoN2O*kgtoGg</f>
        <v>0.99506234412260963</v>
      </c>
    </row>
    <row r="97" spans="1:68" x14ac:dyDescent="0.2">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5.9536061137450337E-2</v>
      </c>
      <c r="AM97" s="22">
        <f>'Activity data'!AM56*ManureNEF*NtoN2O*kgtoGg</f>
        <v>5.9626729725854671E-2</v>
      </c>
      <c r="AN97" s="22">
        <f>'Activity data'!AN56*ManureNEF*NtoN2O*kgtoGg</f>
        <v>5.9729206929355502E-2</v>
      </c>
      <c r="AO97" s="22">
        <f>'Activity data'!AO56*ManureNEF*NtoN2O*kgtoGg</f>
        <v>5.9844810274995809E-2</v>
      </c>
      <c r="AP97" s="22">
        <f>'Activity data'!AP56*ManureNEF*NtoN2O*kgtoGg</f>
        <v>5.9974855541164628E-2</v>
      </c>
      <c r="AQ97" s="22">
        <f>'Activity data'!AQ56*ManureNEF*NtoN2O*kgtoGg</f>
        <v>6.0116631008549089E-2</v>
      </c>
      <c r="AR97" s="22">
        <f>'Activity data'!AR56*ManureNEF*NtoN2O*kgtoGg</f>
        <v>6.0202857685321479E-2</v>
      </c>
      <c r="AS97" s="22">
        <f>'Activity data'!AS56*ManureNEF*NtoN2O*kgtoGg</f>
        <v>6.0299167924469661E-2</v>
      </c>
      <c r="AT97" s="22">
        <f>'Activity data'!AT56*ManureNEF*NtoN2O*kgtoGg</f>
        <v>6.0404855231945616E-2</v>
      </c>
      <c r="AU97" s="22">
        <f>'Activity data'!AU56*ManureNEF*NtoN2O*kgtoGg</f>
        <v>6.052231244286084E-2</v>
      </c>
      <c r="AV97" s="22">
        <f>'Activity data'!AV56*ManureNEF*NtoN2O*kgtoGg</f>
        <v>6.064865362872638E-2</v>
      </c>
      <c r="AW97" s="22">
        <f>'Activity data'!AW56*ManureNEF*NtoN2O*kgtoGg</f>
        <v>6.0731208862415634E-2</v>
      </c>
      <c r="AX97" s="22">
        <f>'Activity data'!AX56*ManureNEF*NtoN2O*kgtoGg</f>
        <v>6.0823877481192126E-2</v>
      </c>
      <c r="AY97" s="22">
        <f>'Activity data'!AY56*ManureNEF*NtoN2O*kgtoGg</f>
        <v>6.0925179087084252E-2</v>
      </c>
      <c r="AZ97" s="22">
        <f>'Activity data'!AZ56*ManureNEF*NtoN2O*kgtoGg</f>
        <v>6.1036165719670403E-2</v>
      </c>
      <c r="BA97" s="22">
        <f>'Activity data'!BA56*ManureNEF*NtoN2O*kgtoGg</f>
        <v>6.1150437256879263E-2</v>
      </c>
      <c r="BB97" s="22">
        <f>'Activity data'!BB56*ManureNEF*NtoN2O*kgtoGg</f>
        <v>6.1220471443741167E-2</v>
      </c>
      <c r="BC97" s="22">
        <f>'Activity data'!BC56*ManureNEF*NtoN2O*kgtoGg</f>
        <v>6.1297838147090833E-2</v>
      </c>
      <c r="BD97" s="22">
        <f>'Activity data'!BD56*ManureNEF*NtoN2O*kgtoGg</f>
        <v>6.1380565224491167E-2</v>
      </c>
      <c r="BE97" s="22">
        <f>'Activity data'!BE56*ManureNEF*NtoN2O*kgtoGg</f>
        <v>6.1469636895764942E-2</v>
      </c>
      <c r="BF97" s="22">
        <f>'Activity data'!BF56*ManureNEF*NtoN2O*kgtoGg</f>
        <v>6.1564248264751806E-2</v>
      </c>
      <c r="BG97" s="22">
        <f>'Activity data'!BG56*ManureNEF*NtoN2O*kgtoGg</f>
        <v>6.1619115142281453E-2</v>
      </c>
      <c r="BH97" s="22">
        <f>'Activity data'!BH56*ManureNEF*NtoN2O*kgtoGg</f>
        <v>6.1678131563041472E-2</v>
      </c>
      <c r="BI97" s="22">
        <f>'Activity data'!BI56*ManureNEF*NtoN2O*kgtoGg</f>
        <v>6.1742051762293963E-2</v>
      </c>
      <c r="BJ97" s="22">
        <f>'Activity data'!BJ56*ManureNEF*NtoN2O*kgtoGg</f>
        <v>6.1810963980968171E-2</v>
      </c>
      <c r="BK97" s="22">
        <f>'Activity data'!BK56*ManureNEF*NtoN2O*kgtoGg</f>
        <v>6.1884820045811577E-2</v>
      </c>
      <c r="BL97" s="22">
        <f>'Activity data'!BL56*ManureNEF*NtoN2O*kgtoGg</f>
        <v>6.1917844796297146E-2</v>
      </c>
      <c r="BM97" s="22">
        <f>'Activity data'!BM56*ManureNEF*NtoN2O*kgtoGg</f>
        <v>6.1948582957053369E-2</v>
      </c>
      <c r="BN97" s="22">
        <f>'Activity data'!BN56*ManureNEF*NtoN2O*kgtoGg</f>
        <v>6.1982659332367518E-2</v>
      </c>
      <c r="BO97" s="22">
        <f>'Activity data'!BO56*ManureNEF*NtoN2O*kgtoGg</f>
        <v>6.2020620133408491E-2</v>
      </c>
      <c r="BP97" s="22">
        <f>'Activity data'!BP56*ManureNEF*NtoN2O*kgtoGg</f>
        <v>6.2062074580344864E-2</v>
      </c>
    </row>
    <row r="98" spans="1:68" x14ac:dyDescent="0.2">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4.8454260958953527E-2</v>
      </c>
      <c r="AM98" s="22">
        <f>'Activity data'!AM57*ManureNEF*NtoN2O*kgtoGg</f>
        <v>4.8528052865226608E-2</v>
      </c>
      <c r="AN98" s="22">
        <f>'Activity data'!AN57*ManureNEF*NtoN2O*kgtoGg</f>
        <v>4.8611455379029278E-2</v>
      </c>
      <c r="AO98" s="22">
        <f>'Activity data'!AO57*ManureNEF*NtoN2O*kgtoGg</f>
        <v>4.8705540788281515E-2</v>
      </c>
      <c r="AP98" s="22">
        <f>'Activity data'!AP57*ManureNEF*NtoN2O*kgtoGg</f>
        <v>4.8811379957736697E-2</v>
      </c>
      <c r="AQ98" s="22">
        <f>'Activity data'!AQ57*ManureNEF*NtoN2O*kgtoGg</f>
        <v>4.8926765916481318E-2</v>
      </c>
      <c r="AR98" s="22">
        <f>'Activity data'!AR57*ManureNEF*NtoN2O*kgtoGg</f>
        <v>4.8996942710480308E-2</v>
      </c>
      <c r="AS98" s="22">
        <f>'Activity data'!AS57*ManureNEF*NtoN2O*kgtoGg</f>
        <v>4.9075326153582635E-2</v>
      </c>
      <c r="AT98" s="22">
        <f>'Activity data'!AT57*ManureNEF*NtoN2O*kgtoGg</f>
        <v>4.9161341255667866E-2</v>
      </c>
      <c r="AU98" s="22">
        <f>'Activity data'!AU57*ManureNEF*NtoN2O*kgtoGg</f>
        <v>4.9256935459255795E-2</v>
      </c>
      <c r="AV98" s="22">
        <f>'Activity data'!AV57*ManureNEF*NtoN2O*kgtoGg</f>
        <v>4.9359760010844099E-2</v>
      </c>
      <c r="AW98" s="22">
        <f>'Activity data'!AW57*ManureNEF*NtoN2O*kgtoGg</f>
        <v>4.9426948749236969E-2</v>
      </c>
      <c r="AX98" s="22">
        <f>'Activity data'!AX57*ManureNEF*NtoN2O*kgtoGg</f>
        <v>4.9502368408366512E-2</v>
      </c>
      <c r="AY98" s="22">
        <f>'Activity data'!AY57*ManureNEF*NtoN2O*kgtoGg</f>
        <v>4.9584814145516069E-2</v>
      </c>
      <c r="AZ98" s="22">
        <f>'Activity data'!AZ57*ManureNEF*NtoN2O*kgtoGg</f>
        <v>4.967514217789748E-2</v>
      </c>
      <c r="BA98" s="22">
        <f>'Activity data'!BA57*ManureNEF*NtoN2O*kgtoGg</f>
        <v>4.9768143676120806E-2</v>
      </c>
      <c r="BB98" s="22">
        <f>'Activity data'!BB57*ManureNEF*NtoN2O*kgtoGg</f>
        <v>4.9825141984396873E-2</v>
      </c>
      <c r="BC98" s="22">
        <f>'Activity data'!BC57*ManureNEF*NtoN2O*kgtoGg</f>
        <v>4.9888107964376358E-2</v>
      </c>
      <c r="BD98" s="22">
        <f>'Activity data'!BD57*ManureNEF*NtoN2O*kgtoGg</f>
        <v>4.9955436560191149E-2</v>
      </c>
      <c r="BE98" s="22">
        <f>'Activity data'!BE57*ManureNEF*NtoN2O*kgtoGg</f>
        <v>5.0027928792990776E-2</v>
      </c>
      <c r="BF98" s="22">
        <f>'Activity data'!BF57*ManureNEF*NtoN2O*kgtoGg</f>
        <v>5.0104929586711242E-2</v>
      </c>
      <c r="BG98" s="22">
        <f>'Activity data'!BG57*ManureNEF*NtoN2O*kgtoGg</f>
        <v>5.0149583766901075E-2</v>
      </c>
      <c r="BH98" s="22">
        <f>'Activity data'!BH57*ManureNEF*NtoN2O*kgtoGg</f>
        <v>5.0197615111228118E-2</v>
      </c>
      <c r="BI98" s="22">
        <f>'Activity data'!BI57*ManureNEF*NtoN2O*kgtoGg</f>
        <v>5.0249637464671662E-2</v>
      </c>
      <c r="BJ98" s="22">
        <f>'Activity data'!BJ57*ManureNEF*NtoN2O*kgtoGg</f>
        <v>5.0305722643353402E-2</v>
      </c>
      <c r="BK98" s="22">
        <f>'Activity data'!BK57*ManureNEF*NtoN2O*kgtoGg</f>
        <v>5.0365831440794026E-2</v>
      </c>
      <c r="BL98" s="22">
        <f>'Activity data'!BL57*ManureNEF*NtoN2O*kgtoGg</f>
        <v>5.0392709098596028E-2</v>
      </c>
      <c r="BM98" s="22">
        <f>'Activity data'!BM57*ManureNEF*NtoN2O*kgtoGg</f>
        <v>5.0417725783177193E-2</v>
      </c>
      <c r="BN98" s="22">
        <f>'Activity data'!BN57*ManureNEF*NtoN2O*kgtoGg</f>
        <v>5.0445459320641074E-2</v>
      </c>
      <c r="BO98" s="22">
        <f>'Activity data'!BO57*ManureNEF*NtoN2O*kgtoGg</f>
        <v>5.0476354252632014E-2</v>
      </c>
      <c r="BP98" s="22">
        <f>'Activity data'!BP57*ManureNEF*NtoN2O*kgtoGg</f>
        <v>5.0510092537486409E-2</v>
      </c>
    </row>
    <row r="99" spans="1:68" x14ac:dyDescent="0.2">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7.2140927380493743E-3</v>
      </c>
      <c r="AE99" s="22">
        <f>'Activity data'!AE58*ManureNEF*NtoN2O*kgtoGg</f>
        <v>7.2328458969643655E-3</v>
      </c>
      <c r="AF99" s="22">
        <f>'Activity data'!AF58*ManureNEF*NtoN2O*kgtoGg</f>
        <v>7.2587152169743185E-3</v>
      </c>
      <c r="AG99" s="22">
        <f>'Activity data'!AG58*ManureNEF*NtoN2O*kgtoGg</f>
        <v>7.2902308808567339E-3</v>
      </c>
      <c r="AH99" s="22">
        <f>'Activity data'!AH58*ManureNEF*NtoN2O*kgtoGg</f>
        <v>7.3273479389297461E-3</v>
      </c>
      <c r="AI99" s="22">
        <f>'Activity data'!AI58*ManureNEF*NtoN2O*kgtoGg</f>
        <v>7.3698404773103405E-3</v>
      </c>
      <c r="AJ99" s="22">
        <f>'Activity data'!AJ58*ManureNEF*NtoN2O*kgtoGg</f>
        <v>7.4155715935563127E-3</v>
      </c>
      <c r="AK99" s="22">
        <f>'Activity data'!AK58*ManureNEF*NtoN2O*kgtoGg</f>
        <v>7.4643602602570466E-3</v>
      </c>
      <c r="AL99" s="22">
        <f>'Activity data'!AL58*ManureNEF*NtoN2O*kgtoGg</f>
        <v>7.5091824622274591E-3</v>
      </c>
      <c r="AM99" s="22">
        <f>'Activity data'!AM58*ManureNEF*NtoN2O*kgtoGg</f>
        <v>7.5310026575768785E-3</v>
      </c>
      <c r="AN99" s="22">
        <f>'Activity data'!AN58*ManureNEF*NtoN2O*kgtoGg</f>
        <v>7.5544556894728667E-3</v>
      </c>
      <c r="AO99" s="22">
        <f>'Activity data'!AO58*ManureNEF*NtoN2O*kgtoGg</f>
        <v>7.5798283677162839E-3</v>
      </c>
      <c r="AP99" s="22">
        <f>'Activity data'!AP58*ManureNEF*NtoN2O*kgtoGg</f>
        <v>7.6073992773568969E-3</v>
      </c>
      <c r="AQ99" s="22">
        <f>'Activity data'!AQ58*ManureNEF*NtoN2O*kgtoGg</f>
        <v>7.6366778381520258E-3</v>
      </c>
      <c r="AR99" s="22">
        <f>'Activity data'!AR58*ManureNEF*NtoN2O*kgtoGg</f>
        <v>7.6549815598218112E-3</v>
      </c>
      <c r="AS99" s="22">
        <f>'Activity data'!AS58*ManureNEF*NtoN2O*kgtoGg</f>
        <v>7.6747813396639188E-3</v>
      </c>
      <c r="AT99" s="22">
        <f>'Activity data'!AT58*ManureNEF*NtoN2O*kgtoGg</f>
        <v>7.695960726553556E-3</v>
      </c>
      <c r="AU99" s="22">
        <f>'Activity data'!AU58*ManureNEF*NtoN2O*kgtoGg</f>
        <v>7.7189834484336205E-3</v>
      </c>
      <c r="AV99" s="22">
        <f>'Activity data'!AV58*ManureNEF*NtoN2O*kgtoGg</f>
        <v>7.7433191534407569E-3</v>
      </c>
      <c r="AW99" s="22">
        <f>'Activity data'!AW58*ManureNEF*NtoN2O*kgtoGg</f>
        <v>7.7591399700901245E-3</v>
      </c>
      <c r="AX99" s="22">
        <f>'Activity data'!AX58*ManureNEF*NtoN2O*kgtoGg</f>
        <v>7.7765645193301983E-3</v>
      </c>
      <c r="AY99" s="22">
        <f>'Activity data'!AY58*ManureNEF*NtoN2O*kgtoGg</f>
        <v>7.7953233528318755E-3</v>
      </c>
      <c r="AZ99" s="22">
        <f>'Activity data'!AZ58*ManureNEF*NtoN2O*kgtoGg</f>
        <v>7.8156183452166659E-3</v>
      </c>
      <c r="BA99" s="22">
        <f>'Activity data'!BA58*ManureNEF*NtoN2O*kgtoGg</f>
        <v>7.8362676853213336E-3</v>
      </c>
      <c r="BB99" s="22">
        <f>'Activity data'!BB58*ManureNEF*NtoN2O*kgtoGg</f>
        <v>7.8484908167339423E-3</v>
      </c>
      <c r="BC99" s="22">
        <f>'Activity data'!BC58*ManureNEF*NtoN2O*kgtoGg</f>
        <v>7.8618680880810435E-3</v>
      </c>
      <c r="BD99" s="22">
        <f>'Activity data'!BD58*ManureNEF*NtoN2O*kgtoGg</f>
        <v>7.8760394561635683E-3</v>
      </c>
      <c r="BE99" s="22">
        <f>'Activity data'!BE58*ManureNEF*NtoN2O*kgtoGg</f>
        <v>7.8911907673676705E-3</v>
      </c>
      <c r="BF99" s="22">
        <f>'Activity data'!BF58*ManureNEF*NtoN2O*kgtoGg</f>
        <v>7.9071774267792192E-3</v>
      </c>
      <c r="BG99" s="22">
        <f>'Activity data'!BG58*ManureNEF*NtoN2O*kgtoGg</f>
        <v>7.9157019513346714E-3</v>
      </c>
      <c r="BH99" s="22">
        <f>'Activity data'!BH58*ManureNEF*NtoN2O*kgtoGg</f>
        <v>7.9248428379220318E-3</v>
      </c>
      <c r="BI99" s="22">
        <f>'Activity data'!BI58*ManureNEF*NtoN2O*kgtoGg</f>
        <v>7.9347410994360257E-3</v>
      </c>
      <c r="BJ99" s="22">
        <f>'Activity data'!BJ58*ManureNEF*NtoN2O*kgtoGg</f>
        <v>7.9454149669416808E-3</v>
      </c>
      <c r="BK99" s="22">
        <f>'Activity data'!BK58*ManureNEF*NtoN2O*kgtoGg</f>
        <v>7.9568573935750887E-3</v>
      </c>
      <c r="BL99" s="22">
        <f>'Activity data'!BL58*ManureNEF*NtoN2O*kgtoGg</f>
        <v>7.9607498372215833E-3</v>
      </c>
      <c r="BM99" s="22">
        <f>'Activity data'!BM58*ManureNEF*NtoN2O*kgtoGg</f>
        <v>7.9641286536339551E-3</v>
      </c>
      <c r="BN99" s="22">
        <f>'Activity data'!BN58*ManureNEF*NtoN2O*kgtoGg</f>
        <v>7.9680196395720947E-3</v>
      </c>
      <c r="BO99" s="22">
        <f>'Activity data'!BO58*ManureNEF*NtoN2O*kgtoGg</f>
        <v>7.9725231105734155E-3</v>
      </c>
      <c r="BP99" s="22">
        <f>'Activity data'!BP58*ManureNEF*NtoN2O*kgtoGg</f>
        <v>7.9775693338345506E-3</v>
      </c>
    </row>
    <row r="100" spans="1:68" x14ac:dyDescent="0.2">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8.7045671471293523E-2</v>
      </c>
      <c r="AE100" s="22">
        <f>'Activity data'!AE59*ManureNEF*NtoN2O*kgtoGg</f>
        <v>8.7271948200639354E-2</v>
      </c>
      <c r="AF100" s="22">
        <f>'Activity data'!AF59*ManureNEF*NtoN2O*kgtoGg</f>
        <v>8.7584088952434122E-2</v>
      </c>
      <c r="AG100" s="22">
        <f>'Activity data'!AG59*ManureNEF*NtoN2O*kgtoGg</f>
        <v>8.7964358824768801E-2</v>
      </c>
      <c r="AH100" s="22">
        <f>'Activity data'!AH59*ManureNEF*NtoN2O*kgtoGg</f>
        <v>8.8412215452112072E-2</v>
      </c>
      <c r="AI100" s="22">
        <f>'Activity data'!AI59*ManureNEF*NtoN2O*kgtoGg</f>
        <v>8.8924932944132923E-2</v>
      </c>
      <c r="AJ100" s="22">
        <f>'Activity data'!AJ59*ManureNEF*NtoN2O*kgtoGg</f>
        <v>8.9476727309038565E-2</v>
      </c>
      <c r="AK100" s="22">
        <f>'Activity data'!AK59*ManureNEF*NtoN2O*kgtoGg</f>
        <v>9.0065414259340087E-2</v>
      </c>
      <c r="AL100" s="22">
        <f>'Activity data'!AL59*ManureNEF*NtoN2O*kgtoGg</f>
        <v>9.0606241610610233E-2</v>
      </c>
      <c r="AM100" s="22">
        <f>'Activity data'!AM59*ManureNEF*NtoN2O*kgtoGg</f>
        <v>9.0869525383745986E-2</v>
      </c>
      <c r="AN100" s="22">
        <f>'Activity data'!AN59*ManureNEF*NtoN2O*kgtoGg</f>
        <v>9.1152511059637925E-2</v>
      </c>
      <c r="AO100" s="22">
        <f>'Activity data'!AO59*ManureNEF*NtoN2O*kgtoGg</f>
        <v>9.14586593023788E-2</v>
      </c>
      <c r="AP100" s="22">
        <f>'Activity data'!AP59*ManureNEF*NtoN2O*kgtoGg</f>
        <v>9.1791331535726078E-2</v>
      </c>
      <c r="AQ100" s="22">
        <f>'Activity data'!AQ59*ManureNEF*NtoN2O*kgtoGg</f>
        <v>9.2144608389332791E-2</v>
      </c>
      <c r="AR100" s="22">
        <f>'Activity data'!AR59*ManureNEF*NtoN2O*kgtoGg</f>
        <v>9.2365462182182861E-2</v>
      </c>
      <c r="AS100" s="22">
        <f>'Activity data'!AS59*ManureNEF*NtoN2O*kgtoGg</f>
        <v>9.2604367501801177E-2</v>
      </c>
      <c r="AT100" s="22">
        <f>'Activity data'!AT59*ManureNEF*NtoN2O*kgtoGg</f>
        <v>9.2859919241999239E-2</v>
      </c>
      <c r="AU100" s="22">
        <f>'Activity data'!AU59*ManureNEF*NtoN2O*kgtoGg</f>
        <v>9.3137712771680009E-2</v>
      </c>
      <c r="AV100" s="22">
        <f>'Activity data'!AV59*ManureNEF*NtoN2O*kgtoGg</f>
        <v>9.3431348833759018E-2</v>
      </c>
      <c r="AW100" s="22">
        <f>'Activity data'!AW59*ManureNEF*NtoN2O*kgtoGg</f>
        <v>9.3622243747156081E-2</v>
      </c>
      <c r="AX100" s="22">
        <f>'Activity data'!AX59*ManureNEF*NtoN2O*kgtoGg</f>
        <v>9.3832489393249188E-2</v>
      </c>
      <c r="AY100" s="22">
        <f>'Activity data'!AY59*ManureNEF*NtoN2O*kgtoGg</f>
        <v>9.4058834592495047E-2</v>
      </c>
      <c r="AZ100" s="22">
        <f>'Activity data'!AZ59*ManureNEF*NtoN2O*kgtoGg</f>
        <v>9.4303715176067421E-2</v>
      </c>
      <c r="BA100" s="22">
        <f>'Activity data'!BA59*ManureNEF*NtoN2O*kgtoGg</f>
        <v>9.4552871340274972E-2</v>
      </c>
      <c r="BB100" s="22">
        <f>'Activity data'!BB59*ManureNEF*NtoN2O*kgtoGg</f>
        <v>9.4700356369914307E-2</v>
      </c>
      <c r="BC100" s="22">
        <f>'Activity data'!BC59*ManureNEF*NtoN2O*kgtoGg</f>
        <v>9.4861767320555526E-2</v>
      </c>
      <c r="BD100" s="22">
        <f>'Activity data'!BD59*ManureNEF*NtoN2O*kgtoGg</f>
        <v>9.5032759889573118E-2</v>
      </c>
      <c r="BE100" s="22">
        <f>'Activity data'!BE59*ManureNEF*NtoN2O*kgtoGg</f>
        <v>9.5215576510501124E-2</v>
      </c>
      <c r="BF100" s="22">
        <f>'Activity data'!BF59*ManureNEF*NtoN2O*kgtoGg</f>
        <v>9.5408472492517202E-2</v>
      </c>
      <c r="BG100" s="22">
        <f>'Activity data'!BG59*ManureNEF*NtoN2O*kgtoGg</f>
        <v>9.5511329912132736E-2</v>
      </c>
      <c r="BH100" s="22">
        <f>'Activity data'!BH59*ManureNEF*NtoN2O*kgtoGg</f>
        <v>9.5621624392635218E-2</v>
      </c>
      <c r="BI100" s="22">
        <f>'Activity data'!BI59*ManureNEF*NtoN2O*kgtoGg</f>
        <v>9.5741057403988084E-2</v>
      </c>
      <c r="BJ100" s="22">
        <f>'Activity data'!BJ59*ManureNEF*NtoN2O*kgtoGg</f>
        <v>9.5869848923304843E-2</v>
      </c>
      <c r="BK100" s="22">
        <f>'Activity data'!BK59*ManureNEF*NtoN2O*kgtoGg</f>
        <v>9.6007913922706994E-2</v>
      </c>
      <c r="BL100" s="22">
        <f>'Activity data'!BL59*ManureNEF*NtoN2O*kgtoGg</f>
        <v>9.6054880378944288E-2</v>
      </c>
      <c r="BM100" s="22">
        <f>'Activity data'!BM59*ManureNEF*NtoN2O*kgtoGg</f>
        <v>9.6095649378466819E-2</v>
      </c>
      <c r="BN100" s="22">
        <f>'Activity data'!BN59*ManureNEF*NtoN2O*kgtoGg</f>
        <v>9.6142598245908498E-2</v>
      </c>
      <c r="BO100" s="22">
        <f>'Activity data'!BO59*ManureNEF*NtoN2O*kgtoGg</f>
        <v>9.6196937394502191E-2</v>
      </c>
      <c r="BP100" s="22">
        <f>'Activity data'!BP59*ManureNEF*NtoN2O*kgtoGg</f>
        <v>9.6257825424100524E-2</v>
      </c>
    </row>
    <row r="101" spans="1:68" x14ac:dyDescent="0.2">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2">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2">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0.12395129293471778</v>
      </c>
      <c r="AF103" s="22">
        <f>'Activity data'!AF62*ManureNEF*NtoN2O*kgtoGg</f>
        <v>0.12400689511310996</v>
      </c>
      <c r="AG103" s="22">
        <f>'Activity data'!AG62*ManureNEF*NtoN2O*kgtoGg</f>
        <v>0.12286841678965586</v>
      </c>
      <c r="AH103" s="22">
        <f>'Activity data'!AH62*ManureNEF*NtoN2O*kgtoGg</f>
        <v>0.12100901910045005</v>
      </c>
      <c r="AI103" s="22">
        <f>'Activity data'!AI62*ManureNEF*NtoN2O*kgtoGg</f>
        <v>0.11845842648899832</v>
      </c>
      <c r="AJ103" s="22">
        <f>'Activity data'!AJ62*ManureNEF*NtoN2O*kgtoGg</f>
        <v>0.11660641339960408</v>
      </c>
      <c r="AK103" s="22">
        <f>'Activity data'!AK62*ManureNEF*NtoN2O*kgtoGg</f>
        <v>0.11491827863139022</v>
      </c>
      <c r="AL103" s="22">
        <f>'Activity data'!AL62*ManureNEF*NtoN2O*kgtoGg</f>
        <v>0.10239148734853588</v>
      </c>
      <c r="AM103" s="22">
        <f>'Activity data'!AM62*ManureNEF*NtoN2O*kgtoGg</f>
        <v>0.10399015001119098</v>
      </c>
      <c r="AN103" s="22">
        <f>'Activity data'!AN62*ManureNEF*NtoN2O*kgtoGg</f>
        <v>0.10466911672478917</v>
      </c>
      <c r="AO103" s="22">
        <f>'Activity data'!AO62*ManureNEF*NtoN2O*kgtoGg</f>
        <v>0.10511626718572097</v>
      </c>
      <c r="AP103" s="22">
        <f>'Activity data'!AP62*ManureNEF*NtoN2O*kgtoGg</f>
        <v>0.10594424528482288</v>
      </c>
      <c r="AQ103" s="22">
        <f>'Activity data'!AQ62*ManureNEF*NtoN2O*kgtoGg</f>
        <v>0.10656092894002199</v>
      </c>
      <c r="AR103" s="22">
        <f>'Activity data'!AR62*ManureNEF*NtoN2O*kgtoGg</f>
        <v>0.10688440239408244</v>
      </c>
      <c r="AS103" s="22">
        <f>'Activity data'!AS62*ManureNEF*NtoN2O*kgtoGg</f>
        <v>0.10708259276512562</v>
      </c>
      <c r="AT103" s="22">
        <f>'Activity data'!AT62*ManureNEF*NtoN2O*kgtoGg</f>
        <v>0.10710947754337903</v>
      </c>
      <c r="AU103" s="22">
        <f>'Activity data'!AU62*ManureNEF*NtoN2O*kgtoGg</f>
        <v>0.1077314601885206</v>
      </c>
      <c r="AV103" s="22">
        <f>'Activity data'!AV62*ManureNEF*NtoN2O*kgtoGg</f>
        <v>0.10827475819020069</v>
      </c>
      <c r="AW103" s="22">
        <f>'Activity data'!AW62*ManureNEF*NtoN2O*kgtoGg</f>
        <v>0.1090564650607147</v>
      </c>
      <c r="AX103" s="22">
        <f>'Activity data'!AX62*ManureNEF*NtoN2O*kgtoGg</f>
        <v>0.11037691569913123</v>
      </c>
      <c r="AY103" s="22">
        <f>'Activity data'!AY62*ManureNEF*NtoN2O*kgtoGg</f>
        <v>0.11192323685515045</v>
      </c>
      <c r="AZ103" s="22">
        <f>'Activity data'!AZ62*ManureNEF*NtoN2O*kgtoGg</f>
        <v>0.1140168304907534</v>
      </c>
      <c r="BA103" s="22">
        <f>'Activity data'!BA62*ManureNEF*NtoN2O*kgtoGg</f>
        <v>0.11514704328773583</v>
      </c>
      <c r="BB103" s="22">
        <f>'Activity data'!BB62*ManureNEF*NtoN2O*kgtoGg</f>
        <v>0.11613416972234052</v>
      </c>
      <c r="BC103" s="22">
        <f>'Activity data'!BC62*ManureNEF*NtoN2O*kgtoGg</f>
        <v>0.1173747047819844</v>
      </c>
      <c r="BD103" s="22">
        <f>'Activity data'!BD62*ManureNEF*NtoN2O*kgtoGg</f>
        <v>0.11845175629546961</v>
      </c>
      <c r="BE103" s="22">
        <f>'Activity data'!BE62*ManureNEF*NtoN2O*kgtoGg</f>
        <v>0.11964350265273288</v>
      </c>
      <c r="BF103" s="22">
        <f>'Activity data'!BF62*ManureNEF*NtoN2O*kgtoGg</f>
        <v>0.12080595767564568</v>
      </c>
      <c r="BG103" s="22">
        <f>'Activity data'!BG62*ManureNEF*NtoN2O*kgtoGg</f>
        <v>0.12237101221025357</v>
      </c>
      <c r="BH103" s="22">
        <f>'Activity data'!BH62*ManureNEF*NtoN2O*kgtoGg</f>
        <v>0.12373005325826542</v>
      </c>
      <c r="BI103" s="22">
        <f>'Activity data'!BI62*ManureNEF*NtoN2O*kgtoGg</f>
        <v>0.12508788651498504</v>
      </c>
      <c r="BJ103" s="22">
        <f>'Activity data'!BJ62*ManureNEF*NtoN2O*kgtoGg</f>
        <v>0.12649394429591121</v>
      </c>
      <c r="BK103" s="22">
        <f>'Activity data'!BK62*ManureNEF*NtoN2O*kgtoGg</f>
        <v>0.12796403206190518</v>
      </c>
      <c r="BL103" s="22">
        <f>'Activity data'!BL62*ManureNEF*NtoN2O*kgtoGg</f>
        <v>0.12987984628529636</v>
      </c>
      <c r="BM103" s="22">
        <f>'Activity data'!BM62*ManureNEF*NtoN2O*kgtoGg</f>
        <v>0.13047315773125404</v>
      </c>
      <c r="BN103" s="22">
        <f>'Activity data'!BN62*ManureNEF*NtoN2O*kgtoGg</f>
        <v>0.13094704432863591</v>
      </c>
      <c r="BO103" s="22">
        <f>'Activity data'!BO62*ManureNEF*NtoN2O*kgtoGg</f>
        <v>0.13143575870732388</v>
      </c>
      <c r="BP103" s="22">
        <f>'Activity data'!BP62*ManureNEF*NtoN2O*kgtoGg</f>
        <v>0.13188303608420418</v>
      </c>
    </row>
    <row r="104" spans="1:68" x14ac:dyDescent="0.2">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3.1446916354757506E-2</v>
      </c>
      <c r="AF104" s="22">
        <f>'Activity data'!AF63*ManureNEF*NtoN2O*kgtoGg</f>
        <v>3.1461022839745632E-2</v>
      </c>
      <c r="AG104" s="22">
        <f>'Activity data'!AG63*ManureNEF*NtoN2O*kgtoGg</f>
        <v>3.1172186541537576E-2</v>
      </c>
      <c r="AH104" s="22">
        <f>'Activity data'!AH63*ManureNEF*NtoN2O*kgtoGg</f>
        <v>3.0700450247237842E-2</v>
      </c>
      <c r="AI104" s="22">
        <f>'Activity data'!AI63*ManureNEF*NtoN2O*kgtoGg</f>
        <v>3.0053355161673644E-2</v>
      </c>
      <c r="AJ104" s="22">
        <f>'Activity data'!AJ63*ManureNEF*NtoN2O*kgtoGg</f>
        <v>2.9583492368545926E-2</v>
      </c>
      <c r="AK104" s="22">
        <f>'Activity data'!AK63*ManureNEF*NtoN2O*kgtoGg</f>
        <v>2.9155206131309681E-2</v>
      </c>
      <c r="AL104" s="22">
        <f>'Activity data'!AL63*ManureNEF*NtoN2O*kgtoGg</f>
        <v>2.5977111346345238E-2</v>
      </c>
      <c r="AM104" s="22">
        <f>'Activity data'!AM63*ManureNEF*NtoN2O*kgtoGg</f>
        <v>2.6382698168730914E-2</v>
      </c>
      <c r="AN104" s="22">
        <f>'Activity data'!AN63*ManureNEF*NtoN2O*kgtoGg</f>
        <v>2.6554954616765158E-2</v>
      </c>
      <c r="AO104" s="22">
        <f>'Activity data'!AO63*ManureNEF*NtoN2O*kgtoGg</f>
        <v>2.6668398396252971E-2</v>
      </c>
      <c r="AP104" s="22">
        <f>'Activity data'!AP63*ManureNEF*NtoN2O*kgtoGg</f>
        <v>2.6878459601824591E-2</v>
      </c>
      <c r="AQ104" s="22">
        <f>'Activity data'!AQ63*ManureNEF*NtoN2O*kgtoGg</f>
        <v>2.7034914600100463E-2</v>
      </c>
      <c r="AR104" s="22">
        <f>'Activity data'!AR63*ManureNEF*NtoN2O*kgtoGg</f>
        <v>2.7116981050655197E-2</v>
      </c>
      <c r="AS104" s="22">
        <f>'Activity data'!AS63*ManureNEF*NtoN2O*kgtoGg</f>
        <v>2.7167262704625481E-2</v>
      </c>
      <c r="AT104" s="22">
        <f>'Activity data'!AT63*ManureNEF*NtoN2O*kgtoGg</f>
        <v>2.7174083475534235E-2</v>
      </c>
      <c r="AU104" s="22">
        <f>'Activity data'!AU63*ManureNEF*NtoN2O*kgtoGg</f>
        <v>2.7331882847793948E-2</v>
      </c>
      <c r="AV104" s="22">
        <f>'Activity data'!AV63*ManureNEF*NtoN2O*kgtoGg</f>
        <v>2.7469719625531634E-2</v>
      </c>
      <c r="AW104" s="22">
        <f>'Activity data'!AW63*ManureNEF*NtoN2O*kgtoGg</f>
        <v>2.7668041643712917E-2</v>
      </c>
      <c r="AX104" s="22">
        <f>'Activity data'!AX63*ManureNEF*NtoN2O*kgtoGg</f>
        <v>2.8003045013131105E-2</v>
      </c>
      <c r="AY104" s="22">
        <f>'Activity data'!AY63*ManureNEF*NtoN2O*kgtoGg</f>
        <v>2.8395352595404884E-2</v>
      </c>
      <c r="AZ104" s="22">
        <f>'Activity data'!AZ63*ManureNEF*NtoN2O*kgtoGg</f>
        <v>2.8926505295637978E-2</v>
      </c>
      <c r="BA104" s="22">
        <f>'Activity data'!BA63*ManureNEF*NtoN2O*kgtoGg</f>
        <v>2.9213244598216302E-2</v>
      </c>
      <c r="BB104" s="22">
        <f>'Activity data'!BB63*ManureNEF*NtoN2O*kgtoGg</f>
        <v>2.9463682344250404E-2</v>
      </c>
      <c r="BC104" s="22">
        <f>'Activity data'!BC63*ManureNEF*NtoN2O*kgtoGg</f>
        <v>2.9778410826157509E-2</v>
      </c>
      <c r="BD104" s="22">
        <f>'Activity data'!BD63*ManureNEF*NtoN2O*kgtoGg</f>
        <v>3.0051662908103689E-2</v>
      </c>
      <c r="BE104" s="22">
        <f>'Activity data'!BE63*ManureNEF*NtoN2O*kgtoGg</f>
        <v>3.0354013509905672E-2</v>
      </c>
      <c r="BF104" s="22">
        <f>'Activity data'!BF63*ManureNEF*NtoN2O*kgtoGg</f>
        <v>3.0648932788327074E-2</v>
      </c>
      <c r="BG104" s="22">
        <f>'Activity data'!BG63*ManureNEF*NtoN2O*kgtoGg</f>
        <v>3.1045993100286617E-2</v>
      </c>
      <c r="BH104" s="22">
        <f>'Activity data'!BH63*ManureNEF*NtoN2O*kgtoGg</f>
        <v>3.1390787003985711E-2</v>
      </c>
      <c r="BI104" s="22">
        <f>'Activity data'!BI63*ManureNEF*NtoN2O*kgtoGg</f>
        <v>3.1735274486421723E-2</v>
      </c>
      <c r="BJ104" s="22">
        <f>'Activity data'!BJ63*ManureNEF*NtoN2O*kgtoGg</f>
        <v>3.2091996714805643E-2</v>
      </c>
      <c r="BK104" s="22">
        <f>'Activity data'!BK63*ManureNEF*NtoN2O*kgtoGg</f>
        <v>3.2464963594914874E-2</v>
      </c>
      <c r="BL104" s="22">
        <f>'Activity data'!BL63*ManureNEF*NtoN2O*kgtoGg</f>
        <v>3.2951012979377248E-2</v>
      </c>
      <c r="BM104" s="22">
        <f>'Activity data'!BM63*ManureNEF*NtoN2O*kgtoGg</f>
        <v>3.3101538358916271E-2</v>
      </c>
      <c r="BN104" s="22">
        <f>'Activity data'!BN63*ManureNEF*NtoN2O*kgtoGg</f>
        <v>3.3221765198319694E-2</v>
      </c>
      <c r="BO104" s="22">
        <f>'Activity data'!BO63*ManureNEF*NtoN2O*kgtoGg</f>
        <v>3.3345753902463859E-2</v>
      </c>
      <c r="BP104" s="22">
        <f>'Activity data'!BP63*ManureNEF*NtoN2O*kgtoGg</f>
        <v>3.3459229881012437E-2</v>
      </c>
    </row>
    <row r="105" spans="1:68" x14ac:dyDescent="0.2">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0.15700744358616764</v>
      </c>
      <c r="AE105" s="22">
        <f>'Activity data'!AE64*ManureNEF*NtoN2O*kgtoGg</f>
        <v>0.16019971617730661</v>
      </c>
      <c r="AF105" s="22">
        <f>'Activity data'!AF64*ManureNEF*NtoN2O*kgtoGg</f>
        <v>0.16393118028621728</v>
      </c>
      <c r="AG105" s="22">
        <f>'Activity data'!AG64*ManureNEF*NtoN2O*kgtoGg</f>
        <v>0.1667959170810015</v>
      </c>
      <c r="AH105" s="22">
        <f>'Activity data'!AH64*ManureNEF*NtoN2O*kgtoGg</f>
        <v>0.16909558154641688</v>
      </c>
      <c r="AI105" s="22">
        <f>'Activity data'!AI64*ManureNEF*NtoN2O*kgtoGg</f>
        <v>0.1708164974258628</v>
      </c>
      <c r="AJ105" s="22">
        <f>'Activity data'!AJ64*ManureNEF*NtoN2O*kgtoGg</f>
        <v>0.17302318661183388</v>
      </c>
      <c r="AK105" s="22">
        <f>'Activity data'!AK64*ManureNEF*NtoN2O*kgtoGg</f>
        <v>0.17531753251219051</v>
      </c>
      <c r="AL105" s="22">
        <f>'Activity data'!AL64*ManureNEF*NtoN2O*kgtoGg</f>
        <v>0.16830476873000083</v>
      </c>
      <c r="AM105" s="22">
        <f>'Activity data'!AM64*ManureNEF*NtoN2O*kgtoGg</f>
        <v>0.17276871314198702</v>
      </c>
      <c r="AN105" s="22">
        <f>'Activity data'!AN64*ManureNEF*NtoN2O*kgtoGg</f>
        <v>0.1764934307199863</v>
      </c>
      <c r="AO105" s="22">
        <f>'Activity data'!AO64*ManureNEF*NtoN2O*kgtoGg</f>
        <v>0.18005524898156572</v>
      </c>
      <c r="AP105" s="22">
        <f>'Activity data'!AP64*ManureNEF*NtoN2O*kgtoGg</f>
        <v>0.1840152127784149</v>
      </c>
      <c r="AQ105" s="22">
        <f>'Activity data'!AQ64*ManureNEF*NtoN2O*kgtoGg</f>
        <v>0.18783261457873554</v>
      </c>
      <c r="AR105" s="22">
        <f>'Activity data'!AR64*ManureNEF*NtoN2O*kgtoGg</f>
        <v>0.1912601747651877</v>
      </c>
      <c r="AS105" s="22">
        <f>'Activity data'!AS64*ManureNEF*NtoN2O*kgtoGg</f>
        <v>0.19460208719398481</v>
      </c>
      <c r="AT105" s="22">
        <f>'Activity data'!AT64*ManureNEF*NtoN2O*kgtoGg</f>
        <v>0.1978054102854529</v>
      </c>
      <c r="AU105" s="22">
        <f>'Activity data'!AU64*ManureNEF*NtoN2O*kgtoGg</f>
        <v>0.20165714923615963</v>
      </c>
      <c r="AV105" s="22">
        <f>'Activity data'!AV64*ManureNEF*NtoN2O*kgtoGg</f>
        <v>0.2054824805874291</v>
      </c>
      <c r="AW105" s="22">
        <f>'Activity data'!AW64*ManureNEF*NtoN2O*kgtoGg</f>
        <v>0.20949194963752207</v>
      </c>
      <c r="AX105" s="22">
        <f>'Activity data'!AX64*ManureNEF*NtoN2O*kgtoGg</f>
        <v>0.21416106283362638</v>
      </c>
      <c r="AY105" s="22">
        <f>'Activity data'!AY64*ManureNEF*NtoN2O*kgtoGg</f>
        <v>0.21917521895804776</v>
      </c>
      <c r="AZ105" s="22">
        <f>'Activity data'!AZ64*ManureNEF*NtoN2O*kgtoGg</f>
        <v>0.2249205996408121</v>
      </c>
      <c r="BA105" s="22">
        <f>'Activity data'!BA64*ManureNEF*NtoN2O*kgtoGg</f>
        <v>0.22966975525024821</v>
      </c>
      <c r="BB105" s="22">
        <f>'Activity data'!BB64*ManureNEF*NtoN2O*kgtoGg</f>
        <v>0.23421374773731693</v>
      </c>
      <c r="BC105" s="22">
        <f>'Activity data'!BC64*ManureNEF*NtoN2O*kgtoGg</f>
        <v>0.23914977762419984</v>
      </c>
      <c r="BD105" s="22">
        <f>'Activity data'!BD64*ManureNEF*NtoN2O*kgtoGg</f>
        <v>0.24398161276357982</v>
      </c>
      <c r="BE105" s="22">
        <f>'Activity data'!BE64*ManureNEF*NtoN2O*kgtoGg</f>
        <v>0.24905154645514979</v>
      </c>
      <c r="BF105" s="22">
        <f>'Activity data'!BF64*ManureNEF*NtoN2O*kgtoGg</f>
        <v>0.25418530178524701</v>
      </c>
      <c r="BG105" s="22">
        <f>'Activity data'!BG64*ManureNEF*NtoN2O*kgtoGg</f>
        <v>0.25983124395687562</v>
      </c>
      <c r="BH105" s="22">
        <f>'Activity data'!BH64*ManureNEF*NtoN2O*kgtoGg</f>
        <v>0.26532627660152752</v>
      </c>
      <c r="BI105" s="22">
        <f>'Activity data'!BI64*ManureNEF*NtoN2O*kgtoGg</f>
        <v>0.27093697485535539</v>
      </c>
      <c r="BJ105" s="22">
        <f>'Activity data'!BJ64*ManureNEF*NtoN2O*kgtoGg</f>
        <v>0.27673510691469561</v>
      </c>
      <c r="BK105" s="22">
        <f>'Activity data'!BK64*ManureNEF*NtoN2O*kgtoGg</f>
        <v>0.28275020857350047</v>
      </c>
      <c r="BL105" s="22">
        <f>'Activity data'!BL64*ManureNEF*NtoN2O*kgtoGg</f>
        <v>0.28941803313014858</v>
      </c>
      <c r="BM105" s="22">
        <f>'Activity data'!BM64*ManureNEF*NtoN2O*kgtoGg</f>
        <v>0.29430967875904612</v>
      </c>
      <c r="BN105" s="22">
        <f>'Activity data'!BN64*ManureNEF*NtoN2O*kgtoGg</f>
        <v>0.29911626555567689</v>
      </c>
      <c r="BO105" s="22">
        <f>'Activity data'!BO64*ManureNEF*NtoN2O*kgtoGg</f>
        <v>0.30403482357185191</v>
      </c>
      <c r="BP105" s="22">
        <f>'Activity data'!BP64*ManureNEF*NtoN2O*kgtoGg</f>
        <v>0.30898254148510845</v>
      </c>
    </row>
    <row r="106" spans="1:68" x14ac:dyDescent="0.2">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0.78620275218739033</v>
      </c>
      <c r="AE106" s="22">
        <f>'Activity data'!AE65*ManureNEF*NtoN2O*kgtoGg</f>
        <v>0.7965556372017637</v>
      </c>
      <c r="AF106" s="22">
        <f>'Activity data'!AF65*ManureNEF*NtoN2O*kgtoGg</f>
        <v>0.8131853402467214</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0.79997057217510736</v>
      </c>
      <c r="AK106" s="22">
        <f>'Activity data'!AK65*ManureNEF*NtoN2O*kgtoGg</f>
        <v>0.79652072541357799</v>
      </c>
      <c r="AL106" s="22">
        <f>'Activity data'!AL65*ManureNEF*NtoN2O*kgtoGg</f>
        <v>0.68093953459407419</v>
      </c>
      <c r="AM106" s="22">
        <f>'Activity data'!AM65*ManureNEF*NtoN2O*kgtoGg</f>
        <v>0.71095217743742134</v>
      </c>
      <c r="AN106" s="22">
        <f>'Activity data'!AN65*ManureNEF*NtoN2O*kgtoGg</f>
        <v>0.73163451860770856</v>
      </c>
      <c r="AO106" s="22">
        <f>'Activity data'!AO65*ManureNEF*NtoN2O*kgtoGg</f>
        <v>0.74998966017271962</v>
      </c>
      <c r="AP106" s="22">
        <f>'Activity data'!AP65*ManureNEF*NtoN2O*kgtoGg</f>
        <v>0.77258910732812447</v>
      </c>
      <c r="AQ106" s="22">
        <f>'Activity data'!AQ65*ManureNEF*NtoN2O*kgtoGg</f>
        <v>0.79310210321227914</v>
      </c>
      <c r="AR106" s="22">
        <f>'Activity data'!AR65*ManureNEF*NtoN2O*kgtoGg</f>
        <v>0.81120771116014501</v>
      </c>
      <c r="AS106" s="22">
        <f>'Activity data'!AS65*ManureNEF*NtoN2O*kgtoGg</f>
        <v>0.82802988036578451</v>
      </c>
      <c r="AT106" s="22">
        <f>'Activity data'!AT65*ManureNEF*NtoN2O*kgtoGg</f>
        <v>0.84300341806804124</v>
      </c>
      <c r="AU106" s="22">
        <f>'Activity data'!AU65*ManureNEF*NtoN2O*kgtoGg</f>
        <v>0.86494223642860679</v>
      </c>
      <c r="AV106" s="22">
        <f>'Activity data'!AV65*ManureNEF*NtoN2O*kgtoGg</f>
        <v>0.88622290534488479</v>
      </c>
      <c r="AW106" s="22">
        <f>'Activity data'!AW65*ManureNEF*NtoN2O*kgtoGg</f>
        <v>0.91112086440699802</v>
      </c>
      <c r="AX106" s="22">
        <f>'Activity data'!AX65*ManureNEF*NtoN2O*kgtoGg</f>
        <v>0.94284673608655079</v>
      </c>
      <c r="AY106" s="22">
        <f>'Activity data'!AY65*ManureNEF*NtoN2O*kgtoGg</f>
        <v>0.97785291166286403</v>
      </c>
      <c r="AZ106" s="22">
        <f>'Activity data'!AZ65*ManureNEF*NtoN2O*kgtoGg</f>
        <v>1.0202297421822766</v>
      </c>
      <c r="BA106" s="22">
        <f>'Activity data'!BA65*ManureNEF*NtoN2O*kgtoGg</f>
        <v>1.0513780855146408</v>
      </c>
      <c r="BB106" s="22">
        <f>'Activity data'!BB65*ManureNEF*NtoN2O*kgtoGg</f>
        <v>1.0817366322153388</v>
      </c>
      <c r="BC106" s="22">
        <f>'Activity data'!BC65*ManureNEF*NtoN2O*kgtoGg</f>
        <v>1.1158458345440128</v>
      </c>
      <c r="BD106" s="22">
        <f>'Activity data'!BD65*ManureNEF*NtoN2O*kgtoGg</f>
        <v>1.1484374065317347</v>
      </c>
      <c r="BE106" s="22">
        <f>'Activity data'!BE65*ManureNEF*NtoN2O*kgtoGg</f>
        <v>1.1831076882134564</v>
      </c>
      <c r="BF106" s="22">
        <f>'Activity data'!BF65*ManureNEF*NtoN2O*kgtoGg</f>
        <v>1.2180177066709783</v>
      </c>
      <c r="BG106" s="22">
        <f>'Activity data'!BG65*ManureNEF*NtoN2O*kgtoGg</f>
        <v>1.2594503323832682</v>
      </c>
      <c r="BH106" s="22">
        <f>'Activity data'!BH65*ManureNEF*NtoN2O*kgtoGg</f>
        <v>1.298872537028497</v>
      </c>
      <c r="BI106" s="22">
        <f>'Activity data'!BI65*ManureNEF*NtoN2O*kgtoGg</f>
        <v>1.3390342962428967</v>
      </c>
      <c r="BJ106" s="22">
        <f>'Activity data'!BJ65*ManureNEF*NtoN2O*kgtoGg</f>
        <v>1.3806522745115721</v>
      </c>
      <c r="BK106" s="22">
        <f>'Activity data'!BK65*ManureNEF*NtoN2O*kgtoGg</f>
        <v>1.4240025047133247</v>
      </c>
      <c r="BL106" s="22">
        <f>'Activity data'!BL65*ManureNEF*NtoN2O*kgtoGg</f>
        <v>1.4750856789053959</v>
      </c>
      <c r="BM106" s="22">
        <f>'Activity data'!BM65*ManureNEF*NtoN2O*kgtoGg</f>
        <v>1.5079842325146011</v>
      </c>
      <c r="BN106" s="22">
        <f>'Activity data'!BN65*ManureNEF*NtoN2O*kgtoGg</f>
        <v>1.5397226946349756</v>
      </c>
      <c r="BO106" s="22">
        <f>'Activity data'!BO65*ManureNEF*NtoN2O*kgtoGg</f>
        <v>1.5722599858562425</v>
      </c>
      <c r="BP106" s="22">
        <f>'Activity data'!BP65*ManureNEF*NtoN2O*kgtoGg</f>
        <v>1.6047748091186307</v>
      </c>
    </row>
    <row r="107" spans="1:68" x14ac:dyDescent="0.2">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2">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1.0836040032789309</v>
      </c>
      <c r="AF108" s="22">
        <f>'Activity data'!AF67*UDCPPEF*NtoN2O*kgtoGg</f>
        <v>1.0921513426512339</v>
      </c>
      <c r="AG108" s="22">
        <f>'Activity data'!AG67*UDCPPEF*NtoN2O*kgtoGg</f>
        <v>1.0976439186771809</v>
      </c>
      <c r="AH108" s="22">
        <f>'Activity data'!AH67*UDCPPEF*NtoN2O*kgtoGg</f>
        <v>1.1012937605673541</v>
      </c>
      <c r="AI108" s="22">
        <f>'Activity data'!AI67*UDCPPEF*NtoN2O*kgtoGg</f>
        <v>1.1030649457277464</v>
      </c>
      <c r="AJ108" s="22">
        <f>'Activity data'!AJ67*UDCPPEF*NtoN2O*kgtoGg</f>
        <v>1.1069781529146336</v>
      </c>
      <c r="AK108" s="22">
        <f>'Activity data'!AK67*UDCPPEF*NtoN2O*kgtoGg</f>
        <v>1.1114672588381171</v>
      </c>
      <c r="AL108" s="22">
        <f>'Activity data'!AL67*UDCPPEF*NtoN2O*kgtoGg</f>
        <v>1.0810406006779549</v>
      </c>
      <c r="AM108" s="22">
        <f>'Activity data'!AM67*UDCPPEF*NtoN2O*kgtoGg</f>
        <v>1.0934641088719885</v>
      </c>
      <c r="AN108" s="22">
        <f>'Activity data'!AN67*UDCPPEF*NtoN2O*kgtoGg</f>
        <v>1.1031992381450169</v>
      </c>
      <c r="AO108" s="22">
        <f>'Activity data'!AO67*UDCPPEF*NtoN2O*kgtoGg</f>
        <v>1.1124222034300566</v>
      </c>
      <c r="AP108" s="22">
        <f>'Activity data'!AP67*UDCPPEF*NtoN2O*kgtoGg</f>
        <v>1.123204750861388</v>
      </c>
      <c r="AQ108" s="22">
        <f>'Activity data'!AQ67*UDCPPEF*NtoN2O*kgtoGg</f>
        <v>1.1335309064238068</v>
      </c>
      <c r="AR108" s="22">
        <f>'Activity data'!AR67*UDCPPEF*NtoN2O*kgtoGg</f>
        <v>1.1421913822066523</v>
      </c>
      <c r="AS108" s="22">
        <f>'Activity data'!AS67*UDCPPEF*NtoN2O*kgtoGg</f>
        <v>1.1506113165744176</v>
      </c>
      <c r="AT108" s="22">
        <f>'Activity data'!AT67*UDCPPEF*NtoN2O*kgtoGg</f>
        <v>1.1585977369609775</v>
      </c>
      <c r="AU108" s="22">
        <f>'Activity data'!AU67*UDCPPEF*NtoN2O*kgtoGg</f>
        <v>1.1689866502425044</v>
      </c>
      <c r="AV108" s="22">
        <f>'Activity data'!AV67*UDCPPEF*NtoN2O*kgtoGg</f>
        <v>1.179322142127879</v>
      </c>
      <c r="AW108" s="22">
        <f>'Activity data'!AW67*UDCPPEF*NtoN2O*kgtoGg</f>
        <v>1.1901050491082561</v>
      </c>
      <c r="AX108" s="22">
        <f>'Activity data'!AX67*UDCPPEF*NtoN2O*kgtoGg</f>
        <v>1.2032599534885204</v>
      </c>
      <c r="AY108" s="22">
        <f>'Activity data'!AY67*UDCPPEF*NtoN2O*kgtoGg</f>
        <v>1.2176412709045177</v>
      </c>
      <c r="AZ108" s="22">
        <f>'Activity data'!AZ67*UDCPPEF*NtoN2O*kgtoGg</f>
        <v>1.2345938865918005</v>
      </c>
      <c r="BA108" s="22">
        <f>'Activity data'!BA67*UDCPPEF*NtoN2O*kgtoGg</f>
        <v>1.2480204008779516</v>
      </c>
      <c r="BB108" s="22">
        <f>'Activity data'!BB67*UDCPPEF*NtoN2O*kgtoGg</f>
        <v>1.2604934871451285</v>
      </c>
      <c r="BC108" s="22">
        <f>'Activity data'!BC67*UDCPPEF*NtoN2O*kgtoGg</f>
        <v>1.2743340482246315</v>
      </c>
      <c r="BD108" s="22">
        <f>'Activity data'!BD67*UDCPPEF*NtoN2O*kgtoGg</f>
        <v>1.2878029781490608</v>
      </c>
      <c r="BE108" s="22">
        <f>'Activity data'!BE67*UDCPPEF*NtoN2O*kgtoGg</f>
        <v>1.302087430895273</v>
      </c>
      <c r="BF108" s="22">
        <f>'Activity data'!BF67*UDCPPEF*NtoN2O*kgtoGg</f>
        <v>1.3165772246053524</v>
      </c>
      <c r="BG108" s="22">
        <f>'Activity data'!BG67*UDCPPEF*NtoN2O*kgtoGg</f>
        <v>1.3325905811769112</v>
      </c>
      <c r="BH108" s="22">
        <f>'Activity data'!BH67*UDCPPEF*NtoN2O*kgtoGg</f>
        <v>1.3480569944390275</v>
      </c>
      <c r="BI108" s="22">
        <f>'Activity data'!BI67*UDCPPEF*NtoN2O*kgtoGg</f>
        <v>1.3638910811882956</v>
      </c>
      <c r="BJ108" s="22">
        <f>'Activity data'!BJ67*UDCPPEF*NtoN2O*kgtoGg</f>
        <v>1.3803329285303612</v>
      </c>
      <c r="BK108" s="22">
        <f>'Activity data'!BK67*UDCPPEF*NtoN2O*kgtoGg</f>
        <v>1.3974765343324473</v>
      </c>
      <c r="BL108" s="22">
        <f>'Activity data'!BL67*UDCPPEF*NtoN2O*kgtoGg</f>
        <v>1.4165658117844762</v>
      </c>
      <c r="BM108" s="22">
        <f>'Activity data'!BM67*UDCPPEF*NtoN2O*kgtoGg</f>
        <v>1.4296216900778926</v>
      </c>
      <c r="BN108" s="22">
        <f>'Activity data'!BN67*UDCPPEF*NtoN2O*kgtoGg</f>
        <v>1.4423773000489271</v>
      </c>
      <c r="BO108" s="22">
        <f>'Activity data'!BO67*UDCPPEF*NtoN2O*kgtoGg</f>
        <v>1.4554943578736881</v>
      </c>
      <c r="BP108" s="22">
        <f>'Activity data'!BP67*UDCPPEF*NtoN2O*kgtoGg</f>
        <v>1.468692881818767</v>
      </c>
    </row>
    <row r="109" spans="1:68" x14ac:dyDescent="0.2">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0.73794174034663862</v>
      </c>
      <c r="AF109" s="22">
        <f>'Activity data'!AF68*UDCPPEF*NtoN2O*kgtoGg</f>
        <v>0.74376253694082328</v>
      </c>
      <c r="AG109" s="22">
        <f>'Activity data'!AG68*UDCPPEF*NtoN2O*kgtoGg</f>
        <v>0.74750301879518044</v>
      </c>
      <c r="AH109" s="22">
        <f>'Activity data'!AH68*UDCPPEF*NtoN2O*kgtoGg</f>
        <v>0.74998858609492669</v>
      </c>
      <c r="AI109" s="22">
        <f>'Activity data'!AI68*UDCPPEF*NtoN2O*kgtoGg</f>
        <v>0.75119477530775824</v>
      </c>
      <c r="AJ109" s="22">
        <f>'Activity data'!AJ68*UDCPPEF*NtoN2O*kgtoGg</f>
        <v>0.7538596961765357</v>
      </c>
      <c r="AK109" s="22">
        <f>'Activity data'!AK68*UDCPPEF*NtoN2O*kgtoGg</f>
        <v>0.75691680802528427</v>
      </c>
      <c r="AL109" s="22">
        <f>'Activity data'!AL68*UDCPPEF*NtoN2O*kgtoGg</f>
        <v>0.73619604563634833</v>
      </c>
      <c r="AM109" s="22">
        <f>'Activity data'!AM68*UDCPPEF*NtoN2O*kgtoGg</f>
        <v>0.74465653971921864</v>
      </c>
      <c r="AN109" s="22">
        <f>'Activity data'!AN68*UDCPPEF*NtoN2O*kgtoGg</f>
        <v>0.75128622936275991</v>
      </c>
      <c r="AO109" s="22">
        <f>'Activity data'!AO68*UDCPPEF*NtoN2O*kgtoGg</f>
        <v>0.75756713182620983</v>
      </c>
      <c r="AP109" s="22">
        <f>'Activity data'!AP68*UDCPPEF*NtoN2O*kgtoGg</f>
        <v>0.76491012040208251</v>
      </c>
      <c r="AQ109" s="22">
        <f>'Activity data'!AQ68*UDCPPEF*NtoN2O*kgtoGg</f>
        <v>0.77194230299255218</v>
      </c>
      <c r="AR109" s="22">
        <f>'Activity data'!AR68*UDCPPEF*NtoN2O*kgtoGg</f>
        <v>0.77784014625640541</v>
      </c>
      <c r="AS109" s="22">
        <f>'Activity data'!AS68*UDCPPEF*NtoN2O*kgtoGg</f>
        <v>0.78357417917078342</v>
      </c>
      <c r="AT109" s="22">
        <f>'Activity data'!AT68*UDCPPEF*NtoN2O*kgtoGg</f>
        <v>0.78901298609781978</v>
      </c>
      <c r="AU109" s="22">
        <f>'Activity data'!AU68*UDCPPEF*NtoN2O*kgtoGg</f>
        <v>0.79608790712439581</v>
      </c>
      <c r="AV109" s="22">
        <f>'Activity data'!AV68*UDCPPEF*NtoN2O*kgtoGg</f>
        <v>0.80312644781467857</v>
      </c>
      <c r="AW109" s="22">
        <f>'Activity data'!AW68*UDCPPEF*NtoN2O*kgtoGg</f>
        <v>0.81046968124591112</v>
      </c>
      <c r="AX109" s="22">
        <f>'Activity data'!AX68*UDCPPEF*NtoN2O*kgtoGg</f>
        <v>0.81942826113588163</v>
      </c>
      <c r="AY109" s="22">
        <f>'Activity data'!AY68*UDCPPEF*NtoN2O*kgtoGg</f>
        <v>0.8292220366944113</v>
      </c>
      <c r="AZ109" s="22">
        <f>'Activity data'!AZ68*UDCPPEF*NtoN2O*kgtoGg</f>
        <v>0.84076688396873545</v>
      </c>
      <c r="BA109" s="22">
        <f>'Activity data'!BA68*UDCPPEF*NtoN2O*kgtoGg</f>
        <v>0.84991043206299322</v>
      </c>
      <c r="BB109" s="22">
        <f>'Activity data'!BB68*UDCPPEF*NtoN2O*kgtoGg</f>
        <v>0.85840468915289159</v>
      </c>
      <c r="BC109" s="22">
        <f>'Activity data'!BC68*UDCPPEF*NtoN2O*kgtoGg</f>
        <v>0.86783020594636673</v>
      </c>
      <c r="BD109" s="22">
        <f>'Activity data'!BD68*UDCPPEF*NtoN2O*kgtoGg</f>
        <v>0.87700263938050371</v>
      </c>
      <c r="BE109" s="22">
        <f>'Activity data'!BE68*UDCPPEF*NtoN2O*kgtoGg</f>
        <v>0.8867304494361532</v>
      </c>
      <c r="BF109" s="22">
        <f>'Activity data'!BF68*UDCPPEF*NtoN2O*kgtoGg</f>
        <v>0.89659809809315782</v>
      </c>
      <c r="BG109" s="22">
        <f>'Activity data'!BG68*UDCPPEF*NtoN2O*kgtoGg</f>
        <v>0.90750330348317998</v>
      </c>
      <c r="BH109" s="22">
        <f>'Activity data'!BH68*UDCPPEF*NtoN2O*kgtoGg</f>
        <v>0.91803603673723821</v>
      </c>
      <c r="BI109" s="22">
        <f>'Activity data'!BI68*UDCPPEF*NtoN2O*kgtoGg</f>
        <v>0.92881915815170113</v>
      </c>
      <c r="BJ109" s="22">
        <f>'Activity data'!BJ68*UDCPPEF*NtoN2O*kgtoGg</f>
        <v>0.94001616868821003</v>
      </c>
      <c r="BK109" s="22">
        <f>'Activity data'!BK68*UDCPPEF*NtoN2O*kgtoGg</f>
        <v>0.95169108153748594</v>
      </c>
      <c r="BL109" s="22">
        <f>'Activity data'!BL68*UDCPPEF*NtoN2O*kgtoGg</f>
        <v>0.9646910100928292</v>
      </c>
      <c r="BM109" s="22">
        <f>'Activity data'!BM68*UDCPPEF*NtoN2O*kgtoGg</f>
        <v>0.97358215254011127</v>
      </c>
      <c r="BN109" s="22">
        <f>'Activity data'!BN68*UDCPPEF*NtoN2O*kgtoGg</f>
        <v>0.98226881020538814</v>
      </c>
      <c r="BO109" s="22">
        <f>'Activity data'!BO68*UDCPPEF*NtoN2O*kgtoGg</f>
        <v>0.99120161633211146</v>
      </c>
      <c r="BP109" s="22">
        <f>'Activity data'!BP68*UDCPPEF*NtoN2O*kgtoGg</f>
        <v>1.0001899014441695</v>
      </c>
    </row>
    <row r="110" spans="1:68" x14ac:dyDescent="0.2">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15.353527292296844</v>
      </c>
      <c r="AE110" s="22">
        <f>'Activity data'!AE69*UDCPPEF*NtoN2O*kgtoGg</f>
        <v>15.220371053361493</v>
      </c>
      <c r="AF110" s="22">
        <f>'Activity data'!AF69*UDCPPEF*NtoN2O*kgtoGg</f>
        <v>15.169682504177887</v>
      </c>
      <c r="AG110" s="22">
        <f>'Activity data'!AG69*UDCPPEF*NtoN2O*kgtoGg</f>
        <v>14.967111251021189</v>
      </c>
      <c r="AH110" s="22">
        <f>'Activity data'!AH69*UDCPPEF*NtoN2O*kgtoGg</f>
        <v>14.673074129931962</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12.169037780121926</v>
      </c>
      <c r="AM110" s="22">
        <f>'Activity data'!AM69*UDCPPEF*NtoN2O*kgtoGg</f>
        <v>12.401807134203059</v>
      </c>
      <c r="AN110" s="22">
        <f>'Activity data'!AN69*UDCPPEF*NtoN2O*kgtoGg</f>
        <v>12.526260010284002</v>
      </c>
      <c r="AO110" s="22">
        <f>'Activity data'!AO69*UDCPPEF*NtoN2O*kgtoGg</f>
        <v>12.622062683352066</v>
      </c>
      <c r="AP110" s="22">
        <f>'Activity data'!AP69*UDCPPEF*NtoN2O*kgtoGg</f>
        <v>12.760674268300837</v>
      </c>
      <c r="AQ110" s="22">
        <f>'Activity data'!AQ69*UDCPPEF*NtoN2O*kgtoGg</f>
        <v>12.873164971451276</v>
      </c>
      <c r="AR110" s="22">
        <f>'Activity data'!AR69*UDCPPEF*NtoN2O*kgtoGg</f>
        <v>12.945682732607438</v>
      </c>
      <c r="AS110" s="22">
        <f>'Activity data'!AS69*UDCPPEF*NtoN2O*kgtoGg</f>
        <v>13.002132383564884</v>
      </c>
      <c r="AT110" s="22">
        <f>'Activity data'!AT69*UDCPPEF*NtoN2O*kgtoGg</f>
        <v>13.037118833745307</v>
      </c>
      <c r="AU110" s="22">
        <f>'Activity data'!AU69*UDCPPEF*NtoN2O*kgtoGg</f>
        <v>13.140692477306542</v>
      </c>
      <c r="AV110" s="22">
        <f>'Activity data'!AV69*UDCPPEF*NtoN2O*kgtoGg</f>
        <v>13.233883747502103</v>
      </c>
      <c r="AW110" s="22">
        <f>'Activity data'!AW69*UDCPPEF*NtoN2O*kgtoGg</f>
        <v>13.23869020405356</v>
      </c>
      <c r="AX110" s="22">
        <f>'Activity data'!AX69*UDCPPEF*NtoN2O*kgtoGg</f>
        <v>13.301119774765679</v>
      </c>
      <c r="AY110" s="22">
        <f>'Activity data'!AY69*UDCPPEF*NtoN2O*kgtoGg</f>
        <v>13.383674683163292</v>
      </c>
      <c r="AZ110" s="22">
        <f>'Activity data'!AZ69*UDCPPEF*NtoN2O*kgtoGg</f>
        <v>13.522276087147475</v>
      </c>
      <c r="BA110" s="22">
        <f>'Activity data'!BA69*UDCPPEF*NtoN2O*kgtoGg</f>
        <v>13.544412944106279</v>
      </c>
      <c r="BB110" s="22">
        <f>'Activity data'!BB69*UDCPPEF*NtoN2O*kgtoGg</f>
        <v>13.542089215214004</v>
      </c>
      <c r="BC110" s="22">
        <f>'Activity data'!BC69*UDCPPEF*NtoN2O*kgtoGg</f>
        <v>13.562424652219031</v>
      </c>
      <c r="BD110" s="22">
        <f>'Activity data'!BD69*UDCPPEF*NtoN2O*kgtoGg</f>
        <v>13.558671299619801</v>
      </c>
      <c r="BE110" s="22">
        <f>'Activity data'!BE69*UDCPPEF*NtoN2O*kgtoGg</f>
        <v>13.561543071773121</v>
      </c>
      <c r="BF110" s="22">
        <f>'Activity data'!BF69*UDCPPEF*NtoN2O*kgtoGg</f>
        <v>13.555025657095664</v>
      </c>
      <c r="BG110" s="22">
        <f>'Activity data'!BG69*UDCPPEF*NtoN2O*kgtoGg</f>
        <v>13.65231474834372</v>
      </c>
      <c r="BH110" s="22">
        <f>'Activity data'!BH69*UDCPPEF*NtoN2O*kgtoGg</f>
        <v>13.72348724176244</v>
      </c>
      <c r="BI110" s="22">
        <f>'Activity data'!BI69*UDCPPEF*NtoN2O*kgtoGg</f>
        <v>13.790553263000465</v>
      </c>
      <c r="BJ110" s="22">
        <f>'Activity data'!BJ69*UDCPPEF*NtoN2O*kgtoGg</f>
        <v>13.858644184626581</v>
      </c>
      <c r="BK110" s="22">
        <f>'Activity data'!BK69*UDCPPEF*NtoN2O*kgtoGg</f>
        <v>13.929236621781989</v>
      </c>
      <c r="BL110" s="22">
        <f>'Activity data'!BL69*UDCPPEF*NtoN2O*kgtoGg</f>
        <v>14.039863069721484</v>
      </c>
      <c r="BM110" s="22">
        <f>'Activity data'!BM69*UDCPPEF*NtoN2O*kgtoGg</f>
        <v>14.008704095961466</v>
      </c>
      <c r="BN110" s="22">
        <f>'Activity data'!BN69*UDCPPEF*NtoN2O*kgtoGg</f>
        <v>13.961987215392144</v>
      </c>
      <c r="BO110" s="22">
        <f>'Activity data'!BO69*UDCPPEF*NtoN2O*kgtoGg</f>
        <v>13.913601198226885</v>
      </c>
      <c r="BP110" s="22">
        <f>'Activity data'!BP69*UDCPPEF*NtoN2O*kgtoGg</f>
        <v>13.857756490863558</v>
      </c>
    </row>
    <row r="111" spans="1:68" x14ac:dyDescent="0.2">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9.6543103644621464</v>
      </c>
      <c r="AE111" s="22">
        <f>'Activity data'!AE70*UDCPPEF*NtoN2O*kgtoGg</f>
        <v>9.5705816138517683</v>
      </c>
      <c r="AF111" s="22">
        <f>'Activity data'!AF70*UDCPPEF*NtoN2O*kgtoGg</f>
        <v>9.5387086131773007</v>
      </c>
      <c r="AG111" s="22">
        <f>'Activity data'!AG70*UDCPPEF*NtoN2O*kgtoGg</f>
        <v>9.4113316455488931</v>
      </c>
      <c r="AH111" s="22">
        <f>'Activity data'!AH70*UDCPPEF*NtoN2O*kgtoGg</f>
        <v>9.22644086627548</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7.6519007866750153</v>
      </c>
      <c r="AM111" s="22">
        <f>'Activity data'!AM70*UDCPPEF*NtoN2O*kgtoGg</f>
        <v>7.79826634455969</v>
      </c>
      <c r="AN111" s="22">
        <f>'Activity data'!AN70*UDCPPEF*NtoN2O*kgtoGg</f>
        <v>7.8765224135763656</v>
      </c>
      <c r="AO111" s="22">
        <f>'Activity data'!AO70*UDCPPEF*NtoN2O*kgtoGg</f>
        <v>7.9367632117940001</v>
      </c>
      <c r="AP111" s="22">
        <f>'Activity data'!AP70*UDCPPEF*NtoN2O*kgtoGg</f>
        <v>8.0239222883846164</v>
      </c>
      <c r="AQ111" s="22">
        <f>'Activity data'!AQ70*UDCPPEF*NtoN2O*kgtoGg</f>
        <v>8.0946565333991707</v>
      </c>
      <c r="AR111" s="22">
        <f>'Activity data'!AR70*UDCPPEF*NtoN2O*kgtoGg</f>
        <v>8.1402557601963093</v>
      </c>
      <c r="AS111" s="22">
        <f>'Activity data'!AS70*UDCPPEF*NtoN2O*kgtoGg</f>
        <v>8.175751346320169</v>
      </c>
      <c r="AT111" s="22">
        <f>'Activity data'!AT70*UDCPPEF*NtoN2O*kgtoGg</f>
        <v>8.1977508544567819</v>
      </c>
      <c r="AU111" s="22">
        <f>'Activity data'!AU70*UDCPPEF*NtoN2O*kgtoGg</f>
        <v>8.2628780451981587</v>
      </c>
      <c r="AV111" s="22">
        <f>'Activity data'!AV70*UDCPPEF*NtoN2O*kgtoGg</f>
        <v>8.3214767911799861</v>
      </c>
      <c r="AW111" s="22">
        <f>'Activity data'!AW70*UDCPPEF*NtoN2O*kgtoGg</f>
        <v>8.3244990949423538</v>
      </c>
      <c r="AX111" s="22">
        <f>'Activity data'!AX70*UDCPPEF*NtoN2O*kgtoGg</f>
        <v>8.3637548594387177</v>
      </c>
      <c r="AY111" s="22">
        <f>'Activity data'!AY70*UDCPPEF*NtoN2O*kgtoGg</f>
        <v>8.4156654525296073</v>
      </c>
      <c r="AZ111" s="22">
        <f>'Activity data'!AZ70*UDCPPEF*NtoN2O*kgtoGg</f>
        <v>8.5028181273214702</v>
      </c>
      <c r="BA111" s="22">
        <f>'Activity data'!BA70*UDCPPEF*NtoN2O*kgtoGg</f>
        <v>8.5167378008600192</v>
      </c>
      <c r="BB111" s="22">
        <f>'Activity data'!BB70*UDCPPEF*NtoN2O*kgtoGg</f>
        <v>8.515276638255374</v>
      </c>
      <c r="BC111" s="22">
        <f>'Activity data'!BC70*UDCPPEF*NtoN2O*kgtoGg</f>
        <v>8.5280635774717464</v>
      </c>
      <c r="BD111" s="22">
        <f>'Activity data'!BD70*UDCPPEF*NtoN2O*kgtoGg</f>
        <v>8.5257034663252735</v>
      </c>
      <c r="BE111" s="22">
        <f>'Activity data'!BE70*UDCPPEF*NtoN2O*kgtoGg</f>
        <v>8.5275092389751901</v>
      </c>
      <c r="BF111" s="22">
        <f>'Activity data'!BF70*UDCPPEF*NtoN2O*kgtoGg</f>
        <v>8.5234110833610295</v>
      </c>
      <c r="BG111" s="22">
        <f>'Activity data'!BG70*UDCPPEF*NtoN2O*kgtoGg</f>
        <v>8.5845865425310173</v>
      </c>
      <c r="BH111" s="22">
        <f>'Activity data'!BH70*UDCPPEF*NtoN2O*kgtoGg</f>
        <v>8.6293398638881058</v>
      </c>
      <c r="BI111" s="22">
        <f>'Activity data'!BI70*UDCPPEF*NtoN2O*kgtoGg</f>
        <v>8.6715110322206357</v>
      </c>
      <c r="BJ111" s="22">
        <f>'Activity data'!BJ70*UDCPPEF*NtoN2O*kgtoGg</f>
        <v>8.7143266587451382</v>
      </c>
      <c r="BK111" s="22">
        <f>'Activity data'!BK70*UDCPPEF*NtoN2O*kgtoGg</f>
        <v>8.7587152402552686</v>
      </c>
      <c r="BL111" s="22">
        <f>'Activity data'!BL70*UDCPPEF*NtoN2O*kgtoGg</f>
        <v>8.8282772400871714</v>
      </c>
      <c r="BM111" s="22">
        <f>'Activity data'!BM70*UDCPPEF*NtoN2O*kgtoGg</f>
        <v>8.8086844522156653</v>
      </c>
      <c r="BN111" s="22">
        <f>'Activity data'!BN70*UDCPPEF*NtoN2O*kgtoGg</f>
        <v>8.7793088399743002</v>
      </c>
      <c r="BO111" s="22">
        <f>'Activity data'!BO70*UDCPPEF*NtoN2O*kgtoGg</f>
        <v>8.7488836732930295</v>
      </c>
      <c r="BP111" s="22">
        <f>'Activity data'!BP70*UDCPPEF*NtoN2O*kgtoGg</f>
        <v>8.7137684761898431</v>
      </c>
    </row>
    <row r="112" spans="1:68" x14ac:dyDescent="0.2">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2">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5.9177410166742819</v>
      </c>
      <c r="AM113" s="22">
        <f>'Activity data'!AM72*UDSOEF*NtoN2O*kgtoGg</f>
        <v>5.9267532558831455</v>
      </c>
      <c r="AN113" s="22">
        <f>'Activity data'!AN72*UDSOEF*NtoN2O*kgtoGg</f>
        <v>5.9369392429781076</v>
      </c>
      <c r="AO113" s="22">
        <f>'Activity data'!AO72*UDSOEF*NtoN2O*kgtoGg</f>
        <v>5.9484299369724756</v>
      </c>
      <c r="AP113" s="22">
        <f>'Activity data'!AP72*UDSOEF*NtoN2O*kgtoGg</f>
        <v>5.9613561230675689</v>
      </c>
      <c r="AQ113" s="22">
        <f>'Activity data'!AQ72*UDSOEF*NtoN2O*kgtoGg</f>
        <v>5.9754482628979506</v>
      </c>
      <c r="AR113" s="22">
        <f>'Activity data'!AR72*UDSOEF*NtoN2O*kgtoGg</f>
        <v>5.9840189867940028</v>
      </c>
      <c r="AS113" s="22">
        <f>'Activity data'!AS72*UDSOEF*NtoN2O*kgtoGg</f>
        <v>5.9935919924924663</v>
      </c>
      <c r="AT113" s="22">
        <f>'Activity data'!AT72*UDSOEF*NtoN2O*kgtoGg</f>
        <v>6.0040970561873648</v>
      </c>
      <c r="AU113" s="22">
        <f>'Activity data'!AU72*UDSOEF*NtoN2O*kgtoGg</f>
        <v>6.015772019922915</v>
      </c>
      <c r="AV113" s="22">
        <f>'Activity data'!AV72*UDSOEF*NtoN2O*kgtoGg</f>
        <v>6.0283300293613564</v>
      </c>
      <c r="AW113" s="22">
        <f>'Activity data'!AW72*UDSOEF*NtoN2O*kgtoGg</f>
        <v>6.0365358206617943</v>
      </c>
      <c r="AX113" s="22">
        <f>'Activity data'!AX72*UDSOEF*NtoN2O*kgtoGg</f>
        <v>6.0457468580703022</v>
      </c>
      <c r="AY113" s="22">
        <f>'Activity data'!AY72*UDSOEF*NtoN2O*kgtoGg</f>
        <v>6.0558159935957239</v>
      </c>
      <c r="AZ113" s="22">
        <f>'Activity data'!AZ72*UDSOEF*NtoN2O*kgtoGg</f>
        <v>6.0668477974371191</v>
      </c>
      <c r="BA113" s="22">
        <f>'Activity data'!BA72*UDSOEF*NtoN2O*kgtoGg</f>
        <v>6.0782061128825768</v>
      </c>
      <c r="BB113" s="22">
        <f>'Activity data'!BB72*UDSOEF*NtoN2O*kgtoGg</f>
        <v>6.0851673422995747</v>
      </c>
      <c r="BC113" s="22">
        <f>'Activity data'!BC72*UDSOEF*NtoN2O*kgtoGg</f>
        <v>6.0928574061867389</v>
      </c>
      <c r="BD113" s="22">
        <f>'Activity data'!BD72*UDSOEF*NtoN2O*kgtoGg</f>
        <v>6.1010802783379781</v>
      </c>
      <c r="BE113" s="22">
        <f>'Activity data'!BE72*UDSOEF*NtoN2O*kgtoGg</f>
        <v>6.1099337878320572</v>
      </c>
      <c r="BF113" s="22">
        <f>'Activity data'!BF72*UDSOEF*NtoN2O*kgtoGg</f>
        <v>6.1193379299301505</v>
      </c>
      <c r="BG113" s="22">
        <f>'Activity data'!BG72*UDSOEF*NtoN2O*kgtoGg</f>
        <v>6.1247915653472518</v>
      </c>
      <c r="BH113" s="22">
        <f>'Activity data'!BH72*UDSOEF*NtoN2O*kgtoGg</f>
        <v>6.1306576553625556</v>
      </c>
      <c r="BI113" s="22">
        <f>'Activity data'!BI72*UDSOEF*NtoN2O*kgtoGg</f>
        <v>6.1370111691436762</v>
      </c>
      <c r="BJ113" s="22">
        <f>'Activity data'!BJ72*UDSOEF*NtoN2O*kgtoGg</f>
        <v>6.1438608776263539</v>
      </c>
      <c r="BK113" s="22">
        <f>'Activity data'!BK72*UDSOEF*NtoN2O*kgtoGg</f>
        <v>6.1512019925053671</v>
      </c>
      <c r="BL113" s="22">
        <f>'Activity data'!BL72*UDSOEF*NtoN2O*kgtoGg</f>
        <v>6.1544845731259219</v>
      </c>
      <c r="BM113" s="22">
        <f>'Activity data'!BM72*UDSOEF*NtoN2O*kgtoGg</f>
        <v>6.1575398722372316</v>
      </c>
      <c r="BN113" s="22">
        <f>'Activity data'!BN72*UDSOEF*NtoN2O*kgtoGg</f>
        <v>6.1609269818317118</v>
      </c>
      <c r="BO113" s="22">
        <f>'Activity data'!BO72*UDSOEF*NtoN2O*kgtoGg</f>
        <v>6.1647001939833732</v>
      </c>
      <c r="BP113" s="22">
        <f>'Activity data'!BP72*UDSOEF*NtoN2O*kgtoGg</f>
        <v>6.1688206661186156</v>
      </c>
    </row>
    <row r="114" spans="1:68" x14ac:dyDescent="0.2">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0.66059463009348052</v>
      </c>
      <c r="AM114" s="22">
        <f>'Activity data'!AM73*UDSOEF*NtoN2O*kgtoGg</f>
        <v>0.66160066209280566</v>
      </c>
      <c r="AN114" s="22">
        <f>'Activity data'!AN73*UDSOEF*NtoN2O*kgtoGg</f>
        <v>0.66273771901337264</v>
      </c>
      <c r="AO114" s="22">
        <f>'Activity data'!AO73*UDSOEF*NtoN2O*kgtoGg</f>
        <v>0.66402041974788251</v>
      </c>
      <c r="AP114" s="22">
        <f>'Activity data'!AP73*UDSOEF*NtoN2O*kgtoGg</f>
        <v>0.66546336378648574</v>
      </c>
      <c r="AQ114" s="22">
        <f>'Activity data'!AQ73*UDSOEF*NtoN2O*kgtoGg</f>
        <v>0.66703646268896311</v>
      </c>
      <c r="AR114" s="22">
        <f>'Activity data'!AR73*UDSOEF*NtoN2O*kgtoGg</f>
        <v>0.66799320854279376</v>
      </c>
      <c r="AS114" s="22">
        <f>'Activity data'!AS73*UDSOEF*NtoN2O*kgtoGg</f>
        <v>0.66906183864006219</v>
      </c>
      <c r="AT114" s="22">
        <f>'Activity data'!AT73*UDSOEF*NtoN2O*kgtoGg</f>
        <v>0.67023451393053002</v>
      </c>
      <c r="AU114" s="22">
        <f>'Activity data'!AU73*UDSOEF*NtoN2O*kgtoGg</f>
        <v>0.67153778460907243</v>
      </c>
      <c r="AV114" s="22">
        <f>'Activity data'!AV73*UDSOEF*NtoN2O*kgtoGg</f>
        <v>0.67293962926167272</v>
      </c>
      <c r="AW114" s="22">
        <f>'Activity data'!AW73*UDSOEF*NtoN2O*kgtoGg</f>
        <v>0.67385563786249902</v>
      </c>
      <c r="AX114" s="22">
        <f>'Activity data'!AX73*UDSOEF*NtoN2O*kgtoGg</f>
        <v>0.67488386161080183</v>
      </c>
      <c r="AY114" s="22">
        <f>'Activity data'!AY73*UDSOEF*NtoN2O*kgtoGg</f>
        <v>0.67600787444594213</v>
      </c>
      <c r="AZ114" s="22">
        <f>'Activity data'!AZ73*UDSOEF*NtoN2O*kgtoGg</f>
        <v>0.67723934948976972</v>
      </c>
      <c r="BA114" s="22">
        <f>'Activity data'!BA73*UDSOEF*NtoN2O*kgtoGg</f>
        <v>0.6785072728694912</v>
      </c>
      <c r="BB114" s="22">
        <f>'Activity data'!BB73*UDSOEF*NtoN2O*kgtoGg</f>
        <v>0.67928435161605349</v>
      </c>
      <c r="BC114" s="22">
        <f>'Activity data'!BC73*UDSOEF*NtoN2O*kgtoGg</f>
        <v>0.68014278980971932</v>
      </c>
      <c r="BD114" s="22">
        <f>'Activity data'!BD73*UDSOEF*NtoN2O*kgtoGg</f>
        <v>0.68106070513784001</v>
      </c>
      <c r="BE114" s="22">
        <f>'Activity data'!BE73*UDSOEF*NtoN2O*kgtoGg</f>
        <v>0.68204901821419661</v>
      </c>
      <c r="BF114" s="22">
        <f>'Activity data'!BF73*UDSOEF*NtoN2O*kgtoGg</f>
        <v>0.68309879814764285</v>
      </c>
      <c r="BG114" s="22">
        <f>'Activity data'!BG73*UDSOEF*NtoN2O*kgtoGg</f>
        <v>0.68370758488921768</v>
      </c>
      <c r="BH114" s="22">
        <f>'Activity data'!BH73*UDSOEF*NtoN2O*kgtoGg</f>
        <v>0.68436241374246343</v>
      </c>
      <c r="BI114" s="22">
        <f>'Activity data'!BI73*UDSOEF*NtoN2O*kgtoGg</f>
        <v>0.68507165348009424</v>
      </c>
      <c r="BJ114" s="22">
        <f>'Activity data'!BJ73*UDSOEF*NtoN2O*kgtoGg</f>
        <v>0.68583628319751733</v>
      </c>
      <c r="BK114" s="22">
        <f>'Activity data'!BK73*UDSOEF*NtoN2O*kgtoGg</f>
        <v>0.68665576837848608</v>
      </c>
      <c r="BL114" s="22">
        <f>'Activity data'!BL73*UDSOEF*NtoN2O*kgtoGg</f>
        <v>0.68702220130021696</v>
      </c>
      <c r="BM114" s="22">
        <f>'Activity data'!BM73*UDSOEF*NtoN2O*kgtoGg</f>
        <v>0.68736326289459471</v>
      </c>
      <c r="BN114" s="22">
        <f>'Activity data'!BN73*UDSOEF*NtoN2O*kgtoGg</f>
        <v>0.6877413643362339</v>
      </c>
      <c r="BO114" s="22">
        <f>'Activity data'!BO73*UDSOEF*NtoN2O*kgtoGg</f>
        <v>0.68816256622367178</v>
      </c>
      <c r="BP114" s="22">
        <f>'Activity data'!BP73*UDSOEF*NtoN2O*kgtoGg</f>
        <v>0.68862253257879269</v>
      </c>
    </row>
    <row r="115" spans="1:68" x14ac:dyDescent="0.2">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0.72463138273575967</v>
      </c>
      <c r="AH115" s="22">
        <f>'Activity data'!AH74*UDSOEF*NtoN2O*kgtoGg</f>
        <v>0.72832072886952293</v>
      </c>
      <c r="AI115" s="22">
        <f>'Activity data'!AI74*UDSOEF*NtoN2O*kgtoGg</f>
        <v>0.7325443847928953</v>
      </c>
      <c r="AJ115" s="22">
        <f>'Activity data'!AJ74*UDSOEF*NtoN2O*kgtoGg</f>
        <v>0.73708994755228407</v>
      </c>
      <c r="AK115" s="22">
        <f>'Activity data'!AK74*UDSOEF*NtoN2O*kgtoGg</f>
        <v>0.74193942345928476</v>
      </c>
      <c r="AL115" s="22">
        <f>'Activity data'!AL74*UDSOEF*NtoN2O*kgtoGg</f>
        <v>0.74639464232983788</v>
      </c>
      <c r="AM115" s="22">
        <f>'Activity data'!AM74*UDSOEF*NtoN2O*kgtoGg</f>
        <v>0.74856351716878611</v>
      </c>
      <c r="AN115" s="22">
        <f>'Activity data'!AN74*UDSOEF*NtoN2O*kgtoGg</f>
        <v>0.7508946920259173</v>
      </c>
      <c r="AO115" s="22">
        <f>'Activity data'!AO74*UDSOEF*NtoN2O*kgtoGg</f>
        <v>0.75341667510432941</v>
      </c>
      <c r="AP115" s="22">
        <f>'Activity data'!AP74*UDSOEF*NtoN2O*kgtoGg</f>
        <v>0.75615715708667941</v>
      </c>
      <c r="AQ115" s="22">
        <f>'Activity data'!AQ74*UDSOEF*NtoN2O*kgtoGg</f>
        <v>0.75906737547896641</v>
      </c>
      <c r="AR115" s="22">
        <f>'Activity data'!AR74*UDSOEF*NtoN2O*kgtoGg</f>
        <v>0.76088672130758961</v>
      </c>
      <c r="AS115" s="22">
        <f>'Activity data'!AS74*UDSOEF*NtoN2O*kgtoGg</f>
        <v>0.76285477171358229</v>
      </c>
      <c r="AT115" s="22">
        <f>'Activity data'!AT74*UDSOEF*NtoN2O*kgtoGg</f>
        <v>0.76495995173574494</v>
      </c>
      <c r="AU115" s="22">
        <f>'Activity data'!AU74*UDSOEF*NtoN2O*kgtoGg</f>
        <v>0.76724835481418519</v>
      </c>
      <c r="AV115" s="22">
        <f>'Activity data'!AV74*UDSOEF*NtoN2O*kgtoGg</f>
        <v>0.76966726525164153</v>
      </c>
      <c r="AW115" s="22">
        <f>'Activity data'!AW74*UDSOEF*NtoN2O*kgtoGg</f>
        <v>0.77123981630413885</v>
      </c>
      <c r="AX115" s="22">
        <f>'Activity data'!AX74*UDSOEF*NtoN2O*kgtoGg</f>
        <v>0.7729717745117366</v>
      </c>
      <c r="AY115" s="22">
        <f>'Activity data'!AY74*UDSOEF*NtoN2O*kgtoGg</f>
        <v>0.77483635735979484</v>
      </c>
      <c r="AZ115" s="22">
        <f>'Activity data'!AZ74*UDSOEF*NtoN2O*kgtoGg</f>
        <v>0.77685363069924696</v>
      </c>
      <c r="BA115" s="22">
        <f>'Activity data'!BA74*UDSOEF*NtoN2O*kgtoGg</f>
        <v>0.7789061253482048</v>
      </c>
      <c r="BB115" s="22">
        <f>'Activity data'!BB74*UDSOEF*NtoN2O*kgtoGg</f>
        <v>0.78012107515728923</v>
      </c>
      <c r="BC115" s="22">
        <f>'Activity data'!BC74*UDSOEF*NtoN2O*kgtoGg</f>
        <v>0.78145074369480261</v>
      </c>
      <c r="BD115" s="22">
        <f>'Activity data'!BD74*UDSOEF*NtoN2O*kgtoGg</f>
        <v>0.7828593435343304</v>
      </c>
      <c r="BE115" s="22">
        <f>'Activity data'!BE74*UDSOEF*NtoN2O*kgtoGg</f>
        <v>0.78436534735883467</v>
      </c>
      <c r="BF115" s="22">
        <f>'Activity data'!BF74*UDSOEF*NtoN2O*kgtoGg</f>
        <v>0.78595438278227181</v>
      </c>
      <c r="BG115" s="22">
        <f>'Activity data'!BG74*UDSOEF*NtoN2O*kgtoGg</f>
        <v>0.78680169998206073</v>
      </c>
      <c r="BH115" s="22">
        <f>'Activity data'!BH74*UDSOEF*NtoN2O*kgtoGg</f>
        <v>0.78771028208261162</v>
      </c>
      <c r="BI115" s="22">
        <f>'Activity data'!BI74*UDSOEF*NtoN2O*kgtoGg</f>
        <v>0.78869414542587013</v>
      </c>
      <c r="BJ115" s="22">
        <f>'Activity data'!BJ74*UDSOEF*NtoN2O*kgtoGg</f>
        <v>0.78975510213576938</v>
      </c>
      <c r="BK115" s="22">
        <f>'Activity data'!BK74*UDSOEF*NtoN2O*kgtoGg</f>
        <v>0.79089245177101786</v>
      </c>
      <c r="BL115" s="22">
        <f>'Activity data'!BL74*UDSOEF*NtoN2O*kgtoGg</f>
        <v>0.79127935129009708</v>
      </c>
      <c r="BM115" s="22">
        <f>'Activity data'!BM74*UDSOEF*NtoN2O*kgtoGg</f>
        <v>0.7916151974997605</v>
      </c>
      <c r="BN115" s="22">
        <f>'Activity data'!BN74*UDSOEF*NtoN2O*kgtoGg</f>
        <v>0.79200195212614188</v>
      </c>
      <c r="BO115" s="22">
        <f>'Activity data'!BO74*UDSOEF*NtoN2O*kgtoGg</f>
        <v>0.79244958629193585</v>
      </c>
      <c r="BP115" s="22">
        <f>'Activity data'!BP74*UDSOEF*NtoN2O*kgtoGg</f>
        <v>0.79295116872451854</v>
      </c>
    </row>
    <row r="116" spans="1:68" x14ac:dyDescent="0.2">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1.1867254191644501</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1.2198688909683482</v>
      </c>
      <c r="AK116" s="22">
        <f>'Activity data'!AK75*UDSOEF*NtoN2O*kgtoGg</f>
        <v>1.2278946750888551</v>
      </c>
      <c r="AL116" s="22">
        <f>'Activity data'!AL75*UDSOEF*NtoN2O*kgtoGg</f>
        <v>1.2352679718224364</v>
      </c>
      <c r="AM116" s="22">
        <f>'Activity data'!AM75*UDSOEF*NtoN2O*kgtoGg</f>
        <v>1.2388574156253576</v>
      </c>
      <c r="AN116" s="22">
        <f>'Activity data'!AN75*UDSOEF*NtoN2O*kgtoGg</f>
        <v>1.2427154626616324</v>
      </c>
      <c r="AO116" s="22">
        <f>'Activity data'!AO75*UDSOEF*NtoN2O*kgtoGg</f>
        <v>1.2468892934283116</v>
      </c>
      <c r="AP116" s="22">
        <f>'Activity data'!AP75*UDSOEF*NtoN2O*kgtoGg</f>
        <v>1.2514247354427215</v>
      </c>
      <c r="AQ116" s="22">
        <f>'Activity data'!AQ75*UDSOEF*NtoN2O*kgtoGg</f>
        <v>1.2562410877677852</v>
      </c>
      <c r="AR116" s="22">
        <f>'Activity data'!AR75*UDSOEF*NtoN2O*kgtoGg</f>
        <v>1.2592520681584702</v>
      </c>
      <c r="AS116" s="22">
        <f>'Activity data'!AS75*UDSOEF*NtoN2O*kgtoGg</f>
        <v>1.2625091516041205</v>
      </c>
      <c r="AT116" s="22">
        <f>'Activity data'!AT75*UDSOEF*NtoN2O*kgtoGg</f>
        <v>1.2659931817790702</v>
      </c>
      <c r="AU116" s="22">
        <f>'Activity data'!AU75*UDSOEF*NtoN2O*kgtoGg</f>
        <v>1.2697804423904187</v>
      </c>
      <c r="AV116" s="22">
        <f>'Activity data'!AV75*UDSOEF*NtoN2O*kgtoGg</f>
        <v>1.2737836900299913</v>
      </c>
      <c r="AW116" s="22">
        <f>'Activity data'!AW75*UDSOEF*NtoN2O*kgtoGg</f>
        <v>1.2763862300792366</v>
      </c>
      <c r="AX116" s="22">
        <f>'Activity data'!AX75*UDSOEF*NtoN2O*kgtoGg</f>
        <v>1.2792525857321959</v>
      </c>
      <c r="AY116" s="22">
        <f>'Activity data'!AY75*UDSOEF*NtoN2O*kgtoGg</f>
        <v>1.2823384324711629</v>
      </c>
      <c r="AZ116" s="22">
        <f>'Activity data'!AZ75*UDSOEF*NtoN2O*kgtoGg</f>
        <v>1.2856769788718418</v>
      </c>
      <c r="BA116" s="22">
        <f>'Activity data'!BA75*UDSOEF*NtoN2O*kgtoGg</f>
        <v>1.2890738158243156</v>
      </c>
      <c r="BB116" s="22">
        <f>'Activity data'!BB75*UDSOEF*NtoN2O*kgtoGg</f>
        <v>1.2910845330795322</v>
      </c>
      <c r="BC116" s="22">
        <f>'Activity data'!BC75*UDSOEF*NtoN2O*kgtoGg</f>
        <v>1.2932851075000604</v>
      </c>
      <c r="BD116" s="22">
        <f>'Activity data'!BD75*UDSOEF*NtoN2O*kgtoGg</f>
        <v>1.2956163116221209</v>
      </c>
      <c r="BE116" s="22">
        <f>'Activity data'!BE75*UDSOEF*NtoN2O*kgtoGg</f>
        <v>1.2981087173607861</v>
      </c>
      <c r="BF116" s="22">
        <f>'Activity data'!BF75*UDSOEF*NtoN2O*kgtoGg</f>
        <v>1.3007385387090959</v>
      </c>
      <c r="BG116" s="22">
        <f>'Activity data'!BG75*UDSOEF*NtoN2O*kgtoGg</f>
        <v>1.3021408314635115</v>
      </c>
      <c r="BH116" s="22">
        <f>'Activity data'!BH75*UDSOEF*NtoN2O*kgtoGg</f>
        <v>1.303644516384237</v>
      </c>
      <c r="BI116" s="22">
        <f>'Activity data'!BI75*UDSOEF*NtoN2O*kgtoGg</f>
        <v>1.3052727902324839</v>
      </c>
      <c r="BJ116" s="22">
        <f>'Activity data'!BJ75*UDSOEF*NtoN2O*kgtoGg</f>
        <v>1.3070286520365533</v>
      </c>
      <c r="BK116" s="22">
        <f>'Activity data'!BK75*UDSOEF*NtoN2O*kgtoGg</f>
        <v>1.308910942580334</v>
      </c>
      <c r="BL116" s="22">
        <f>'Activity data'!BL75*UDSOEF*NtoN2O*kgtoGg</f>
        <v>1.3095512534254661</v>
      </c>
      <c r="BM116" s="22">
        <f>'Activity data'!BM75*UDSOEF*NtoN2O*kgtoGg</f>
        <v>1.3101070720805417</v>
      </c>
      <c r="BN116" s="22">
        <f>'Activity data'!BN75*UDSOEF*NtoN2O*kgtoGg</f>
        <v>1.310747143131201</v>
      </c>
      <c r="BO116" s="22">
        <f>'Activity data'!BO75*UDSOEF*NtoN2O*kgtoGg</f>
        <v>1.3114879685829661</v>
      </c>
      <c r="BP116" s="22">
        <f>'Activity data'!BP75*UDSOEF*NtoN2O*kgtoGg</f>
        <v>1.312318077320435</v>
      </c>
    </row>
    <row r="117" spans="1:68" x14ac:dyDescent="0.2">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0.19368291106027899</v>
      </c>
      <c r="AI117" s="22">
        <f>'Activity data'!AI76*UDSOEF*NtoN2O*kgtoGg</f>
        <v>0.19253602379697463</v>
      </c>
      <c r="AJ117" s="22">
        <f>'Activity data'!AJ76*UDSOEF*NtoN2O*kgtoGg</f>
        <v>0.19190012409058904</v>
      </c>
      <c r="AK117" s="22">
        <f>'Activity data'!AK76*UDSOEF*NtoN2O*kgtoGg</f>
        <v>0.19132863754616405</v>
      </c>
      <c r="AL117" s="22">
        <f>'Activity data'!AL76*UDSOEF*NtoN2O*kgtoGg</f>
        <v>0.18119977029128689</v>
      </c>
      <c r="AM117" s="22">
        <f>'Activity data'!AM76*UDSOEF*NtoN2O*kgtoGg</f>
        <v>0.18372263045933149</v>
      </c>
      <c r="AN117" s="22">
        <f>'Activity data'!AN76*UDSOEF*NtoN2O*kgtoGg</f>
        <v>0.18542569851972082</v>
      </c>
      <c r="AO117" s="22">
        <f>'Activity data'!AO76*UDSOEF*NtoN2O*kgtoGg</f>
        <v>0.18690586811212617</v>
      </c>
      <c r="AP117" s="22">
        <f>'Activity data'!AP76*UDSOEF*NtoN2O*kgtoGg</f>
        <v>0.18871846813186952</v>
      </c>
      <c r="AQ117" s="22">
        <f>'Activity data'!AQ76*UDSOEF*NtoN2O*kgtoGg</f>
        <v>0.19032856308746704</v>
      </c>
      <c r="AR117" s="22">
        <f>'Activity data'!AR76*UDSOEF*NtoN2O*kgtoGg</f>
        <v>0.19181155412665482</v>
      </c>
      <c r="AS117" s="22">
        <f>'Activity data'!AS76*UDSOEF*NtoN2O*kgtoGg</f>
        <v>0.19316694252651395</v>
      </c>
      <c r="AT117" s="22">
        <f>'Activity data'!AT76*UDSOEF*NtoN2O*kgtoGg</f>
        <v>0.19434817692528195</v>
      </c>
      <c r="AU117" s="22">
        <f>'Activity data'!AU76*UDSOEF*NtoN2O*kgtoGg</f>
        <v>0.19609130445368728</v>
      </c>
      <c r="AV117" s="22">
        <f>'Activity data'!AV76*UDSOEF*NtoN2O*kgtoGg</f>
        <v>0.19775823400143536</v>
      </c>
      <c r="AW117" s="22">
        <f>'Activity data'!AW76*UDSOEF*NtoN2O*kgtoGg</f>
        <v>0.19979376823512379</v>
      </c>
      <c r="AX117" s="22">
        <f>'Activity data'!AX76*UDSOEF*NtoN2O*kgtoGg</f>
        <v>0.2023779928594536</v>
      </c>
      <c r="AY117" s="22">
        <f>'Activity data'!AY76*UDSOEF*NtoN2O*kgtoGg</f>
        <v>0.20521413875451175</v>
      </c>
      <c r="AZ117" s="22">
        <f>'Activity data'!AZ76*UDSOEF*NtoN2O*kgtoGg</f>
        <v>0.20863865671050874</v>
      </c>
      <c r="BA117" s="22">
        <f>'Activity data'!BA76*UDSOEF*NtoN2O*kgtoGg</f>
        <v>0.21111219620408483</v>
      </c>
      <c r="BB117" s="22">
        <f>'Activity data'!BB76*UDSOEF*NtoN2O*kgtoGg</f>
        <v>0.21359919528074695</v>
      </c>
      <c r="BC117" s="22">
        <f>'Activity data'!BC76*UDSOEF*NtoN2O*kgtoGg</f>
        <v>0.21637994777249434</v>
      </c>
      <c r="BD117" s="22">
        <f>'Activity data'!BD76*UDSOEF*NtoN2O*kgtoGg</f>
        <v>0.21901936705190489</v>
      </c>
      <c r="BE117" s="22">
        <f>'Activity data'!BE76*UDSOEF*NtoN2O*kgtoGg</f>
        <v>0.22181322909338433</v>
      </c>
      <c r="BF117" s="22">
        <f>'Activity data'!BF76*UDSOEF*NtoN2O*kgtoGg</f>
        <v>0.22460946011468219</v>
      </c>
      <c r="BG117" s="22">
        <f>'Activity data'!BG76*UDSOEF*NtoN2O*kgtoGg</f>
        <v>0.22803030127957039</v>
      </c>
      <c r="BH117" s="22">
        <f>'Activity data'!BH76*UDSOEF*NtoN2O*kgtoGg</f>
        <v>0.23127378160095582</v>
      </c>
      <c r="BI117" s="22">
        <f>'Activity data'!BI76*UDSOEF*NtoN2O*kgtoGg</f>
        <v>0.23456525375289961</v>
      </c>
      <c r="BJ117" s="22">
        <f>'Activity data'!BJ76*UDSOEF*NtoN2O*kgtoGg</f>
        <v>0.23796293573474386</v>
      </c>
      <c r="BK117" s="22">
        <f>'Activity data'!BK76*UDSOEF*NtoN2O*kgtoGg</f>
        <v>0.24148877503172564</v>
      </c>
      <c r="BL117" s="22">
        <f>'Activity data'!BL76*UDSOEF*NtoN2O*kgtoGg</f>
        <v>0.24576012405635958</v>
      </c>
      <c r="BM117" s="22">
        <f>'Activity data'!BM76*UDSOEF*NtoN2O*kgtoGg</f>
        <v>0.24853256796744563</v>
      </c>
      <c r="BN117" s="22">
        <f>'Activity data'!BN76*UDSOEF*NtoN2O*kgtoGg</f>
        <v>0.25120157665253162</v>
      </c>
      <c r="BO117" s="22">
        <f>'Activity data'!BO76*UDSOEF*NtoN2O*kgtoGg</f>
        <v>0.25392762754999298</v>
      </c>
      <c r="BP117" s="22">
        <f>'Activity data'!BP76*UDSOEF*NtoN2O*kgtoGg</f>
        <v>0.25664306300563272</v>
      </c>
    </row>
    <row r="118" spans="1:68" x14ac:dyDescent="0.2">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2">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2">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2">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2">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2">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2">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2">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2">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2">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2">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2">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2">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2">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2">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2">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2">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2">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0.66038869625937391</v>
      </c>
      <c r="AN135" s="22">
        <f>'Activity data'!AN47*ttokg*FracGASF*MSVolatEF*NtoN2O*kgtoGg</f>
        <v>0.66020342469478921</v>
      </c>
      <c r="AO135" s="22">
        <f>'Activity data'!AO47*ttokg*FracGASF*MSVolatEF*NtoN2O*kgtoGg</f>
        <v>0.66005840725031206</v>
      </c>
      <c r="AP135" s="22">
        <f>'Activity data'!AP47*ttokg*FracGASF*MSVolatEF*NtoN2O*kgtoGg</f>
        <v>0.65992416571177226</v>
      </c>
      <c r="AQ135" s="22">
        <f>'Activity data'!AQ47*ttokg*FracGASF*MSVolatEF*NtoN2O*kgtoGg</f>
        <v>0.65977411232427086</v>
      </c>
      <c r="AR135" s="22">
        <f>'Activity data'!AR47*ttokg*FracGASF*MSVolatEF*NtoN2O*kgtoGg</f>
        <v>0.65963380636148372</v>
      </c>
      <c r="AS135" s="22">
        <f>'Activity data'!AS47*ttokg*FracGASF*MSVolatEF*NtoN2O*kgtoGg</f>
        <v>0.65950885900535394</v>
      </c>
      <c r="AT135" s="22">
        <f>'Activity data'!AT47*ttokg*FracGASF*MSVolatEF*NtoN2O*kgtoGg</f>
        <v>0.65938996649107751</v>
      </c>
      <c r="AU135" s="22">
        <f>'Activity data'!AU47*ttokg*FracGASF*MSVolatEF*NtoN2O*kgtoGg</f>
        <v>0.65927919026350434</v>
      </c>
      <c r="AV135" s="22">
        <f>'Activity data'!AV47*ttokg*FracGASF*MSVolatEF*NtoN2O*kgtoGg</f>
        <v>0.65914248070564796</v>
      </c>
      <c r="AW135" s="22">
        <f>'Activity data'!AW47*ttokg*FracGASF*MSVolatEF*NtoN2O*kgtoGg</f>
        <v>0.65900953819081531</v>
      </c>
      <c r="AX135" s="22">
        <f>'Activity data'!AX47*ttokg*FracGASF*MSVolatEF*NtoN2O*kgtoGg</f>
        <v>0.65886770470789013</v>
      </c>
      <c r="AY135" s="22">
        <f>'Activity data'!AY47*ttokg*FracGASF*MSVolatEF*NtoN2O*kgtoGg</f>
        <v>0.65870194021035933</v>
      </c>
      <c r="AZ135" s="22">
        <f>'Activity data'!AZ47*ttokg*FracGASF*MSVolatEF*NtoN2O*kgtoGg</f>
        <v>0.65852622329414567</v>
      </c>
      <c r="BA135" s="22">
        <f>'Activity data'!BA47*ttokg*FracGASF*MSVolatEF*NtoN2O*kgtoGg</f>
        <v>0.65832642389355089</v>
      </c>
      <c r="BB135" s="22">
        <f>'Activity data'!BB47*ttokg*FracGASF*MSVolatEF*NtoN2O*kgtoGg</f>
        <v>0.6581693318477011</v>
      </c>
      <c r="BC135" s="22">
        <f>'Activity data'!BC47*ttokg*FracGASF*MSVolatEF*NtoN2O*kgtoGg</f>
        <v>0.65801985919199812</v>
      </c>
      <c r="BD135" s="22">
        <f>'Activity data'!BD47*ttokg*FracGASF*MSVolatEF*NtoN2O*kgtoGg</f>
        <v>0.65785915117586091</v>
      </c>
      <c r="BE135" s="22">
        <f>'Activity data'!BE47*ttokg*FracGASF*MSVolatEF*NtoN2O*kgtoGg</f>
        <v>0.65770555695996225</v>
      </c>
      <c r="BF135" s="22">
        <f>'Activity data'!BF47*ttokg*FracGASF*MSVolatEF*NtoN2O*kgtoGg</f>
        <v>0.65754680730045456</v>
      </c>
      <c r="BG135" s="22">
        <f>'Activity data'!BG47*ttokg*FracGASF*MSVolatEF*NtoN2O*kgtoGg</f>
        <v>0.65738921443316178</v>
      </c>
      <c r="BH135" s="22">
        <f>'Activity data'!BH47*ttokg*FracGASF*MSVolatEF*NtoN2O*kgtoGg</f>
        <v>0.65721499435540864</v>
      </c>
      <c r="BI135" s="22">
        <f>'Activity data'!BI47*ttokg*FracGASF*MSVolatEF*NtoN2O*kgtoGg</f>
        <v>0.65704963238558323</v>
      </c>
      <c r="BJ135" s="22">
        <f>'Activity data'!BJ47*ttokg*FracGASF*MSVolatEF*NtoN2O*kgtoGg</f>
        <v>0.65688413494168396</v>
      </c>
      <c r="BK135" s="22">
        <f>'Activity data'!BK47*ttokg*FracGASF*MSVolatEF*NtoN2O*kgtoGg</f>
        <v>0.65671634182939487</v>
      </c>
      <c r="BL135" s="22">
        <f>'Activity data'!BL47*ttokg*FracGASF*MSVolatEF*NtoN2O*kgtoGg</f>
        <v>0.65654557216665388</v>
      </c>
      <c r="BM135" s="22">
        <f>'Activity data'!BM47*ttokg*FracGASF*MSVolatEF*NtoN2O*kgtoGg</f>
        <v>0.65635649622881898</v>
      </c>
      <c r="BN135" s="22">
        <f>'Activity data'!BN47*ttokg*FracGASF*MSVolatEF*NtoN2O*kgtoGg</f>
        <v>0.65622389108641888</v>
      </c>
      <c r="BO135" s="22">
        <f>'Activity data'!BO47*ttokg*FracGASF*MSVolatEF*NtoN2O*kgtoGg</f>
        <v>0.65609603440705455</v>
      </c>
      <c r="BP135" s="22">
        <f>'Activity data'!BP47*ttokg*FracGASF*MSVolatEF*NtoN2O*kgtoGg</f>
        <v>0.65596714127254918</v>
      </c>
    </row>
    <row r="136" spans="1:68" x14ac:dyDescent="0.2">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8.7171307906237401E-3</v>
      </c>
      <c r="AN136" s="22">
        <f>'Activity data'!AN48*ttokg*FracGASM*MSVolatEF*NtoN2O*kgtoGg</f>
        <v>8.714685205971219E-3</v>
      </c>
      <c r="AO136" s="22">
        <f>'Activity data'!AO48*ttokg*FracGASM*MSVolatEF*NtoN2O*kgtoGg</f>
        <v>8.7127709757041216E-3</v>
      </c>
      <c r="AP136" s="22">
        <f>'Activity data'!AP48*ttokg*FracGASM*MSVolatEF*NtoN2O*kgtoGg</f>
        <v>8.7109989873953957E-3</v>
      </c>
      <c r="AQ136" s="22">
        <f>'Activity data'!AQ48*ttokg*FracGASM*MSVolatEF*NtoN2O*kgtoGg</f>
        <v>8.7090182826803763E-3</v>
      </c>
      <c r="AR136" s="22">
        <f>'Activity data'!AR48*ttokg*FracGASM*MSVolatEF*NtoN2O*kgtoGg</f>
        <v>8.7071662439715883E-3</v>
      </c>
      <c r="AS136" s="22">
        <f>'Activity data'!AS48*ttokg*FracGASM*MSVolatEF*NtoN2O*kgtoGg</f>
        <v>8.7055169388706739E-3</v>
      </c>
      <c r="AT136" s="22">
        <f>'Activity data'!AT48*ttokg*FracGASM*MSVolatEF*NtoN2O*kgtoGg</f>
        <v>8.7039475576822217E-3</v>
      </c>
      <c r="AU136" s="22">
        <f>'Activity data'!AU48*ttokg*FracGASM*MSVolatEF*NtoN2O*kgtoGg</f>
        <v>8.7024853114782592E-3</v>
      </c>
      <c r="AV136" s="22">
        <f>'Activity data'!AV48*ttokg*FracGASM*MSVolatEF*NtoN2O*kgtoGg</f>
        <v>8.7006807453145554E-3</v>
      </c>
      <c r="AW136" s="22">
        <f>'Activity data'!AW48*ttokg*FracGASM*MSVolatEF*NtoN2O*kgtoGg</f>
        <v>8.6989259041187622E-3</v>
      </c>
      <c r="AX136" s="22">
        <f>'Activity data'!AX48*ttokg*FracGASM*MSVolatEF*NtoN2O*kgtoGg</f>
        <v>8.6970537021441498E-3</v>
      </c>
      <c r="AY136" s="22">
        <f>'Activity data'!AY48*ttokg*FracGASM*MSVolatEF*NtoN2O*kgtoGg</f>
        <v>8.6948656107767464E-3</v>
      </c>
      <c r="AZ136" s="22">
        <f>'Activity data'!AZ48*ttokg*FracGASM*MSVolatEF*NtoN2O*kgtoGg</f>
        <v>8.6925461474827246E-3</v>
      </c>
      <c r="BA136" s="22">
        <f>'Activity data'!BA48*ttokg*FracGASM*MSVolatEF*NtoN2O*kgtoGg</f>
        <v>8.6899087953948712E-3</v>
      </c>
      <c r="BB136" s="22">
        <f>'Activity data'!BB48*ttokg*FracGASM*MSVolatEF*NtoN2O*kgtoGg</f>
        <v>8.6878351803896525E-3</v>
      </c>
      <c r="BC136" s="22">
        <f>'Activity data'!BC48*ttokg*FracGASM*MSVolatEF*NtoN2O*kgtoGg</f>
        <v>8.685862141334379E-3</v>
      </c>
      <c r="BD136" s="22">
        <f>'Activity data'!BD48*ttokg*FracGASM*MSVolatEF*NtoN2O*kgtoGg</f>
        <v>8.6837407955213629E-3</v>
      </c>
      <c r="BE136" s="22">
        <f>'Activity data'!BE48*ttokg*FracGASM*MSVolatEF*NtoN2O*kgtoGg</f>
        <v>8.681713351871503E-3</v>
      </c>
      <c r="BF136" s="22">
        <f>'Activity data'!BF48*ttokg*FracGASM*MSVolatEF*NtoN2O*kgtoGg</f>
        <v>8.679617856366003E-3</v>
      </c>
      <c r="BG136" s="22">
        <f>'Activity data'!BG48*ttokg*FracGASM*MSVolatEF*NtoN2O*kgtoGg</f>
        <v>8.677537630517736E-3</v>
      </c>
      <c r="BH136" s="22">
        <f>'Activity data'!BH48*ttokg*FracGASM*MSVolatEF*NtoN2O*kgtoGg</f>
        <v>8.6752379254913976E-3</v>
      </c>
      <c r="BI136" s="22">
        <f>'Activity data'!BI48*ttokg*FracGASM*MSVolatEF*NtoN2O*kgtoGg</f>
        <v>8.6730551474897017E-3</v>
      </c>
      <c r="BJ136" s="22">
        <f>'Activity data'!BJ48*ttokg*FracGASM*MSVolatEF*NtoN2O*kgtoGg</f>
        <v>8.6708705812302295E-3</v>
      </c>
      <c r="BK136" s="22">
        <f>'Activity data'!BK48*ttokg*FracGASM*MSVolatEF*NtoN2O*kgtoGg</f>
        <v>8.6686557121480167E-3</v>
      </c>
      <c r="BL136" s="22">
        <f>'Activity data'!BL48*ttokg*FracGASM*MSVolatEF*NtoN2O*kgtoGg</f>
        <v>8.6664015525998329E-3</v>
      </c>
      <c r="BM136" s="22">
        <f>'Activity data'!BM48*ttokg*FracGASM*MSVolatEF*NtoN2O*kgtoGg</f>
        <v>8.6639057502204114E-3</v>
      </c>
      <c r="BN136" s="22">
        <f>'Activity data'!BN48*ttokg*FracGASM*MSVolatEF*NtoN2O*kgtoGg</f>
        <v>8.6621553623407298E-3</v>
      </c>
      <c r="BO136" s="22">
        <f>'Activity data'!BO48*ttokg*FracGASM*MSVolatEF*NtoN2O*kgtoGg</f>
        <v>8.66046765417312E-3</v>
      </c>
      <c r="BP136" s="22">
        <f>'Activity data'!BP48*ttokg*FracGASM*MSVolatEF*NtoN2O*kgtoGg</f>
        <v>8.6587662647976526E-3</v>
      </c>
    </row>
    <row r="137" spans="1:68" x14ac:dyDescent="0.2">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1.2019035107607596</v>
      </c>
      <c r="AF137" s="22">
        <f>SUM('Activity data'!AF50:AF65)*FracGASM*MSVolatEF*NtoN2O*kgtoGg</f>
        <v>1.2088775122881088</v>
      </c>
      <c r="AG137" s="22">
        <f>SUM('Activity data'!AG50:AG65)*FracGASM*MSVolatEF*NtoN2O*kgtoGg</f>
        <v>1.2055442230548155</v>
      </c>
      <c r="AH137" s="22">
        <f>SUM('Activity data'!AH50:AH65)*FracGASM*MSVolatEF*NtoN2O*kgtoGg</f>
        <v>1.1958435838326282</v>
      </c>
      <c r="AI137" s="22">
        <f>SUM('Activity data'!AI50:AI65)*FracGASM*MSVolatEF*NtoN2O*kgtoGg</f>
        <v>1.1799964998501222</v>
      </c>
      <c r="AJ137" s="22">
        <f>SUM('Activity data'!AJ50:AJ65)*FracGASM*MSVolatEF*NtoN2O*kgtoGg</f>
        <v>1.169776622170569</v>
      </c>
      <c r="AK137" s="22">
        <f>SUM('Activity data'!AK50:AK65)*FracGASM*MSVolatEF*NtoN2O*kgtoGg</f>
        <v>1.1606871439933113</v>
      </c>
      <c r="AL137" s="22">
        <f>SUM('Activity data'!AL50:AL65)*FracGASM*MSVolatEF*NtoN2O*kgtoGg</f>
        <v>1.0581466820913914</v>
      </c>
      <c r="AM137" s="22">
        <f>SUM('Activity data'!AM50:AM65)*FracGASM*MSVolatEF*NtoN2O*kgtoGg</f>
        <v>1.0811007370653605</v>
      </c>
      <c r="AN137" s="22">
        <f>SUM('Activity data'!AN50:AN65)*FracGASM*MSVolatEF*NtoN2O*kgtoGg</f>
        <v>1.0962373736212656</v>
      </c>
      <c r="AO137" s="22">
        <f>SUM('Activity data'!AO50:AO65)*FracGASM*MSVolatEF*NtoN2O*kgtoGg</f>
        <v>1.1094295908986627</v>
      </c>
      <c r="AP137" s="22">
        <f>SUM('Activity data'!AP50:AP65)*FracGASM*MSVolatEF*NtoN2O*kgtoGg</f>
        <v>1.1260819451253103</v>
      </c>
      <c r="AQ137" s="22">
        <f>SUM('Activity data'!AQ50:AQ65)*FracGASM*MSVolatEF*NtoN2O*kgtoGg</f>
        <v>1.1409777774824073</v>
      </c>
      <c r="AR137" s="22">
        <f>SUM('Activity data'!AR50:AR65)*FracGASM*MSVolatEF*NtoN2O*kgtoGg</f>
        <v>1.1529726027889684</v>
      </c>
      <c r="AS137" s="22">
        <f>SUM('Activity data'!AS50:AS65)*FracGASM*MSVolatEF*NtoN2O*kgtoGg</f>
        <v>1.1639042106537316</v>
      </c>
      <c r="AT137" s="22">
        <f>SUM('Activity data'!AT50:AT65)*FracGASM*MSVolatEF*NtoN2O*kgtoGg</f>
        <v>1.1733291691179792</v>
      </c>
      <c r="AU137" s="22">
        <f>SUM('Activity data'!AU50:AU65)*FracGASM*MSVolatEF*NtoN2O*kgtoGg</f>
        <v>1.1883113875074136</v>
      </c>
      <c r="AV137" s="22">
        <f>SUM('Activity data'!AV50:AV65)*FracGASM*MSVolatEF*NtoN2O*kgtoGg</f>
        <v>1.2027019182394856</v>
      </c>
      <c r="AW137" s="22">
        <f>SUM('Activity data'!AW50:AW65)*FracGASM*MSVolatEF*NtoN2O*kgtoGg</f>
        <v>1.2149899149490335</v>
      </c>
      <c r="AX137" s="22">
        <f>SUM('Activity data'!AX50:AX65)*FracGASM*MSVolatEF*NtoN2O*kgtoGg</f>
        <v>1.2323877476985694</v>
      </c>
      <c r="AY137" s="22">
        <f>SUM('Activity data'!AY50:AY65)*FracGASM*MSVolatEF*NtoN2O*kgtoGg</f>
        <v>1.2520054927946573</v>
      </c>
      <c r="AZ137" s="22">
        <f>SUM('Activity data'!AZ50:AZ65)*FracGASM*MSVolatEF*NtoN2O*kgtoGg</f>
        <v>1.2769207481959246</v>
      </c>
      <c r="BA137" s="22">
        <f>SUM('Activity data'!BA50:BA65)*FracGASM*MSVolatEF*NtoN2O*kgtoGg</f>
        <v>1.2928179151571899</v>
      </c>
      <c r="BB137" s="22">
        <f>SUM('Activity data'!BB50:BB65)*FracGASM*MSVolatEF*NtoN2O*kgtoGg</f>
        <v>1.3071721599558817</v>
      </c>
      <c r="BC137" s="22">
        <f>SUM('Activity data'!BC50:BC65)*FracGASM*MSVolatEF*NtoN2O*kgtoGg</f>
        <v>1.3240396401072183</v>
      </c>
      <c r="BD137" s="22">
        <f>SUM('Activity data'!BD50:BD65)*FracGASM*MSVolatEF*NtoN2O*kgtoGg</f>
        <v>1.3394377409062461</v>
      </c>
      <c r="BE137" s="22">
        <f>SUM('Activity data'!BE50:BE65)*FracGASM*MSVolatEF*NtoN2O*kgtoGg</f>
        <v>1.3560429960988876</v>
      </c>
      <c r="BF137" s="22">
        <f>SUM('Activity data'!BF50:BF65)*FracGASM*MSVolatEF*NtoN2O*kgtoGg</f>
        <v>1.3724754415260532</v>
      </c>
      <c r="BG137" s="22">
        <f>SUM('Activity data'!BG50:BG65)*FracGASM*MSVolatEF*NtoN2O*kgtoGg</f>
        <v>1.3952859972976908</v>
      </c>
      <c r="BH137" s="22">
        <f>SUM('Activity data'!BH50:BH65)*FracGASM*MSVolatEF*NtoN2O*kgtoGg</f>
        <v>1.4163366526625445</v>
      </c>
      <c r="BI137" s="22">
        <f>SUM('Activity data'!BI50:BI65)*FracGASM*MSVolatEF*NtoN2O*kgtoGg</f>
        <v>1.4376236961609334</v>
      </c>
      <c r="BJ137" s="22">
        <f>SUM('Activity data'!BJ50:BJ65)*FracGASM*MSVolatEF*NtoN2O*kgtoGg</f>
        <v>1.4596469584782656</v>
      </c>
      <c r="BK137" s="22">
        <f>SUM('Activity data'!BK50:BK65)*FracGASM*MSVolatEF*NtoN2O*kgtoGg</f>
        <v>1.4825821629092799</v>
      </c>
      <c r="BL137" s="22">
        <f>SUM('Activity data'!BL50:BL65)*FracGASM*MSVolatEF*NtoN2O*kgtoGg</f>
        <v>1.5100637913409878</v>
      </c>
      <c r="BM137" s="22">
        <f>SUM('Activity data'!BM50:BM65)*FracGASM*MSVolatEF*NtoN2O*kgtoGg</f>
        <v>1.5244988187348365</v>
      </c>
      <c r="BN137" s="22">
        <f>SUM('Activity data'!BN50:BN65)*FracGASM*MSVolatEF*NtoN2O*kgtoGg</f>
        <v>1.5379134396371121</v>
      </c>
      <c r="BO137" s="22">
        <f>SUM('Activity data'!BO50:BO65)*FracGASM*MSVolatEF*NtoN2O*kgtoGg</f>
        <v>1.5516700859590873</v>
      </c>
      <c r="BP137" s="22">
        <f>SUM('Activity data'!BP50:BP65)*FracGASM*MSVolatEF*NtoN2O*kgtoGg</f>
        <v>1.5651983516984527</v>
      </c>
    </row>
    <row r="138" spans="1:68" x14ac:dyDescent="0.2">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4.3473821211305586</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3.918985241839104</v>
      </c>
      <c r="AM138" s="22">
        <f>SUM('Activity data'!AM66:AM81)*FracGASM*MSVolatEF*NtoN2O*kgtoGg</f>
        <v>3.962647023266995</v>
      </c>
      <c r="AN138" s="22">
        <f>SUM('Activity data'!AN66:AN81)*FracGASM*MSVolatEF*NtoN2O*kgtoGg</f>
        <v>3.988397466462279</v>
      </c>
      <c r="AO138" s="22">
        <f>SUM('Activity data'!AO66:AO81)*FracGASM*MSVolatEF*NtoN2O*kgtoGg</f>
        <v>4.0097420759989726</v>
      </c>
      <c r="AP138" s="22">
        <f>SUM('Activity data'!AP66:AP81)*FracGASM*MSVolatEF*NtoN2O*kgtoGg</f>
        <v>4.0388232265836717</v>
      </c>
      <c r="AQ138" s="22">
        <f>SUM('Activity data'!AQ66:AQ81)*FracGASM*MSVolatEF*NtoN2O*kgtoGg</f>
        <v>4.063881936096621</v>
      </c>
      <c r="AR138" s="22">
        <f>SUM('Activity data'!AR66:AR81)*FracGASM*MSVolatEF*NtoN2O*kgtoGg</f>
        <v>4.0803176241982966</v>
      </c>
      <c r="AS138" s="22">
        <f>SUM('Activity data'!AS66:AS81)*FracGASM*MSVolatEF*NtoN2O*kgtoGg</f>
        <v>4.0943719762440898</v>
      </c>
      <c r="AT138" s="22">
        <f>SUM('Activity data'!AT66:AT81)*FracGASM*MSVolatEF*NtoN2O*kgtoGg</f>
        <v>4.1051027315234014</v>
      </c>
      <c r="AU138" s="22">
        <f>SUM('Activity data'!AU66:AU81)*FracGASM*MSVolatEF*NtoN2O*kgtoGg</f>
        <v>4.1278786035109292</v>
      </c>
      <c r="AV138" s="22">
        <f>SUM('Activity data'!AV66:AV81)*FracGASM*MSVolatEF*NtoN2O*kgtoGg</f>
        <v>4.149204796729399</v>
      </c>
      <c r="AW138" s="22">
        <f>SUM('Activity data'!AW66:AW81)*FracGASM*MSVolatEF*NtoN2O*kgtoGg</f>
        <v>4.1548667718492807</v>
      </c>
      <c r="AX138" s="22">
        <f>SUM('Activity data'!AX66:AX81)*FracGASM*MSVolatEF*NtoN2O*kgtoGg</f>
        <v>4.1707310137254909</v>
      </c>
      <c r="AY138" s="22">
        <f>SUM('Activity data'!AY66:AY81)*FracGASM*MSVolatEF*NtoN2O*kgtoGg</f>
        <v>4.1903910179403239</v>
      </c>
      <c r="AZ138" s="22">
        <f>SUM('Activity data'!AZ66:AZ81)*FracGASM*MSVolatEF*NtoN2O*kgtoGg</f>
        <v>4.2200248954303605</v>
      </c>
      <c r="BA138" s="22">
        <f>SUM('Activity data'!BA66:BA81)*FracGASM*MSVolatEF*NtoN2O*kgtoGg</f>
        <v>4.2299973767021726</v>
      </c>
      <c r="BB138" s="22">
        <f>SUM('Activity data'!BB66:BB81)*FracGASM*MSVolatEF*NtoN2O*kgtoGg</f>
        <v>4.2344058167490939</v>
      </c>
      <c r="BC138" s="22">
        <f>SUM('Activity data'!BC66:BC81)*FracGASM*MSVolatEF*NtoN2O*kgtoGg</f>
        <v>4.2430165616646569</v>
      </c>
      <c r="BD138" s="22">
        <f>SUM('Activity data'!BD66:BD81)*FracGASM*MSVolatEF*NtoN2O*kgtoGg</f>
        <v>4.2477733537700137</v>
      </c>
      <c r="BE138" s="22">
        <f>SUM('Activity data'!BE66:BE81)*FracGASM*MSVolatEF*NtoN2O*kgtoGg</f>
        <v>4.2539691533655395</v>
      </c>
      <c r="BF138" s="22">
        <f>SUM('Activity data'!BF66:BF81)*FracGASM*MSVolatEF*NtoN2O*kgtoGg</f>
        <v>4.2588371425380025</v>
      </c>
      <c r="BG138" s="22">
        <f>SUM('Activity data'!BG66:BG81)*FracGASM*MSVolatEF*NtoN2O*kgtoGg</f>
        <v>4.2797220284315198</v>
      </c>
      <c r="BH138" s="22">
        <f>SUM('Activity data'!BH66:BH81)*FracGASM*MSVolatEF*NtoN2O*kgtoGg</f>
        <v>4.2963498578029604</v>
      </c>
      <c r="BI138" s="22">
        <f>SUM('Activity data'!BI66:BI81)*FracGASM*MSVolatEF*NtoN2O*kgtoGg</f>
        <v>4.3125285701488281</v>
      </c>
      <c r="BJ138" s="22">
        <f>SUM('Activity data'!BJ66:BJ81)*FracGASM*MSVolatEF*NtoN2O*kgtoGg</f>
        <v>4.3291488784909324</v>
      </c>
      <c r="BK138" s="22">
        <f>SUM('Activity data'!BK66:BK81)*FracGASM*MSVolatEF*NtoN2O*kgtoGg</f>
        <v>4.3464700481298193</v>
      </c>
      <c r="BL138" s="22">
        <f>SUM('Activity data'!BL66:BL81)*FracGASM*MSVolatEF*NtoN2O*kgtoGg</f>
        <v>4.3694873280939213</v>
      </c>
      <c r="BM138" s="22">
        <f>SUM('Activity data'!BM66:BM81)*FracGASM*MSVolatEF*NtoN2O*kgtoGg</f>
        <v>4.3680189479011426</v>
      </c>
      <c r="BN138" s="22">
        <f>SUM('Activity data'!BN66:BN81)*FracGASM*MSVolatEF*NtoN2O*kgtoGg</f>
        <v>4.3640461344633534</v>
      </c>
      <c r="BO138" s="22">
        <f>SUM('Activity data'!BO66:BO81)*FracGASM*MSVolatEF*NtoN2O*kgtoGg</f>
        <v>4.3599917873846739</v>
      </c>
      <c r="BP138" s="22">
        <f>SUM('Activity data'!BP66:BP81)*FracGASM*MSVolatEF*NtoN2O*kgtoGg</f>
        <v>4.3548399908669477</v>
      </c>
    </row>
    <row r="139" spans="1:68" x14ac:dyDescent="0.2">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2.27834100209484E-4</v>
      </c>
      <c r="AN139" s="22">
        <f>'Activity data'!AN47*FracLEACH*MSLeachEF*NtoN2O*kgtoGg</f>
        <v>2.2777018151970223E-4</v>
      </c>
      <c r="AO139" s="22">
        <f>'Activity data'!AO47*FracLEACH*MSLeachEF*NtoN2O*kgtoGg</f>
        <v>2.2772015050135763E-4</v>
      </c>
      <c r="AP139" s="22">
        <f>'Activity data'!AP47*FracLEACH*MSLeachEF*NtoN2O*kgtoGg</f>
        <v>2.276738371705614E-4</v>
      </c>
      <c r="AQ139" s="22">
        <f>'Activity data'!AQ47*FracLEACH*MSLeachEF*NtoN2O*kgtoGg</f>
        <v>2.2762206875187344E-4</v>
      </c>
      <c r="AR139" s="22">
        <f>'Activity data'!AR47*FracLEACH*MSLeachEF*NtoN2O*kgtoGg</f>
        <v>2.2757366319471181E-4</v>
      </c>
      <c r="AS139" s="22">
        <f>'Activity data'!AS47*FracLEACH*MSLeachEF*NtoN2O*kgtoGg</f>
        <v>2.2753055635684708E-4</v>
      </c>
      <c r="AT139" s="22">
        <f>'Activity data'!AT47*FracLEACH*MSLeachEF*NtoN2O*kgtoGg</f>
        <v>2.2748953843942165E-4</v>
      </c>
      <c r="AU139" s="22">
        <f>'Activity data'!AU47*FracLEACH*MSLeachEF*NtoN2O*kgtoGg</f>
        <v>2.2745132064090905E-4</v>
      </c>
      <c r="AV139" s="22">
        <f>'Activity data'!AV47*FracLEACH*MSLeachEF*NtoN2O*kgtoGg</f>
        <v>2.2740415584344853E-4</v>
      </c>
      <c r="AW139" s="22">
        <f>'Activity data'!AW47*FracLEACH*MSLeachEF*NtoN2O*kgtoGg</f>
        <v>2.2735829067583124E-4</v>
      </c>
      <c r="AX139" s="22">
        <f>'Activity data'!AX47*FracLEACH*MSLeachEF*NtoN2O*kgtoGg</f>
        <v>2.2730935812422204E-4</v>
      </c>
      <c r="AY139" s="22">
        <f>'Activity data'!AY47*FracLEACH*MSLeachEF*NtoN2O*kgtoGg</f>
        <v>2.2725216937257396E-4</v>
      </c>
      <c r="AZ139" s="22">
        <f>'Activity data'!AZ47*FracLEACH*MSLeachEF*NtoN2O*kgtoGg</f>
        <v>2.2719154703648017E-4</v>
      </c>
      <c r="BA139" s="22">
        <f>'Activity data'!BA47*FracLEACH*MSLeachEF*NtoN2O*kgtoGg</f>
        <v>2.2712261624327501E-4</v>
      </c>
      <c r="BB139" s="22">
        <f>'Activity data'!BB47*FracLEACH*MSLeachEF*NtoN2O*kgtoGg</f>
        <v>2.2706841948745679E-4</v>
      </c>
      <c r="BC139" s="22">
        <f>'Activity data'!BC47*FracLEACH*MSLeachEF*NtoN2O*kgtoGg</f>
        <v>2.2701685142123931E-4</v>
      </c>
      <c r="BD139" s="22">
        <f>'Activity data'!BD47*FracLEACH*MSLeachEF*NtoN2O*kgtoGg</f>
        <v>2.26961407155672E-4</v>
      </c>
      <c r="BE139" s="22">
        <f>'Activity data'!BE47*FracLEACH*MSLeachEF*NtoN2O*kgtoGg</f>
        <v>2.2690841715118691E-4</v>
      </c>
      <c r="BF139" s="22">
        <f>'Activity data'!BF47*FracLEACH*MSLeachEF*NtoN2O*kgtoGg</f>
        <v>2.268536485186568E-4</v>
      </c>
      <c r="BG139" s="22">
        <f>'Activity data'!BG47*FracLEACH*MSLeachEF*NtoN2O*kgtoGg</f>
        <v>2.267992789794407E-4</v>
      </c>
      <c r="BH139" s="22">
        <f>'Activity data'!BH47*FracLEACH*MSLeachEF*NtoN2O*kgtoGg</f>
        <v>2.2673917305261599E-4</v>
      </c>
      <c r="BI139" s="22">
        <f>'Activity data'!BI47*FracLEACH*MSLeachEF*NtoN2O*kgtoGg</f>
        <v>2.2668212317302622E-4</v>
      </c>
      <c r="BJ139" s="22">
        <f>'Activity data'!BJ47*FracLEACH*MSLeachEF*NtoN2O*kgtoGg</f>
        <v>2.2662502655488093E-4</v>
      </c>
      <c r="BK139" s="22">
        <f>'Activity data'!BK47*FracLEACH*MSLeachEF*NtoN2O*kgtoGg</f>
        <v>2.2656713793114123E-4</v>
      </c>
      <c r="BL139" s="22">
        <f>'Activity data'!BL47*FracLEACH*MSLeachEF*NtoN2O*kgtoGg</f>
        <v>2.2650822239749554E-4</v>
      </c>
      <c r="BM139" s="22">
        <f>'Activity data'!BM47*FracLEACH*MSLeachEF*NtoN2O*kgtoGg</f>
        <v>2.2644299119894249E-4</v>
      </c>
      <c r="BN139" s="22">
        <f>'Activity data'!BN47*FracLEACH*MSLeachEF*NtoN2O*kgtoGg</f>
        <v>2.2639724242481442E-4</v>
      </c>
      <c r="BO139" s="22">
        <f>'Activity data'!BO47*FracLEACH*MSLeachEF*NtoN2O*kgtoGg</f>
        <v>2.2635313187043375E-4</v>
      </c>
      <c r="BP139" s="22">
        <f>'Activity data'!BP47*FracLEACH*MSLeachEF*NtoN2O*kgtoGg</f>
        <v>2.2630866373902947E-4</v>
      </c>
    </row>
    <row r="140" spans="1:68" x14ac:dyDescent="0.2">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1.5037050613825948E-6</v>
      </c>
      <c r="AN140" s="22">
        <f>'Activity data'!AN48*FracLEACH*MSLeachEF*NtoN2O*kgtoGg</f>
        <v>1.5032831980300348E-6</v>
      </c>
      <c r="AO140" s="22">
        <f>'Activity data'!AO48*FracLEACH*MSLeachEF*NtoN2O*kgtoGg</f>
        <v>1.5029529933089607E-6</v>
      </c>
      <c r="AP140" s="22">
        <f>'Activity data'!AP48*FracLEACH*MSLeachEF*NtoN2O*kgtoGg</f>
        <v>1.5026473253257052E-6</v>
      </c>
      <c r="AQ140" s="22">
        <f>'Activity data'!AQ48*FracLEACH*MSLeachEF*NtoN2O*kgtoGg</f>
        <v>1.5023056537623651E-6</v>
      </c>
      <c r="AR140" s="22">
        <f>'Activity data'!AR48*FracLEACH*MSLeachEF*NtoN2O*kgtoGg</f>
        <v>1.5019861770850986E-6</v>
      </c>
      <c r="AS140" s="22">
        <f>'Activity data'!AS48*FracLEACH*MSLeachEF*NtoN2O*kgtoGg</f>
        <v>1.501701671955191E-6</v>
      </c>
      <c r="AT140" s="22">
        <f>'Activity data'!AT48*FracLEACH*MSLeachEF*NtoN2O*kgtoGg</f>
        <v>1.5014309537001836E-6</v>
      </c>
      <c r="AU140" s="22">
        <f>'Activity data'!AU48*FracLEACH*MSLeachEF*NtoN2O*kgtoGg</f>
        <v>1.5011787162299995E-6</v>
      </c>
      <c r="AV140" s="22">
        <f>'Activity data'!AV48*FracLEACH*MSLeachEF*NtoN2O*kgtoGg</f>
        <v>1.5008674285667609E-6</v>
      </c>
      <c r="AW140" s="22">
        <f>'Activity data'!AW48*FracLEACH*MSLeachEF*NtoN2O*kgtoGg</f>
        <v>1.5005647184604863E-6</v>
      </c>
      <c r="AX140" s="22">
        <f>'Activity data'!AX48*FracLEACH*MSLeachEF*NtoN2O*kgtoGg</f>
        <v>1.5002417636198659E-6</v>
      </c>
      <c r="AY140" s="22">
        <f>'Activity data'!AY48*FracLEACH*MSLeachEF*NtoN2O*kgtoGg</f>
        <v>1.4998643178589887E-6</v>
      </c>
      <c r="AZ140" s="22">
        <f>'Activity data'!AZ48*FracLEACH*MSLeachEF*NtoN2O*kgtoGg</f>
        <v>1.4994642104407695E-6</v>
      </c>
      <c r="BA140" s="22">
        <f>'Activity data'!BA48*FracLEACH*MSLeachEF*NtoN2O*kgtoGg</f>
        <v>1.4990092672056151E-6</v>
      </c>
      <c r="BB140" s="22">
        <f>'Activity data'!BB48*FracLEACH*MSLeachEF*NtoN2O*kgtoGg</f>
        <v>1.4986515686172149E-6</v>
      </c>
      <c r="BC140" s="22">
        <f>'Activity data'!BC48*FracLEACH*MSLeachEF*NtoN2O*kgtoGg</f>
        <v>1.49831121938018E-6</v>
      </c>
      <c r="BD140" s="22">
        <f>'Activity data'!BD48*FracLEACH*MSLeachEF*NtoN2O*kgtoGg</f>
        <v>1.4979452872274355E-6</v>
      </c>
      <c r="BE140" s="22">
        <f>'Activity data'!BE48*FracLEACH*MSLeachEF*NtoN2O*kgtoGg</f>
        <v>1.497595553197834E-6</v>
      </c>
      <c r="BF140" s="22">
        <f>'Activity data'!BF48*FracLEACH*MSLeachEF*NtoN2O*kgtoGg</f>
        <v>1.4972340802231352E-6</v>
      </c>
      <c r="BG140" s="22">
        <f>'Activity data'!BG48*FracLEACH*MSLeachEF*NtoN2O*kgtoGg</f>
        <v>1.4968752412643093E-6</v>
      </c>
      <c r="BH140" s="22">
        <f>'Activity data'!BH48*FracLEACH*MSLeachEF*NtoN2O*kgtoGg</f>
        <v>1.4964785421472656E-6</v>
      </c>
      <c r="BI140" s="22">
        <f>'Activity data'!BI48*FracLEACH*MSLeachEF*NtoN2O*kgtoGg</f>
        <v>1.4961020129419735E-6</v>
      </c>
      <c r="BJ140" s="22">
        <f>'Activity data'!BJ48*FracLEACH*MSLeachEF*NtoN2O*kgtoGg</f>
        <v>1.4957251752622144E-6</v>
      </c>
      <c r="BK140" s="22">
        <f>'Activity data'!BK48*FracLEACH*MSLeachEF*NtoN2O*kgtoGg</f>
        <v>1.4953431103455323E-6</v>
      </c>
      <c r="BL140" s="22">
        <f>'Activity data'!BL48*FracLEACH*MSLeachEF*NtoN2O*kgtoGg</f>
        <v>1.4949542678234709E-6</v>
      </c>
      <c r="BM140" s="22">
        <f>'Activity data'!BM48*FracLEACH*MSLeachEF*NtoN2O*kgtoGg</f>
        <v>1.4945237419130207E-6</v>
      </c>
      <c r="BN140" s="22">
        <f>'Activity data'!BN48*FracLEACH*MSLeachEF*NtoN2O*kgtoGg</f>
        <v>1.4942218000037758E-6</v>
      </c>
      <c r="BO140" s="22">
        <f>'Activity data'!BO48*FracLEACH*MSLeachEF*NtoN2O*kgtoGg</f>
        <v>1.4939306703448634E-6</v>
      </c>
      <c r="BP140" s="22">
        <f>'Activity data'!BP48*FracLEACH*MSLeachEF*NtoN2O*kgtoGg</f>
        <v>1.4936371806775946E-6</v>
      </c>
    </row>
    <row r="141" spans="1:68" x14ac:dyDescent="0.2">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0.20732835560623103</v>
      </c>
      <c r="AF141" s="22">
        <f>SUM('Activity data'!AF50:AF65)*FracLEACH*MSLeachEF*NtoN2O*kgtoGg</f>
        <v>0.20853137086969875</v>
      </c>
      <c r="AG141" s="22">
        <f>SUM('Activity data'!AG50:AG65)*FracLEACH*MSLeachEF*NtoN2O*kgtoGg</f>
        <v>0.20795637847695567</v>
      </c>
      <c r="AH141" s="22">
        <f>SUM('Activity data'!AH50:AH65)*FracLEACH*MSLeachEF*NtoN2O*kgtoGg</f>
        <v>0.20628301821112838</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0.182530302660765</v>
      </c>
      <c r="AM141" s="22">
        <f>SUM('Activity data'!AM50:AM65)*FracLEACH*MSLeachEF*NtoN2O*kgtoGg</f>
        <v>0.18648987714377463</v>
      </c>
      <c r="AN141" s="22">
        <f>SUM('Activity data'!AN50:AN65)*FracLEACH*MSLeachEF*NtoN2O*kgtoGg</f>
        <v>0.18910094694966831</v>
      </c>
      <c r="AO141" s="22">
        <f>SUM('Activity data'!AO50:AO65)*FracLEACH*MSLeachEF*NtoN2O*kgtoGg</f>
        <v>0.19137660443001928</v>
      </c>
      <c r="AP141" s="22">
        <f>SUM('Activity data'!AP50:AP65)*FracLEACH*MSLeachEF*NtoN2O*kgtoGg</f>
        <v>0.19424913553411605</v>
      </c>
      <c r="AQ141" s="22">
        <f>SUM('Activity data'!AQ50:AQ65)*FracLEACH*MSLeachEF*NtoN2O*kgtoGg</f>
        <v>0.19681866661571523</v>
      </c>
      <c r="AR141" s="22">
        <f>SUM('Activity data'!AR50:AR65)*FracLEACH*MSLeachEF*NtoN2O*kgtoGg</f>
        <v>0.198887773981097</v>
      </c>
      <c r="AS141" s="22">
        <f>SUM('Activity data'!AS50:AS65)*FracLEACH*MSLeachEF*NtoN2O*kgtoGg</f>
        <v>0.20077347633776868</v>
      </c>
      <c r="AT141" s="22">
        <f>SUM('Activity data'!AT50:AT65)*FracLEACH*MSLeachEF*NtoN2O*kgtoGg</f>
        <v>0.20239928167285137</v>
      </c>
      <c r="AU141" s="22">
        <f>SUM('Activity data'!AU50:AU65)*FracLEACH*MSLeachEF*NtoN2O*kgtoGg</f>
        <v>0.20498371434502882</v>
      </c>
      <c r="AV141" s="22">
        <f>SUM('Activity data'!AV50:AV65)*FracLEACH*MSLeachEF*NtoN2O*kgtoGg</f>
        <v>0.20746608089631127</v>
      </c>
      <c r="AW141" s="22">
        <f>SUM('Activity data'!AW50:AW65)*FracLEACH*MSLeachEF*NtoN2O*kgtoGg</f>
        <v>0.20958576032870826</v>
      </c>
      <c r="AX141" s="22">
        <f>SUM('Activity data'!AX50:AX65)*FracLEACH*MSLeachEF*NtoN2O*kgtoGg</f>
        <v>0.2125868864780032</v>
      </c>
      <c r="AY141" s="22">
        <f>SUM('Activity data'!AY50:AY65)*FracLEACH*MSLeachEF*NtoN2O*kgtoGg</f>
        <v>0.21597094750707838</v>
      </c>
      <c r="AZ141" s="22">
        <f>SUM('Activity data'!AZ50:AZ65)*FracLEACH*MSLeachEF*NtoN2O*kgtoGg</f>
        <v>0.22026882906379694</v>
      </c>
      <c r="BA141" s="22">
        <f>SUM('Activity data'!BA50:BA65)*FracLEACH*MSLeachEF*NtoN2O*kgtoGg</f>
        <v>0.22301109036461528</v>
      </c>
      <c r="BB141" s="22">
        <f>SUM('Activity data'!BB50:BB65)*FracLEACH*MSLeachEF*NtoN2O*kgtoGg</f>
        <v>0.2254871975923895</v>
      </c>
      <c r="BC141" s="22">
        <f>SUM('Activity data'!BC50:BC65)*FracLEACH*MSLeachEF*NtoN2O*kgtoGg</f>
        <v>0.22839683791849513</v>
      </c>
      <c r="BD141" s="22">
        <f>SUM('Activity data'!BD50:BD65)*FracLEACH*MSLeachEF*NtoN2O*kgtoGg</f>
        <v>0.23105301030632744</v>
      </c>
      <c r="BE141" s="22">
        <f>SUM('Activity data'!BE50:BE65)*FracLEACH*MSLeachEF*NtoN2O*kgtoGg</f>
        <v>0.23391741682705808</v>
      </c>
      <c r="BF141" s="22">
        <f>SUM('Activity data'!BF50:BF65)*FracLEACH*MSLeachEF*NtoN2O*kgtoGg</f>
        <v>0.23675201366324419</v>
      </c>
      <c r="BG141" s="22">
        <f>SUM('Activity data'!BG50:BG65)*FracLEACH*MSLeachEF*NtoN2O*kgtoGg</f>
        <v>0.24068683453385165</v>
      </c>
      <c r="BH141" s="22">
        <f>SUM('Activity data'!BH50:BH65)*FracLEACH*MSLeachEF*NtoN2O*kgtoGg</f>
        <v>0.24431807258428889</v>
      </c>
      <c r="BI141" s="22">
        <f>SUM('Activity data'!BI50:BI65)*FracLEACH*MSLeachEF*NtoN2O*kgtoGg</f>
        <v>0.247990087587761</v>
      </c>
      <c r="BJ141" s="22">
        <f>SUM('Activity data'!BJ50:BJ65)*FracLEACH*MSLeachEF*NtoN2O*kgtoGg</f>
        <v>0.25178910033750079</v>
      </c>
      <c r="BK141" s="22">
        <f>SUM('Activity data'!BK50:BK65)*FracLEACH*MSLeachEF*NtoN2O*kgtoGg</f>
        <v>0.25574542310185078</v>
      </c>
      <c r="BL141" s="22">
        <f>SUM('Activity data'!BL50:BL65)*FracLEACH*MSLeachEF*NtoN2O*kgtoGg</f>
        <v>0.26048600400632033</v>
      </c>
      <c r="BM141" s="22">
        <f>SUM('Activity data'!BM50:BM65)*FracLEACH*MSLeachEF*NtoN2O*kgtoGg</f>
        <v>0.2629760462317593</v>
      </c>
      <c r="BN141" s="22">
        <f>SUM('Activity data'!BN50:BN65)*FracLEACH*MSLeachEF*NtoN2O*kgtoGg</f>
        <v>0.26529006833740182</v>
      </c>
      <c r="BO141" s="22">
        <f>SUM('Activity data'!BO50:BO65)*FracLEACH*MSLeachEF*NtoN2O*kgtoGg</f>
        <v>0.26766308982794251</v>
      </c>
      <c r="BP141" s="22">
        <f>SUM('Activity data'!BP50:BP65)*FracLEACH*MSLeachEF*NtoN2O*kgtoGg</f>
        <v>0.26999671566798311</v>
      </c>
    </row>
    <row r="142" spans="1:68" x14ac:dyDescent="0.2">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2">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0.10241934435921343</v>
      </c>
      <c r="AN143" s="22">
        <f>'Activity data'!AN85*FracLEACH*MSLeachEF*NtoN2O*kgtoGg</f>
        <v>0.10289653491421205</v>
      </c>
      <c r="AO143" s="22">
        <f>'Activity data'!AO85*FracLEACH*MSLeachEF*NtoN2O*kgtoGg</f>
        <v>0.10327004584650011</v>
      </c>
      <c r="AP143" s="22">
        <f>'Activity data'!AP85*FracLEACH*MSLeachEF*NtoN2O*kgtoGg</f>
        <v>0.10361580205805489</v>
      </c>
      <c r="AQ143" s="22">
        <f>'Activity data'!AQ85*FracLEACH*MSLeachEF*NtoN2O*kgtoGg</f>
        <v>0.10400228370418145</v>
      </c>
      <c r="AR143" s="22">
        <f>'Activity data'!AR85*FracLEACH*MSLeachEF*NtoN2O*kgtoGg</f>
        <v>0.10436365961419813</v>
      </c>
      <c r="AS143" s="22">
        <f>'Activity data'!AS85*FracLEACH*MSLeachEF*NtoN2O*kgtoGg</f>
        <v>0.10468547747303018</v>
      </c>
      <c r="AT143" s="22">
        <f>'Activity data'!AT85*FracLEACH*MSLeachEF*NtoN2O*kgtoGg</f>
        <v>0.10499170031407964</v>
      </c>
      <c r="AU143" s="22">
        <f>'Activity data'!AU85*FracLEACH*MSLeachEF*NtoN2O*kgtoGg</f>
        <v>0.10527701862309623</v>
      </c>
      <c r="AV143" s="22">
        <f>'Activity data'!AV85*FracLEACH*MSLeachEF*NtoN2O*kgtoGg</f>
        <v>0.1056291315333171</v>
      </c>
      <c r="AW143" s="22">
        <f>'Activity data'!AW85*FracLEACH*MSLeachEF*NtoN2O*kgtoGg</f>
        <v>0.10597154194356044</v>
      </c>
      <c r="AX143" s="22">
        <f>'Activity data'!AX85*FracLEACH*MSLeachEF*NtoN2O*kgtoGg</f>
        <v>0.10633685217660206</v>
      </c>
      <c r="AY143" s="22">
        <f>'Activity data'!AY85*FracLEACH*MSLeachEF*NtoN2O*kgtoGg</f>
        <v>0.10676379979132655</v>
      </c>
      <c r="AZ143" s="22">
        <f>'Activity data'!AZ85*FracLEACH*MSLeachEF*NtoN2O*kgtoGg</f>
        <v>0.10721638113028523</v>
      </c>
      <c r="BA143" s="22">
        <f>'Activity data'!BA85*FracLEACH*MSLeachEF*NtoN2O*kgtoGg</f>
        <v>0.10773098998066055</v>
      </c>
      <c r="BB143" s="22">
        <f>'Activity data'!BB85*FracLEACH*MSLeachEF*NtoN2O*kgtoGg</f>
        <v>0.10813560058948724</v>
      </c>
      <c r="BC143" s="22">
        <f>'Activity data'!BC85*FracLEACH*MSLeachEF*NtoN2O*kgtoGg</f>
        <v>0.10852058648676627</v>
      </c>
      <c r="BD143" s="22">
        <f>'Activity data'!BD85*FracLEACH*MSLeachEF*NtoN2O*kgtoGg</f>
        <v>0.10893451048846137</v>
      </c>
      <c r="BE143" s="22">
        <f>'Activity data'!BE85*FracLEACH*MSLeachEF*NtoN2O*kgtoGg</f>
        <v>0.10933011198993048</v>
      </c>
      <c r="BF143" s="22">
        <f>'Activity data'!BF85*FracLEACH*MSLeachEF*NtoN2O*kgtoGg</f>
        <v>0.10973899199424218</v>
      </c>
      <c r="BG143" s="22">
        <f>'Activity data'!BG85*FracLEACH*MSLeachEF*NtoN2O*kgtoGg</f>
        <v>0.11014489253259981</v>
      </c>
      <c r="BH143" s="22">
        <f>'Activity data'!BH85*FracLEACH*MSLeachEF*NtoN2O*kgtoGg</f>
        <v>0.11059361857310758</v>
      </c>
      <c r="BI143" s="22">
        <f>'Activity data'!BI85*FracLEACH*MSLeachEF*NtoN2O*kgtoGg</f>
        <v>0.11101952942636521</v>
      </c>
      <c r="BJ143" s="22">
        <f>'Activity data'!BJ85*FracLEACH*MSLeachEF*NtoN2O*kgtoGg</f>
        <v>0.11144578921038648</v>
      </c>
      <c r="BK143" s="22">
        <f>'Activity data'!BK85*FracLEACH*MSLeachEF*NtoN2O*kgtoGg</f>
        <v>0.11187796178126933</v>
      </c>
      <c r="BL143" s="22">
        <f>'Activity data'!BL85*FracLEACH*MSLeachEF*NtoN2O*kgtoGg</f>
        <v>0.11231780083764567</v>
      </c>
      <c r="BM143" s="22">
        <f>'Activity data'!BM85*FracLEACH*MSLeachEF*NtoN2O*kgtoGg</f>
        <v>0.1128047900413833</v>
      </c>
      <c r="BN143" s="22">
        <f>'Activity data'!BN85*FracLEACH*MSLeachEF*NtoN2O*kgtoGg</f>
        <v>0.11314633150587833</v>
      </c>
      <c r="BO143" s="22">
        <f>'Activity data'!BO85*FracLEACH*MSLeachEF*NtoN2O*kgtoGg</f>
        <v>0.11347564269792666</v>
      </c>
      <c r="BP143" s="22">
        <f>'Activity data'!BP85*FracLEACH*MSLeachEF*NtoN2O*kgtoGg</f>
        <v>0.1138076234124414</v>
      </c>
    </row>
    <row r="144" spans="1:68" x14ac:dyDescent="0.2">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2">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2">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2">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2">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2">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2">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2">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2">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2">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2">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2">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2">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0.39831175345583053</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0.40481416413578281</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0.40855374420631185</v>
      </c>
      <c r="AL156" s="22">
        <f>Constants!$H63*'Activity data'!AL5*Constants!$H81*EF!$H206*MMVolatEF*NtoN2O*kgtoGg</f>
        <v>0.39736949652274572</v>
      </c>
      <c r="AM156" s="22">
        <f>Constants!$H63*'Activity data'!AM5*Constants!$H81*EF!$H206*MMVolatEF*NtoN2O*kgtoGg</f>
        <v>0.40193613647411602</v>
      </c>
      <c r="AN156" s="22">
        <f>Constants!$H63*'Activity data'!AN5*Constants!$H81*EF!$H206*MMVolatEF*NtoN2O*kgtoGg</f>
        <v>0.40551458062818502</v>
      </c>
      <c r="AO156" s="22">
        <f>Constants!$H63*'Activity data'!AO5*Constants!$H81*EF!$H206*MMVolatEF*NtoN2O*kgtoGg</f>
        <v>0.40890476326282849</v>
      </c>
      <c r="AP156" s="22">
        <f>Constants!$H63*'Activity data'!AP5*Constants!$H81*EF!$H206*MMVolatEF*NtoN2O*kgtoGg</f>
        <v>0.41286821795762335</v>
      </c>
      <c r="AQ156" s="22">
        <f>Constants!$H63*'Activity data'!AQ5*Constants!$H81*EF!$H206*MMVolatEF*NtoN2O*kgtoGg</f>
        <v>0.4166639118790918</v>
      </c>
      <c r="AR156" s="22">
        <f>Constants!$H63*'Activity data'!AR5*Constants!$H81*EF!$H206*MMVolatEF*NtoN2O*kgtoGg</f>
        <v>0.4198473343142145</v>
      </c>
      <c r="AS156" s="22">
        <f>Constants!$H63*'Activity data'!AS5*Constants!$H81*EF!$H206*MMVolatEF*NtoN2O*kgtoGg</f>
        <v>0.42294233840413964</v>
      </c>
      <c r="AT156" s="22">
        <f>Constants!$H63*'Activity data'!AT5*Constants!$H81*EF!$H206*MMVolatEF*NtoN2O*kgtoGg</f>
        <v>0.42587799118724151</v>
      </c>
      <c r="AU156" s="22">
        <f>Constants!$H63*'Activity data'!AU5*Constants!$H81*EF!$H206*MMVolatEF*NtoN2O*kgtoGg</f>
        <v>0.42969675362549747</v>
      </c>
      <c r="AV156" s="22">
        <f>Constants!$H63*'Activity data'!AV5*Constants!$H81*EF!$H206*MMVolatEF*NtoN2O*kgtoGg</f>
        <v>0.43349587939767537</v>
      </c>
      <c r="AW156" s="22">
        <f>Constants!$H63*'Activity data'!AW5*Constants!$H81*EF!$H206*MMVolatEF*NtoN2O*kgtoGg</f>
        <v>0.43745946625570531</v>
      </c>
      <c r="AX156" s="22">
        <f>Constants!$H63*'Activity data'!AX5*Constants!$H81*EF!$H206*MMVolatEF*NtoN2O*kgtoGg</f>
        <v>0.44229495321809359</v>
      </c>
      <c r="AY156" s="22">
        <f>Constants!$H63*'Activity data'!AY5*Constants!$H81*EF!$H206*MMVolatEF*NtoN2O*kgtoGg</f>
        <v>0.44758124575636155</v>
      </c>
      <c r="AZ156" s="22">
        <f>Constants!$H63*'Activity data'!AZ5*Constants!$H81*EF!$H206*MMVolatEF*NtoN2O*kgtoGg</f>
        <v>0.45381269752253439</v>
      </c>
      <c r="BA156" s="22">
        <f>Constants!$H63*'Activity data'!BA5*Constants!$H81*EF!$H206*MMVolatEF*NtoN2O*kgtoGg</f>
        <v>0.45874802300299961</v>
      </c>
      <c r="BB156" s="22">
        <f>Constants!$H63*'Activity data'!BB5*Constants!$H81*EF!$H206*MMVolatEF*NtoN2O*kgtoGg</f>
        <v>0.46333288688967006</v>
      </c>
      <c r="BC156" s="22">
        <f>Constants!$H63*'Activity data'!BC5*Constants!$H81*EF!$H206*MMVolatEF*NtoN2O*kgtoGg</f>
        <v>0.46842040791737738</v>
      </c>
      <c r="BD156" s="22">
        <f>Constants!$H63*'Activity data'!BD5*Constants!$H81*EF!$H206*MMVolatEF*NtoN2O*kgtoGg</f>
        <v>0.47337132456140918</v>
      </c>
      <c r="BE156" s="22">
        <f>Constants!$H63*'Activity data'!BE5*Constants!$H81*EF!$H206*MMVolatEF*NtoN2O*kgtoGg</f>
        <v>0.47862201153126527</v>
      </c>
      <c r="BF156" s="22">
        <f>Constants!$H63*'Activity data'!BF5*Constants!$H81*EF!$H206*MMVolatEF*NtoN2O*kgtoGg</f>
        <v>0.48394817784516875</v>
      </c>
      <c r="BG156" s="22">
        <f>Constants!$H63*'Activity data'!BG5*Constants!$H81*EF!$H206*MMVolatEF*NtoN2O*kgtoGg</f>
        <v>0.48983437623076936</v>
      </c>
      <c r="BH156" s="22">
        <f>Constants!$H63*'Activity data'!BH5*Constants!$H81*EF!$H206*MMVolatEF*NtoN2O*kgtoGg</f>
        <v>0.49551952889490208</v>
      </c>
      <c r="BI156" s="22">
        <f>Constants!$H63*'Activity data'!BI5*Constants!$H81*EF!$H206*MMVolatEF*NtoN2O*kgtoGg</f>
        <v>0.50133983118096659</v>
      </c>
      <c r="BJ156" s="22">
        <f>Constants!$H63*'Activity data'!BJ5*Constants!$H81*EF!$H206*MMVolatEF*NtoN2O*kgtoGg</f>
        <v>0.50738353443884876</v>
      </c>
      <c r="BK156" s="22">
        <f>Constants!$H63*'Activity data'!BK5*Constants!$H81*EF!$H206*MMVolatEF*NtoN2O*kgtoGg</f>
        <v>0.51368519045610384</v>
      </c>
      <c r="BL156" s="22">
        <f>Constants!$H63*'Activity data'!BL5*Constants!$H81*EF!$H206*MMVolatEF*NtoN2O*kgtoGg</f>
        <v>0.52070203752488053</v>
      </c>
      <c r="BM156" s="22">
        <f>Constants!$H63*'Activity data'!BM5*Constants!$H81*EF!$H206*MMVolatEF*NtoN2O*kgtoGg</f>
        <v>0.52550112442398844</v>
      </c>
      <c r="BN156" s="22">
        <f>Constants!$H63*'Activity data'!BN5*Constants!$H81*EF!$H206*MMVolatEF*NtoN2O*kgtoGg</f>
        <v>0.53018983852857582</v>
      </c>
      <c r="BO156" s="22">
        <f>Constants!$H63*'Activity data'!BO5*Constants!$H81*EF!$H206*MMVolatEF*NtoN2O*kgtoGg</f>
        <v>0.53501141383334805</v>
      </c>
      <c r="BP156" s="22">
        <f>Constants!$H63*'Activity data'!BP5*Constants!$H81*EF!$H206*MMVolatEF*NtoN2O*kgtoGg</f>
        <v>0.53986293449927925</v>
      </c>
    </row>
    <row r="157" spans="1:68" x14ac:dyDescent="0.2">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3.1424516095088999E-2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3.1937519056453263E-2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3.2232550506305392E-2</v>
      </c>
      <c r="AL157" s="22">
        <f>Constants!$H64*'Activity data'!AL6*Constants!$H82*EF!$H207*MMVolatEF*NtoN2O*kgtoGg</f>
        <v>3.1350177419660695E-2</v>
      </c>
      <c r="AM157" s="22">
        <f>Constants!$H64*'Activity data'!AM6*Constants!$H82*EF!$H207*MMVolatEF*NtoN2O*kgtoGg</f>
        <v>3.1710459157287665E-2</v>
      </c>
      <c r="AN157" s="22">
        <f>Constants!$H64*'Activity data'!AN6*Constants!$H82*EF!$H207*MMVolatEF*NtoN2O*kgtoGg</f>
        <v>3.19927779062055E-2</v>
      </c>
      <c r="AO157" s="22">
        <f>Constants!$H64*'Activity data'!AO6*Constants!$H82*EF!$H207*MMVolatEF*NtoN2O*kgtoGg</f>
        <v>3.2260243899471644E-2</v>
      </c>
      <c r="AP157" s="22">
        <f>Constants!$H64*'Activity data'!AP6*Constants!$H82*EF!$H207*MMVolatEF*NtoN2O*kgtoGg</f>
        <v>3.2572937774980257E-2</v>
      </c>
      <c r="AQ157" s="22">
        <f>Constants!$H64*'Activity data'!AQ6*Constants!$H82*EF!$H207*MMVolatEF*NtoN2O*kgtoGg</f>
        <v>3.2872396286290406E-2</v>
      </c>
      <c r="AR157" s="22">
        <f>Constants!$H64*'Activity data'!AR6*Constants!$H82*EF!$H207*MMVolatEF*NtoN2O*kgtoGg</f>
        <v>3.3123550083992911E-2</v>
      </c>
      <c r="AS157" s="22">
        <f>Constants!$H64*'Activity data'!AS6*Constants!$H82*EF!$H207*MMVolatEF*NtoN2O*kgtoGg</f>
        <v>3.336772818065812E-2</v>
      </c>
      <c r="AT157" s="22">
        <f>Constants!$H64*'Activity data'!AT6*Constants!$H82*EF!$H207*MMVolatEF*NtoN2O*kgtoGg</f>
        <v>3.3599334371868343E-2</v>
      </c>
      <c r="AU157" s="22">
        <f>Constants!$H64*'Activity data'!AU6*Constants!$H82*EF!$H207*MMVolatEF*NtoN2O*kgtoGg</f>
        <v>3.3900612857032622E-2</v>
      </c>
      <c r="AV157" s="22">
        <f>Constants!$H64*'Activity data'!AV6*Constants!$H82*EF!$H207*MMVolatEF*NtoN2O*kgtoGg</f>
        <v>3.4200342121708499E-2</v>
      </c>
      <c r="AW157" s="22">
        <f>Constants!$H64*'Activity data'!AW6*Constants!$H82*EF!$H207*MMVolatEF*NtoN2O*kgtoGg</f>
        <v>3.4513046424139431E-2</v>
      </c>
      <c r="AX157" s="22">
        <f>Constants!$H64*'Activity data'!AX6*Constants!$H82*EF!$H207*MMVolatEF*NtoN2O*kgtoGg</f>
        <v>3.4894538651167102E-2</v>
      </c>
      <c r="AY157" s="22">
        <f>Constants!$H64*'Activity data'!AY6*Constants!$H82*EF!$H207*MMVolatEF*NtoN2O*kgtoGg</f>
        <v>3.5311596856231003E-2</v>
      </c>
      <c r="AZ157" s="22">
        <f>Constants!$H64*'Activity data'!AZ6*Constants!$H82*EF!$H207*MMVolatEF*NtoN2O*kgtoGg</f>
        <v>3.5803222711162215E-2</v>
      </c>
      <c r="BA157" s="22">
        <f>Constants!$H64*'Activity data'!BA6*Constants!$H82*EF!$H207*MMVolatEF*NtoN2O*kgtoGg</f>
        <v>3.6192591625460596E-2</v>
      </c>
      <c r="BB157" s="22">
        <f>Constants!$H64*'Activity data'!BB6*Constants!$H82*EF!$H207*MMVolatEF*NtoN2O*kgtoGg</f>
        <v>3.6554311127208743E-2</v>
      </c>
      <c r="BC157" s="22">
        <f>Constants!$H64*'Activity data'!BC6*Constants!$H82*EF!$H207*MMVolatEF*NtoN2O*kgtoGg</f>
        <v>3.6955687398514313E-2</v>
      </c>
      <c r="BD157" s="22">
        <f>Constants!$H64*'Activity data'!BD6*Constants!$H82*EF!$H207*MMVolatEF*NtoN2O*kgtoGg</f>
        <v>3.7346286366322763E-2</v>
      </c>
      <c r="BE157" s="22">
        <f>Constants!$H64*'Activity data'!BE6*Constants!$H82*EF!$H207*MMVolatEF*NtoN2O*kgtoGg</f>
        <v>3.7760535495962914E-2</v>
      </c>
      <c r="BF157" s="22">
        <f>Constants!$H64*'Activity data'!BF6*Constants!$H82*EF!$H207*MMVolatEF*NtoN2O*kgtoGg</f>
        <v>3.8180739513555217E-2</v>
      </c>
      <c r="BG157" s="22">
        <f>Constants!$H64*'Activity data'!BG6*Constants!$H82*EF!$H207*MMVolatEF*NtoN2O*kgtoGg</f>
        <v>3.8645126854130414E-2</v>
      </c>
      <c r="BH157" s="22">
        <f>Constants!$H64*'Activity data'!BH6*Constants!$H82*EF!$H207*MMVolatEF*NtoN2O*kgtoGg</f>
        <v>3.9093652838731792E-2</v>
      </c>
      <c r="BI157" s="22">
        <f>Constants!$H64*'Activity data'!BI6*Constants!$H82*EF!$H207*MMVolatEF*NtoN2O*kgtoGg</f>
        <v>3.9552841354460577E-2</v>
      </c>
      <c r="BJ157" s="22">
        <f>Constants!$H64*'Activity data'!BJ6*Constants!$H82*EF!$H207*MMVolatEF*NtoN2O*kgtoGg</f>
        <v>4.0029654927380476E-2</v>
      </c>
      <c r="BK157" s="22">
        <f>Constants!$H64*'Activity data'!BK6*Constants!$H82*EF!$H207*MMVolatEF*NtoN2O*kgtoGg</f>
        <v>4.0526819495640978E-2</v>
      </c>
      <c r="BL157" s="22">
        <f>Constants!$H64*'Activity data'!BL6*Constants!$H82*EF!$H207*MMVolatEF*NtoN2O*kgtoGg</f>
        <v>4.1080408541749817E-2</v>
      </c>
      <c r="BM157" s="22">
        <f>Constants!$H64*'Activity data'!BM6*Constants!$H82*EF!$H207*MMVolatEF*NtoN2O*kgtoGg</f>
        <v>4.145902901225889E-2</v>
      </c>
      <c r="BN157" s="22">
        <f>Constants!$H64*'Activity data'!BN6*Constants!$H82*EF!$H207*MMVolatEF*NtoN2O*kgtoGg</f>
        <v>4.1828941701418883E-2</v>
      </c>
      <c r="BO157" s="22">
        <f>Constants!$H64*'Activity data'!BO6*Constants!$H82*EF!$H207*MMVolatEF*NtoN2O*kgtoGg</f>
        <v>4.2209336378336959E-2</v>
      </c>
      <c r="BP157" s="22">
        <f>Constants!$H64*'Activity data'!BP6*Constants!$H82*EF!$H207*MMVolatEF*NtoN2O*kgtoGg</f>
        <v>4.2592093572744245E-2</v>
      </c>
    </row>
    <row r="158" spans="1:68" x14ac:dyDescent="0.2">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2.9129279224209421E-4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2.960481260901027E-4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2.9878295053629647E-4</v>
      </c>
      <c r="AL158" s="22">
        <f>Constants!$H65*'Activity data'!AL7*Constants!$H83*EF!$H208*MMVolatEF*NtoN2O*kgtoGg</f>
        <v>2.906037022248744E-4</v>
      </c>
      <c r="AM158" s="22">
        <f>Constants!$H65*'Activity data'!AM7*Constants!$H83*EF!$H208*MMVolatEF*NtoN2O*kgtoGg</f>
        <v>2.9394337094179688E-4</v>
      </c>
      <c r="AN158" s="22">
        <f>Constants!$H65*'Activity data'!AN7*Constants!$H83*EF!$H208*MMVolatEF*NtoN2O*kgtoGg</f>
        <v>2.9656035369582628E-4</v>
      </c>
      <c r="AO158" s="22">
        <f>Constants!$H65*'Activity data'!AO7*Constants!$H83*EF!$H208*MMVolatEF*NtoN2O*kgtoGg</f>
        <v>2.9903965729981968E-4</v>
      </c>
      <c r="AP158" s="22">
        <f>Constants!$H65*'Activity data'!AP7*Constants!$H83*EF!$H208*MMVolatEF*NtoN2O*kgtoGg</f>
        <v>3.0193820542187468E-4</v>
      </c>
      <c r="AQ158" s="22">
        <f>Constants!$H65*'Activity data'!AQ7*Constants!$H83*EF!$H208*MMVolatEF*NtoN2O*kgtoGg</f>
        <v>3.0471406697074431E-4</v>
      </c>
      <c r="AR158" s="22">
        <f>Constants!$H65*'Activity data'!AR7*Constants!$H83*EF!$H208*MMVolatEF*NtoN2O*kgtoGg</f>
        <v>3.0704216299594947E-4</v>
      </c>
      <c r="AS158" s="22">
        <f>Constants!$H65*'Activity data'!AS7*Constants!$H83*EF!$H208*MMVolatEF*NtoN2O*kgtoGg</f>
        <v>3.093055970410988E-4</v>
      </c>
      <c r="AT158" s="22">
        <f>Constants!$H65*'Activity data'!AT7*Constants!$H83*EF!$H208*MMVolatEF*NtoN2O*kgtoGg</f>
        <v>3.1145249451229731E-4</v>
      </c>
      <c r="AU158" s="22">
        <f>Constants!$H65*'Activity data'!AU7*Constants!$H83*EF!$H208*MMVolatEF*NtoN2O*kgtoGg</f>
        <v>3.1424522649647207E-4</v>
      </c>
      <c r="AV158" s="22">
        <f>Constants!$H65*'Activity data'!AV7*Constants!$H83*EF!$H208*MMVolatEF*NtoN2O*kgtoGg</f>
        <v>3.1702359782158373E-4</v>
      </c>
      <c r="AW158" s="22">
        <f>Constants!$H65*'Activity data'!AW7*Constants!$H83*EF!$H208*MMVolatEF*NtoN2O*kgtoGg</f>
        <v>3.1992224259707024E-4</v>
      </c>
      <c r="AX158" s="22">
        <f>Constants!$H65*'Activity data'!AX7*Constants!$H83*EF!$H208*MMVolatEF*NtoN2O*kgtoGg</f>
        <v>3.2345852413258482E-4</v>
      </c>
      <c r="AY158" s="22">
        <f>Constants!$H65*'Activity data'!AY7*Constants!$H83*EF!$H208*MMVolatEF*NtoN2O*kgtoGg</f>
        <v>3.2732448816884659E-4</v>
      </c>
      <c r="AZ158" s="22">
        <f>Constants!$H65*'Activity data'!AZ7*Constants!$H83*EF!$H208*MMVolatEF*NtoN2O*kgtoGg</f>
        <v>3.3188166472450077E-4</v>
      </c>
      <c r="BA158" s="22">
        <f>Constants!$H65*'Activity data'!BA7*Constants!$H83*EF!$H208*MMVolatEF*NtoN2O*kgtoGg</f>
        <v>3.3549096002486584E-4</v>
      </c>
      <c r="BB158" s="22">
        <f>Constants!$H65*'Activity data'!BB7*Constants!$H83*EF!$H208*MMVolatEF*NtoN2O*kgtoGg</f>
        <v>3.3884395624456256E-4</v>
      </c>
      <c r="BC158" s="22">
        <f>Constants!$H65*'Activity data'!BC7*Constants!$H83*EF!$H208*MMVolatEF*NtoN2O*kgtoGg</f>
        <v>3.4256455497882901E-4</v>
      </c>
      <c r="BD158" s="22">
        <f>Constants!$H65*'Activity data'!BD7*Constants!$H83*EF!$H208*MMVolatEF*NtoN2O*kgtoGg</f>
        <v>3.4618525238704095E-4</v>
      </c>
      <c r="BE158" s="22">
        <f>Constants!$H65*'Activity data'!BE7*Constants!$H83*EF!$H208*MMVolatEF*NtoN2O*kgtoGg</f>
        <v>3.5002517740900785E-4</v>
      </c>
      <c r="BF158" s="22">
        <f>Constants!$H65*'Activity data'!BF7*Constants!$H83*EF!$H208*MMVolatEF*NtoN2O*kgtoGg</f>
        <v>3.539203018788781E-4</v>
      </c>
      <c r="BG158" s="22">
        <f>Constants!$H65*'Activity data'!BG7*Constants!$H83*EF!$H208*MMVolatEF*NtoN2O*kgtoGg</f>
        <v>3.5822498821704474E-4</v>
      </c>
      <c r="BH158" s="22">
        <f>Constants!$H65*'Activity data'!BH7*Constants!$H83*EF!$H208*MMVolatEF*NtoN2O*kgtoGg</f>
        <v>3.6238264608048877E-4</v>
      </c>
      <c r="BI158" s="22">
        <f>Constants!$H65*'Activity data'!BI7*Constants!$H83*EF!$H208*MMVolatEF*NtoN2O*kgtoGg</f>
        <v>3.6663914137567152E-4</v>
      </c>
      <c r="BJ158" s="22">
        <f>Constants!$H65*'Activity data'!BJ7*Constants!$H83*EF!$H208*MMVolatEF*NtoN2O*kgtoGg</f>
        <v>3.7105901395587245E-4</v>
      </c>
      <c r="BK158" s="22">
        <f>Constants!$H65*'Activity data'!BK7*Constants!$H83*EF!$H208*MMVolatEF*NtoN2O*kgtoGg</f>
        <v>3.756675321858498E-4</v>
      </c>
      <c r="BL158" s="22">
        <f>Constants!$H65*'Activity data'!BL7*Constants!$H83*EF!$H208*MMVolatEF*NtoN2O*kgtoGg</f>
        <v>3.8079908293137994E-4</v>
      </c>
      <c r="BM158" s="22">
        <f>Constants!$H65*'Activity data'!BM7*Constants!$H83*EF!$H208*MMVolatEF*NtoN2O*kgtoGg</f>
        <v>3.8430874442372815E-4</v>
      </c>
      <c r="BN158" s="22">
        <f>Constants!$H65*'Activity data'!BN7*Constants!$H83*EF!$H208*MMVolatEF*NtoN2O*kgtoGg</f>
        <v>3.877376882389691E-4</v>
      </c>
      <c r="BO158" s="22">
        <f>Constants!$H65*'Activity data'!BO7*Constants!$H83*EF!$H208*MMVolatEF*NtoN2O*kgtoGg</f>
        <v>3.9126379592057032E-4</v>
      </c>
      <c r="BP158" s="22">
        <f>Constants!$H65*'Activity data'!BP7*Constants!$H83*EF!$H208*MMVolatEF*NtoN2O*kgtoGg</f>
        <v>3.9481180320164583E-4</v>
      </c>
    </row>
    <row r="159" spans="1:68" x14ac:dyDescent="0.2">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3.2323215352203891E-3</v>
      </c>
      <c r="AE159" s="22">
        <f>Constants!$H66*'Activity data'!AE8*Constants!$H84*EF!$H209*MMVolatEF*NtoN2O*kgtoGg</f>
        <v>3.2042886428129457E-3</v>
      </c>
      <c r="AF159" s="22">
        <f>Constants!$H66*'Activity data'!AF8*Constants!$H84*EF!$H209*MMVolatEF*NtoN2O*kgtoGg</f>
        <v>3.193617369300608E-3</v>
      </c>
      <c r="AG159" s="22">
        <f>Constants!$H66*'Activity data'!AG8*Constants!$H84*EF!$H209*MMVolatEF*NtoN2O*kgtoGg</f>
        <v>3.150970789688672E-3</v>
      </c>
      <c r="AH159" s="22">
        <f>Constants!$H66*'Activity data'!AH8*Constants!$H84*EF!$H209*MMVolatEF*NtoN2O*kgtoGg</f>
        <v>3.0890682378804132E-3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2.561902690551985E-3</v>
      </c>
      <c r="AM159" s="22">
        <f>Constants!$H66*'Activity data'!AM8*Constants!$H84*EF!$H209*MMVolatEF*NtoN2O*kgtoGg</f>
        <v>2.6109067650953812E-3</v>
      </c>
      <c r="AN159" s="22">
        <f>Constants!$H66*'Activity data'!AN8*Constants!$H84*EF!$H209*MMVolatEF*NtoN2O*kgtoGg</f>
        <v>2.6371073705861066E-3</v>
      </c>
      <c r="AO159" s="22">
        <f>Constants!$H66*'Activity data'!AO8*Constants!$H84*EF!$H209*MMVolatEF*NtoN2O*kgtoGg</f>
        <v>2.6572763543899086E-3</v>
      </c>
      <c r="AP159" s="22">
        <f>Constants!$H66*'Activity data'!AP8*Constants!$H84*EF!$H209*MMVolatEF*NtoN2O*kgtoGg</f>
        <v>2.6864577406949136E-3</v>
      </c>
      <c r="AQ159" s="22">
        <f>Constants!$H66*'Activity data'!AQ8*Constants!$H84*EF!$H209*MMVolatEF*NtoN2O*kgtoGg</f>
        <v>2.7101399939897432E-3</v>
      </c>
      <c r="AR159" s="22">
        <f>Constants!$H66*'Activity data'!AR8*Constants!$H84*EF!$H209*MMVolatEF*NtoN2O*kgtoGg</f>
        <v>2.7254068910752506E-3</v>
      </c>
      <c r="AS159" s="22">
        <f>Constants!$H66*'Activity data'!AS8*Constants!$H84*EF!$H209*MMVolatEF*NtoN2O*kgtoGg</f>
        <v>2.7372910281189241E-3</v>
      </c>
      <c r="AT159" s="22">
        <f>Constants!$H66*'Activity data'!AT8*Constants!$H84*EF!$H209*MMVolatEF*NtoN2O*kgtoGg</f>
        <v>2.7446565965779596E-3</v>
      </c>
      <c r="AU159" s="22">
        <f>Constants!$H66*'Activity data'!AU8*Constants!$H84*EF!$H209*MMVolatEF*NtoN2O*kgtoGg</f>
        <v>2.766461574169799E-3</v>
      </c>
      <c r="AV159" s="22">
        <f>Constants!$H66*'Activity data'!AV8*Constants!$H84*EF!$H209*MMVolatEF*NtoN2O*kgtoGg</f>
        <v>2.7860807889478114E-3</v>
      </c>
      <c r="AW159" s="22">
        <f>Constants!$H66*'Activity data'!AW8*Constants!$H84*EF!$H209*MMVolatEF*NtoN2O*kgtoGg</f>
        <v>2.7870926745375917E-3</v>
      </c>
      <c r="AX159" s="22">
        <f>Constants!$H66*'Activity data'!AX8*Constants!$H84*EF!$H209*MMVolatEF*NtoN2O*kgtoGg</f>
        <v>2.8002357420559331E-3</v>
      </c>
      <c r="AY159" s="22">
        <f>Constants!$H66*'Activity data'!AY8*Constants!$H84*EF!$H209*MMVolatEF*NtoN2O*kgtoGg</f>
        <v>2.8176157227712195E-3</v>
      </c>
      <c r="AZ159" s="22">
        <f>Constants!$H66*'Activity data'!AZ8*Constants!$H84*EF!$H209*MMVolatEF*NtoN2O*kgtoGg</f>
        <v>2.8467949657152583E-3</v>
      </c>
      <c r="BA159" s="22">
        <f>Constants!$H66*'Activity data'!BA8*Constants!$H84*EF!$H209*MMVolatEF*NtoN2O*kgtoGg</f>
        <v>2.8514553566539535E-3</v>
      </c>
      <c r="BB159" s="22">
        <f>Constants!$H66*'Activity data'!BB8*Constants!$H84*EF!$H209*MMVolatEF*NtoN2O*kgtoGg</f>
        <v>2.8509661505713695E-3</v>
      </c>
      <c r="BC159" s="22">
        <f>Constants!$H66*'Activity data'!BC8*Constants!$H84*EF!$H209*MMVolatEF*NtoN2O*kgtoGg</f>
        <v>2.8552472952040066E-3</v>
      </c>
      <c r="BD159" s="22">
        <f>Constants!$H66*'Activity data'!BD8*Constants!$H84*EF!$H209*MMVolatEF*NtoN2O*kgtoGg</f>
        <v>2.8544571157094324E-3</v>
      </c>
      <c r="BE159" s="22">
        <f>Constants!$H66*'Activity data'!BE8*Constants!$H84*EF!$H209*MMVolatEF*NtoN2O*kgtoGg</f>
        <v>2.8550616993206577E-3</v>
      </c>
      <c r="BF159" s="22">
        <f>Constants!$H66*'Activity data'!BF8*Constants!$H84*EF!$H209*MMVolatEF*NtoN2O*kgtoGg</f>
        <v>2.8536896120201398E-3</v>
      </c>
      <c r="BG159" s="22">
        <f>Constants!$H66*'Activity data'!BG8*Constants!$H84*EF!$H209*MMVolatEF*NtoN2O*kgtoGg</f>
        <v>2.8741715259670993E-3</v>
      </c>
      <c r="BH159" s="22">
        <f>Constants!$H66*'Activity data'!BH8*Constants!$H84*EF!$H209*MMVolatEF*NtoN2O*kgtoGg</f>
        <v>2.8891552087920934E-3</v>
      </c>
      <c r="BI159" s="22">
        <f>Constants!$H66*'Activity data'!BI8*Constants!$H84*EF!$H209*MMVolatEF*NtoN2O*kgtoGg</f>
        <v>2.9032743711579932E-3</v>
      </c>
      <c r="BJ159" s="22">
        <f>Constants!$H66*'Activity data'!BJ8*Constants!$H84*EF!$H209*MMVolatEF*NtoN2O*kgtoGg</f>
        <v>2.9176093020266492E-3</v>
      </c>
      <c r="BK159" s="22">
        <f>Constants!$H66*'Activity data'!BK8*Constants!$H84*EF!$H209*MMVolatEF*NtoN2O*kgtoGg</f>
        <v>2.9324708677435766E-3</v>
      </c>
      <c r="BL159" s="22">
        <f>Constants!$H66*'Activity data'!BL8*Constants!$H84*EF!$H209*MMVolatEF*NtoN2O*kgtoGg</f>
        <v>2.955760646257155E-3</v>
      </c>
      <c r="BM159" s="22">
        <f>Constants!$H66*'Activity data'!BM8*Constants!$H84*EF!$H209*MMVolatEF*NtoN2O*kgtoGg</f>
        <v>2.949200862307677E-3</v>
      </c>
      <c r="BN159" s="22">
        <f>Constants!$H66*'Activity data'!BN8*Constants!$H84*EF!$H209*MMVolatEF*NtoN2O*kgtoGg</f>
        <v>2.9393657295562411E-3</v>
      </c>
      <c r="BO159" s="22">
        <f>Constants!$H66*'Activity data'!BO8*Constants!$H84*EF!$H209*MMVolatEF*NtoN2O*kgtoGg</f>
        <v>2.9291791996267137E-3</v>
      </c>
      <c r="BP159" s="22">
        <f>Constants!$H66*'Activity data'!BP8*Constants!$H84*EF!$H209*MMVolatEF*NtoN2O*kgtoGg</f>
        <v>2.9174224191291709E-3</v>
      </c>
    </row>
    <row r="160" spans="1:68" x14ac:dyDescent="0.2">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1.6090517274103575E-2</v>
      </c>
      <c r="AE160" s="22">
        <f>Constants!$H67*'Activity data'!AE9*Constants!$H85*EF!$H210*MMVolatEF*NtoN2O*kgtoGg</f>
        <v>1.5950969356419611E-2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1.5377401443792467E-2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1.2753167977791692E-2</v>
      </c>
      <c r="AM160" s="22">
        <f>Constants!$H67*'Activity data'!AM9*Constants!$H85*EF!$H210*MMVolatEF*NtoN2O*kgtoGg</f>
        <v>1.2997110574266151E-2</v>
      </c>
      <c r="AN160" s="22">
        <f>Constants!$H67*'Activity data'!AN9*Constants!$H85*EF!$H210*MMVolatEF*NtoN2O*kgtoGg</f>
        <v>1.312753735596061E-2</v>
      </c>
      <c r="AO160" s="22">
        <f>Constants!$H67*'Activity data'!AO9*Constants!$H85*EF!$H210*MMVolatEF*NtoN2O*kgtoGg</f>
        <v>1.3227938686323331E-2</v>
      </c>
      <c r="AP160" s="22">
        <f>Constants!$H67*'Activity data'!AP9*Constants!$H85*EF!$H210*MMVolatEF*NtoN2O*kgtoGg</f>
        <v>1.337320381397436E-2</v>
      </c>
      <c r="AQ160" s="22">
        <f>Constants!$H67*'Activity data'!AQ9*Constants!$H85*EF!$H210*MMVolatEF*NtoN2O*kgtoGg</f>
        <v>1.349109422233195E-2</v>
      </c>
      <c r="AR160" s="22">
        <f>Constants!$H67*'Activity data'!AR9*Constants!$H85*EF!$H210*MMVolatEF*NtoN2O*kgtoGg</f>
        <v>1.3567092933660515E-2</v>
      </c>
      <c r="AS160" s="22">
        <f>Constants!$H67*'Activity data'!AS9*Constants!$H85*EF!$H210*MMVolatEF*NtoN2O*kgtoGg</f>
        <v>1.3626252243866949E-2</v>
      </c>
      <c r="AT160" s="22">
        <f>Constants!$H67*'Activity data'!AT9*Constants!$H85*EF!$H210*MMVolatEF*NtoN2O*kgtoGg</f>
        <v>1.3662918090761304E-2</v>
      </c>
      <c r="AU160" s="22">
        <f>Constants!$H67*'Activity data'!AU9*Constants!$H85*EF!$H210*MMVolatEF*NtoN2O*kgtoGg</f>
        <v>1.3771463408663595E-2</v>
      </c>
      <c r="AV160" s="22">
        <f>Constants!$H67*'Activity data'!AV9*Constants!$H85*EF!$H210*MMVolatEF*NtoN2O*kgtoGg</f>
        <v>1.3869127985299977E-2</v>
      </c>
      <c r="AW160" s="22">
        <f>Constants!$H67*'Activity data'!AW9*Constants!$H85*EF!$H210*MMVolatEF*NtoN2O*kgtoGg</f>
        <v>1.3874165158237254E-2</v>
      </c>
      <c r="AX160" s="22">
        <f>Constants!$H67*'Activity data'!AX9*Constants!$H85*EF!$H210*MMVolatEF*NtoN2O*kgtoGg</f>
        <v>1.3939591432397862E-2</v>
      </c>
      <c r="AY160" s="22">
        <f>Constants!$H67*'Activity data'!AY9*Constants!$H85*EF!$H210*MMVolatEF*NtoN2O*kgtoGg</f>
        <v>1.4026109087549346E-2</v>
      </c>
      <c r="AZ160" s="22">
        <f>Constants!$H67*'Activity data'!AZ9*Constants!$H85*EF!$H210*MMVolatEF*NtoN2O*kgtoGg</f>
        <v>1.4171363545535784E-2</v>
      </c>
      <c r="BA160" s="22">
        <f>Constants!$H67*'Activity data'!BA9*Constants!$H85*EF!$H210*MMVolatEF*NtoN2O*kgtoGg</f>
        <v>1.4194563001433364E-2</v>
      </c>
      <c r="BB160" s="22">
        <f>Constants!$H67*'Activity data'!BB9*Constants!$H85*EF!$H210*MMVolatEF*NtoN2O*kgtoGg</f>
        <v>1.4192127730425623E-2</v>
      </c>
      <c r="BC160" s="22">
        <f>Constants!$H67*'Activity data'!BC9*Constants!$H85*EF!$H210*MMVolatEF*NtoN2O*kgtoGg</f>
        <v>1.4213439295786241E-2</v>
      </c>
      <c r="BD160" s="22">
        <f>Constants!$H67*'Activity data'!BD9*Constants!$H85*EF!$H210*MMVolatEF*NtoN2O*kgtoGg</f>
        <v>1.4209505777208791E-2</v>
      </c>
      <c r="BE160" s="22">
        <f>Constants!$H67*'Activity data'!BE9*Constants!$H85*EF!$H210*MMVolatEF*NtoN2O*kgtoGg</f>
        <v>1.4212515398291981E-2</v>
      </c>
      <c r="BF160" s="22">
        <f>Constants!$H67*'Activity data'!BF9*Constants!$H85*EF!$H210*MMVolatEF*NtoN2O*kgtoGg</f>
        <v>1.4205685138935052E-2</v>
      </c>
      <c r="BG160" s="22">
        <f>Constants!$H67*'Activity data'!BG9*Constants!$H85*EF!$H210*MMVolatEF*NtoN2O*kgtoGg</f>
        <v>1.4307644237551697E-2</v>
      </c>
      <c r="BH160" s="22">
        <f>Constants!$H67*'Activity data'!BH9*Constants!$H85*EF!$H210*MMVolatEF*NtoN2O*kgtoGg</f>
        <v>1.4382233106480177E-2</v>
      </c>
      <c r="BI160" s="22">
        <f>Constants!$H67*'Activity data'!BI9*Constants!$H85*EF!$H210*MMVolatEF*NtoN2O*kgtoGg</f>
        <v>1.4452518387034392E-2</v>
      </c>
      <c r="BJ160" s="22">
        <f>Constants!$H67*'Activity data'!BJ9*Constants!$H85*EF!$H210*MMVolatEF*NtoN2O*kgtoGg</f>
        <v>1.4523877764575229E-2</v>
      </c>
      <c r="BK160" s="22">
        <f>Constants!$H67*'Activity data'!BK9*Constants!$H85*EF!$H210*MMVolatEF*NtoN2O*kgtoGg</f>
        <v>1.4597858733758781E-2</v>
      </c>
      <c r="BL160" s="22">
        <f>Constants!$H67*'Activity data'!BL9*Constants!$H85*EF!$H210*MMVolatEF*NtoN2O*kgtoGg</f>
        <v>1.4713795400145288E-2</v>
      </c>
      <c r="BM160" s="22">
        <f>Constants!$H67*'Activity data'!BM9*Constants!$H85*EF!$H210*MMVolatEF*NtoN2O*kgtoGg</f>
        <v>1.4681140753692774E-2</v>
      </c>
      <c r="BN160" s="22">
        <f>Constants!$H67*'Activity data'!BN9*Constants!$H85*EF!$H210*MMVolatEF*NtoN2O*kgtoGg</f>
        <v>1.4632181399957167E-2</v>
      </c>
      <c r="BO160" s="22">
        <f>Constants!$H67*'Activity data'!BO9*Constants!$H85*EF!$H210*MMVolatEF*NtoN2O*kgtoGg</f>
        <v>1.4581472788821714E-2</v>
      </c>
      <c r="BP160" s="22">
        <f>Constants!$H67*'Activity data'!BP9*Constants!$H85*EF!$H210*MMVolatEF*NtoN2O*kgtoGg</f>
        <v>1.4522947460316408E-2</v>
      </c>
    </row>
    <row r="161" spans="1:68" x14ac:dyDescent="0.2">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0.16370016056893644</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0.17840915017095665</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0.17354626936315642</v>
      </c>
      <c r="AM161" s="22">
        <f>Constants!$H68*'Activity data'!AM10*Constants!$H86*EF!$H211*MMVolatEF*NtoN2O*kgtoGg</f>
        <v>0.18112703744691877</v>
      </c>
      <c r="AN161" s="22">
        <f>Constants!$H68*'Activity data'!AN10*Constants!$H86*EF!$H211*MMVolatEF*NtoN2O*kgtoGg</f>
        <v>0.18729176246517146</v>
      </c>
      <c r="AO161" s="22">
        <f>Constants!$H68*'Activity data'!AO10*Constants!$H86*EF!$H211*MMVolatEF*NtoN2O*kgtoGg</f>
        <v>0.19315163846975197</v>
      </c>
      <c r="AP161" s="22">
        <f>Constants!$H68*'Activity data'!AP10*Constants!$H86*EF!$H211*MMVolatEF*NtoN2O*kgtoGg</f>
        <v>0.1997999174777515</v>
      </c>
      <c r="AQ161" s="22">
        <f>Constants!$H68*'Activity data'!AQ10*Constants!$H86*EF!$H211*MMVolatEF*NtoN2O*kgtoGg</f>
        <v>0.20618321754826516</v>
      </c>
      <c r="AR161" s="22">
        <f>Constants!$H68*'Activity data'!AR10*Constants!$H86*EF!$H211*MMVolatEF*NtoN2O*kgtoGg</f>
        <v>0.21205125968323466</v>
      </c>
      <c r="AS161" s="22">
        <f>Constants!$H68*'Activity data'!AS10*Constants!$H86*EF!$H211*MMVolatEF*NtoN2O*kgtoGg</f>
        <v>0.21776504311044109</v>
      </c>
      <c r="AT161" s="22">
        <f>Constants!$H68*'Activity data'!AT10*Constants!$H86*EF!$H211*MMVolatEF*NtoN2O*kgtoGg</f>
        <v>0.22321845446592189</v>
      </c>
      <c r="AU161" s="22">
        <f>Constants!$H68*'Activity data'!AU10*Constants!$H86*EF!$H211*MMVolatEF*NtoN2O*kgtoGg</f>
        <v>0.22996706841629874</v>
      </c>
      <c r="AV161" s="22">
        <f>Constants!$H68*'Activity data'!AV10*Constants!$H86*EF!$H211*MMVolatEF*NtoN2O*kgtoGg</f>
        <v>0.23668130693108949</v>
      </c>
      <c r="AW161" s="22">
        <f>Constants!$H68*'Activity data'!AW10*Constants!$H86*EF!$H211*MMVolatEF*NtoN2O*kgtoGg</f>
        <v>0.24461911204797512</v>
      </c>
      <c r="AX161" s="22">
        <f>Constants!$H68*'Activity data'!AX10*Constants!$H86*EF!$H211*MMVolatEF*NtoN2O*kgtoGg</f>
        <v>0.25393877237777696</v>
      </c>
      <c r="AY161" s="22">
        <f>Constants!$H68*'Activity data'!AY10*Constants!$H86*EF!$H211*MMVolatEF*NtoN2O*kgtoGg</f>
        <v>0.26402636464996099</v>
      </c>
      <c r="AZ161" s="22">
        <f>Constants!$H68*'Activity data'!AZ10*Constants!$H86*EF!$H211*MMVolatEF*NtoN2O*kgtoGg</f>
        <v>0.27567496604841074</v>
      </c>
      <c r="BA161" s="22">
        <f>Constants!$H68*'Activity data'!BA10*Constants!$H86*EF!$H211*MMVolatEF*NtoN2O*kgtoGg</f>
        <v>0.28538857228327053</v>
      </c>
      <c r="BB161" s="22">
        <f>Constants!$H68*'Activity data'!BB10*Constants!$H86*EF!$H211*MMVolatEF*NtoN2O*kgtoGg</f>
        <v>0.29495307266242238</v>
      </c>
      <c r="BC161" s="22">
        <f>Constants!$H68*'Activity data'!BC10*Constants!$H86*EF!$H211*MMVolatEF*NtoN2O*kgtoGg</f>
        <v>0.3053980286161922</v>
      </c>
      <c r="BD161" s="22">
        <f>Constants!$H68*'Activity data'!BD10*Constants!$H86*EF!$H211*MMVolatEF*NtoN2O*kgtoGg</f>
        <v>0.3157092357133186</v>
      </c>
      <c r="BE161" s="22">
        <f>Constants!$H68*'Activity data'!BE10*Constants!$H86*EF!$H211*MMVolatEF*NtoN2O*kgtoGg</f>
        <v>0.32659469477462816</v>
      </c>
      <c r="BF161" s="22">
        <f>Constants!$H68*'Activity data'!BF10*Constants!$H86*EF!$H211*MMVolatEF*NtoN2O*kgtoGg</f>
        <v>0.33769759276940581</v>
      </c>
      <c r="BG161" s="22">
        <f>Constants!$H68*'Activity data'!BG10*Constants!$H86*EF!$H211*MMVolatEF*NtoN2O*kgtoGg</f>
        <v>0.34971796912079089</v>
      </c>
      <c r="BH161" s="22">
        <f>Constants!$H68*'Activity data'!BH10*Constants!$H86*EF!$H211*MMVolatEF*NtoN2O*kgtoGg</f>
        <v>0.36149422928557057</v>
      </c>
      <c r="BI161" s="22">
        <f>Constants!$H68*'Activity data'!BI10*Constants!$H86*EF!$H211*MMVolatEF*NtoN2O*kgtoGg</f>
        <v>0.3735858155993782</v>
      </c>
      <c r="BJ161" s="22">
        <f>Constants!$H68*'Activity data'!BJ10*Constants!$H86*EF!$H211*MMVolatEF*NtoN2O*kgtoGg</f>
        <v>0.38614747590772142</v>
      </c>
      <c r="BK161" s="22">
        <f>Constants!$H68*'Activity data'!BK10*Constants!$H86*EF!$H211*MMVolatEF*NtoN2O*kgtoGg</f>
        <v>0.3992463303443215</v>
      </c>
      <c r="BL161" s="22">
        <f>Constants!$H68*'Activity data'!BL10*Constants!$H86*EF!$H211*MMVolatEF*NtoN2O*kgtoGg</f>
        <v>0.41401924594323458</v>
      </c>
      <c r="BM161" s="22">
        <f>Constants!$H68*'Activity data'!BM10*Constants!$H86*EF!$H211*MMVolatEF*NtoN2O*kgtoGg</f>
        <v>0.42507748495703629</v>
      </c>
      <c r="BN161" s="22">
        <f>Constants!$H68*'Activity data'!BN10*Constants!$H86*EF!$H211*MMVolatEF*NtoN2O*kgtoGg</f>
        <v>0.43601753921735037</v>
      </c>
      <c r="BO161" s="22">
        <f>Constants!$H68*'Activity data'!BO10*Constants!$H86*EF!$H211*MMVolatEF*NtoN2O*kgtoGg</f>
        <v>0.44726275396189152</v>
      </c>
      <c r="BP161" s="22">
        <f>Constants!$H68*'Activity data'!BP10*Constants!$H86*EF!$H211*MMVolatEF*NtoN2O*kgtoGg</f>
        <v>0.45863622701416706</v>
      </c>
    </row>
    <row r="162" spans="1:68" x14ac:dyDescent="0.2">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1.195503235691774E-4</v>
      </c>
      <c r="AM162" s="22">
        <f>Constants!$H69*'Activity data'!AM11*Constants!$H87*EF!$H212*MMVolatEF*NtoN2O*kgtoGg</f>
        <v>1.1973238900774034E-4</v>
      </c>
      <c r="AN162" s="22">
        <f>Constants!$H69*'Activity data'!AN11*Constants!$H87*EF!$H212*MMVolatEF*NtoN2O*kgtoGg</f>
        <v>1.1993816652481025E-4</v>
      </c>
      <c r="AO162" s="22">
        <f>Constants!$H69*'Activity data'!AO11*Constants!$H87*EF!$H212*MMVolatEF*NtoN2O*kgtoGg</f>
        <v>1.2017030175701969E-4</v>
      </c>
      <c r="AP162" s="22">
        <f>Constants!$H69*'Activity data'!AP11*Constants!$H87*EF!$H212*MMVolatEF*NtoN2O*kgtoGg</f>
        <v>1.2043143682964787E-4</v>
      </c>
      <c r="AQ162" s="22">
        <f>Constants!$H69*'Activity data'!AQ11*Constants!$H87*EF!$H212*MMVolatEF*NtoN2O*kgtoGg</f>
        <v>1.2071612652319093E-4</v>
      </c>
      <c r="AR162" s="22">
        <f>Constants!$H69*'Activity data'!AR11*Constants!$H87*EF!$H212*MMVolatEF*NtoN2O*kgtoGg</f>
        <v>1.2088927246048491E-4</v>
      </c>
      <c r="AS162" s="22">
        <f>Constants!$H69*'Activity data'!AS11*Constants!$H87*EF!$H212*MMVolatEF*NtoN2O*kgtoGg</f>
        <v>1.2108266651499932E-4</v>
      </c>
      <c r="AT162" s="22">
        <f>Constants!$H69*'Activity data'!AT11*Constants!$H87*EF!$H212*MMVolatEF*NtoN2O*kgtoGg</f>
        <v>1.2129489002398719E-4</v>
      </c>
      <c r="AU162" s="22">
        <f>Constants!$H69*'Activity data'!AU11*Constants!$H87*EF!$H212*MMVolatEF*NtoN2O*kgtoGg</f>
        <v>1.2153074787723059E-4</v>
      </c>
      <c r="AV162" s="22">
        <f>Constants!$H69*'Activity data'!AV11*Constants!$H87*EF!$H212*MMVolatEF*NtoN2O*kgtoGg</f>
        <v>1.2178444503760319E-4</v>
      </c>
      <c r="AW162" s="22">
        <f>Constants!$H69*'Activity data'!AW11*Constants!$H87*EF!$H212*MMVolatEF*NtoN2O*kgtoGg</f>
        <v>1.2195021859922819E-4</v>
      </c>
      <c r="AX162" s="22">
        <f>Constants!$H69*'Activity data'!AX11*Constants!$H87*EF!$H212*MMVolatEF*NtoN2O*kgtoGg</f>
        <v>1.2213630016303642E-4</v>
      </c>
      <c r="AY162" s="22">
        <f>Constants!$H69*'Activity data'!AY11*Constants!$H87*EF!$H212*MMVolatEF*NtoN2O*kgtoGg</f>
        <v>1.2233971704233787E-4</v>
      </c>
      <c r="AZ162" s="22">
        <f>Constants!$H69*'Activity data'!AZ11*Constants!$H87*EF!$H212*MMVolatEF*NtoN2O*kgtoGg</f>
        <v>1.2256258176640642E-4</v>
      </c>
      <c r="BA162" s="22">
        <f>Constants!$H69*'Activity data'!BA11*Constants!$H87*EF!$H212*MMVolatEF*NtoN2O*kgtoGg</f>
        <v>1.2279204268449652E-4</v>
      </c>
      <c r="BB162" s="22">
        <f>Constants!$H69*'Activity data'!BB11*Constants!$H87*EF!$H212*MMVolatEF*NtoN2O*kgtoGg</f>
        <v>1.2293267358180957E-4</v>
      </c>
      <c r="BC162" s="22">
        <f>Constants!$H69*'Activity data'!BC11*Constants!$H87*EF!$H212*MMVolatEF*NtoN2O*kgtoGg</f>
        <v>1.230880284078129E-4</v>
      </c>
      <c r="BD162" s="22">
        <f>Constants!$H69*'Activity data'!BD11*Constants!$H87*EF!$H212*MMVolatEF*NtoN2O*kgtoGg</f>
        <v>1.2325414703713089E-4</v>
      </c>
      <c r="BE162" s="22">
        <f>Constants!$H69*'Activity data'!BE11*Constants!$H87*EF!$H212*MMVolatEF*NtoN2O*kgtoGg</f>
        <v>1.2343300581478905E-4</v>
      </c>
      <c r="BF162" s="22">
        <f>Constants!$H69*'Activity data'!BF11*Constants!$H87*EF!$H212*MMVolatEF*NtoN2O*kgtoGg</f>
        <v>1.2362298848343737E-4</v>
      </c>
      <c r="BG162" s="22">
        <f>Constants!$H69*'Activity data'!BG11*Constants!$H87*EF!$H212*MMVolatEF*NtoN2O*kgtoGg</f>
        <v>1.2373316293630814E-4</v>
      </c>
      <c r="BH162" s="22">
        <f>Constants!$H69*'Activity data'!BH11*Constants!$H87*EF!$H212*MMVolatEF*NtoN2O*kgtoGg</f>
        <v>1.2385166980530415E-4</v>
      </c>
      <c r="BI162" s="22">
        <f>Constants!$H69*'Activity data'!BI11*Constants!$H87*EF!$H212*MMVolatEF*NtoN2O*kgtoGg</f>
        <v>1.2398002361906419E-4</v>
      </c>
      <c r="BJ162" s="22">
        <f>Constants!$H69*'Activity data'!BJ11*Constants!$H87*EF!$H212*MMVolatEF*NtoN2O*kgtoGg</f>
        <v>1.2411840156820918E-4</v>
      </c>
      <c r="BK162" s="22">
        <f>Constants!$H69*'Activity data'!BK11*Constants!$H87*EF!$H212*MMVolatEF*NtoN2O*kgtoGg</f>
        <v>1.2426670691930035E-4</v>
      </c>
      <c r="BL162" s="22">
        <f>Constants!$H69*'Activity data'!BL11*Constants!$H87*EF!$H212*MMVolatEF*NtoN2O*kgtoGg</f>
        <v>1.2433302167931155E-4</v>
      </c>
      <c r="BM162" s="22">
        <f>Constants!$H69*'Activity data'!BM11*Constants!$H87*EF!$H212*MMVolatEF*NtoN2O*kgtoGg</f>
        <v>1.2439474489368146E-4</v>
      </c>
      <c r="BN162" s="22">
        <f>Constants!$H69*'Activity data'!BN11*Constants!$H87*EF!$H212*MMVolatEF*NtoN2O*kgtoGg</f>
        <v>1.2446317135013558E-4</v>
      </c>
      <c r="BO162" s="22">
        <f>Constants!$H69*'Activity data'!BO11*Constants!$H87*EF!$H212*MMVolatEF*NtoN2O*kgtoGg</f>
        <v>1.2453939785824996E-4</v>
      </c>
      <c r="BP162" s="22">
        <f>Constants!$H69*'Activity data'!BP11*Constants!$H87*EF!$H212*MMVolatEF*NtoN2O*kgtoGg</f>
        <v>1.24622639719568E-4</v>
      </c>
    </row>
    <row r="163" spans="1:68" x14ac:dyDescent="0.2">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8.2041591156770978E-4</v>
      </c>
      <c r="AM163" s="22">
        <f>Constants!$H70*'Activity data'!AM12*Constants!$H88*EF!$H213*MMVolatEF*NtoN2O*kgtoGg</f>
        <v>8.216653384055813E-4</v>
      </c>
      <c r="AN163" s="22">
        <f>Constants!$H70*'Activity data'!AN12*Constants!$H88*EF!$H213*MMVolatEF*NtoN2O*kgtoGg</f>
        <v>8.2307748974241456E-4</v>
      </c>
      <c r="AO163" s="22">
        <f>Constants!$H70*'Activity data'!AO12*Constants!$H88*EF!$H213*MMVolatEF*NtoN2O*kgtoGg</f>
        <v>8.246705212997898E-4</v>
      </c>
      <c r="AP163" s="22">
        <f>Constants!$H70*'Activity data'!AP12*Constants!$H88*EF!$H213*MMVolatEF*NtoN2O*kgtoGg</f>
        <v>8.2646256470257108E-4</v>
      </c>
      <c r="AQ163" s="22">
        <f>Constants!$H70*'Activity data'!AQ12*Constants!$H88*EF!$H213*MMVolatEF*NtoN2O*kgtoGg</f>
        <v>8.284162520491963E-4</v>
      </c>
      <c r="AR163" s="22">
        <f>Constants!$H70*'Activity data'!AR12*Constants!$H88*EF!$H213*MMVolatEF*NtoN2O*kgtoGg</f>
        <v>8.2960446867411488E-4</v>
      </c>
      <c r="AS163" s="22">
        <f>Constants!$H70*'Activity data'!AS12*Constants!$H88*EF!$H213*MMVolatEF*NtoN2O*kgtoGg</f>
        <v>8.3093163831104511E-4</v>
      </c>
      <c r="AT163" s="22">
        <f>Constants!$H70*'Activity data'!AT12*Constants!$H88*EF!$H213*MMVolatEF*NtoN2O*kgtoGg</f>
        <v>8.323880253653359E-4</v>
      </c>
      <c r="AU163" s="22">
        <f>Constants!$H70*'Activity data'!AU12*Constants!$H88*EF!$H213*MMVolatEF*NtoN2O*kgtoGg</f>
        <v>8.3400660346610628E-4</v>
      </c>
      <c r="AV163" s="22">
        <f>Constants!$H70*'Activity data'!AV12*Constants!$H88*EF!$H213*MMVolatEF*NtoN2O*kgtoGg</f>
        <v>8.3574760408304538E-4</v>
      </c>
      <c r="AW163" s="22">
        <f>Constants!$H70*'Activity data'!AW12*Constants!$H88*EF!$H213*MMVolatEF*NtoN2O*kgtoGg</f>
        <v>8.3688522766794265E-4</v>
      </c>
      <c r="AX163" s="22">
        <f>Constants!$H70*'Activity data'!AX12*Constants!$H88*EF!$H213*MMVolatEF*NtoN2O*kgtoGg</f>
        <v>8.3816221522631858E-4</v>
      </c>
      <c r="AY163" s="22">
        <f>Constants!$H70*'Activity data'!AY12*Constants!$H88*EF!$H213*MMVolatEF*NtoN2O*kgtoGg</f>
        <v>8.3955816665060555E-4</v>
      </c>
      <c r="AZ163" s="22">
        <f>Constants!$H70*'Activity data'!AZ12*Constants!$H88*EF!$H213*MMVolatEF*NtoN2O*kgtoGg</f>
        <v>8.4108757920503671E-4</v>
      </c>
      <c r="BA163" s="22">
        <f>Constants!$H70*'Activity data'!BA12*Constants!$H88*EF!$H213*MMVolatEF*NtoN2O*kgtoGg</f>
        <v>8.4266225824114254E-4</v>
      </c>
      <c r="BB163" s="22">
        <f>Constants!$H70*'Activity data'!BB12*Constants!$H88*EF!$H213*MMVolatEF*NtoN2O*kgtoGg</f>
        <v>8.436273399102601E-4</v>
      </c>
      <c r="BC163" s="22">
        <f>Constants!$H70*'Activity data'!BC12*Constants!$H88*EF!$H213*MMVolatEF*NtoN2O*kgtoGg</f>
        <v>8.4469346476368369E-4</v>
      </c>
      <c r="BD163" s="22">
        <f>Constants!$H70*'Activity data'!BD12*Constants!$H88*EF!$H213*MMVolatEF*NtoN2O*kgtoGg</f>
        <v>8.4583345638086619E-4</v>
      </c>
      <c r="BE163" s="22">
        <f>Constants!$H70*'Activity data'!BE12*Constants!$H88*EF!$H213*MMVolatEF*NtoN2O*kgtoGg</f>
        <v>8.4706087745956699E-4</v>
      </c>
      <c r="BF163" s="22">
        <f>Constants!$H70*'Activity data'!BF12*Constants!$H88*EF!$H213*MMVolatEF*NtoN2O*kgtoGg</f>
        <v>8.483646364091695E-4</v>
      </c>
      <c r="BG163" s="22">
        <f>Constants!$H70*'Activity data'!BG12*Constants!$H88*EF!$H213*MMVolatEF*NtoN2O*kgtoGg</f>
        <v>8.4912071026564152E-4</v>
      </c>
      <c r="BH163" s="22">
        <f>Constants!$H70*'Activity data'!BH12*Constants!$H88*EF!$H213*MMVolatEF*NtoN2O*kgtoGg</f>
        <v>8.4993396545434991E-4</v>
      </c>
      <c r="BI163" s="22">
        <f>Constants!$H70*'Activity data'!BI12*Constants!$H88*EF!$H213*MMVolatEF*NtoN2O*kgtoGg</f>
        <v>8.5081479545108508E-4</v>
      </c>
      <c r="BJ163" s="22">
        <f>Constants!$H70*'Activity data'!BJ12*Constants!$H88*EF!$H213*MMVolatEF*NtoN2O*kgtoGg</f>
        <v>8.5176441622917501E-4</v>
      </c>
      <c r="BK163" s="22">
        <f>Constants!$H70*'Activity data'!BK12*Constants!$H88*EF!$H213*MMVolatEF*NtoN2O*kgtoGg</f>
        <v>8.5278216395392656E-4</v>
      </c>
      <c r="BL163" s="22">
        <f>Constants!$H70*'Activity data'!BL12*Constants!$H88*EF!$H213*MMVolatEF*NtoN2O*kgtoGg</f>
        <v>8.5323725000188266E-4</v>
      </c>
      <c r="BM163" s="22">
        <f>Constants!$H70*'Activity data'!BM12*Constants!$H88*EF!$H213*MMVolatEF*NtoN2O*kgtoGg</f>
        <v>8.5366082649812602E-4</v>
      </c>
      <c r="BN163" s="22">
        <f>Constants!$H70*'Activity data'!BN12*Constants!$H88*EF!$H213*MMVolatEF*NtoN2O*kgtoGg</f>
        <v>8.5413040409500023E-4</v>
      </c>
      <c r="BO163" s="22">
        <f>Constants!$H70*'Activity data'!BO12*Constants!$H88*EF!$H213*MMVolatEF*NtoN2O*kgtoGg</f>
        <v>8.546535096648827E-4</v>
      </c>
      <c r="BP163" s="22">
        <f>Constants!$H70*'Activity data'!BP12*Constants!$H88*EF!$H213*MMVolatEF*NtoN2O*kgtoGg</f>
        <v>8.5522475820269445E-4</v>
      </c>
    </row>
    <row r="164" spans="1:68" x14ac:dyDescent="0.2">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1.4486129996083081E-5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1.4639017833045651E-5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1.4890706011157255E-5</v>
      </c>
      <c r="AK164" s="22">
        <f>Constants!$H71*'Activity data'!AK13*Constants!$H89*EF!$H214*MMVolatEF*NtoN2O*kgtoGg</f>
        <v>1.4988675221399694E-5</v>
      </c>
      <c r="AL164" s="22">
        <f>Constants!$H71*'Activity data'!AL13*Constants!$H89*EF!$H214*MMVolatEF*NtoN2O*kgtoGg</f>
        <v>1.5078679643027028E-5</v>
      </c>
      <c r="AM164" s="22">
        <f>Constants!$H71*'Activity data'!AM13*Constants!$H89*EF!$H214*MMVolatEF*NtoN2O*kgtoGg</f>
        <v>1.5122495296339113E-5</v>
      </c>
      <c r="AN164" s="22">
        <f>Constants!$H71*'Activity data'!AN13*Constants!$H89*EF!$H214*MMVolatEF*NtoN2O*kgtoGg</f>
        <v>1.516958973789732E-5</v>
      </c>
      <c r="AO164" s="22">
        <f>Constants!$H71*'Activity data'!AO13*Constants!$H89*EF!$H214*MMVolatEF*NtoN2O*kgtoGg</f>
        <v>1.5220538890996556E-5</v>
      </c>
      <c r="AP164" s="22">
        <f>Constants!$H71*'Activity data'!AP13*Constants!$H89*EF!$H214*MMVolatEF*NtoN2O*kgtoGg</f>
        <v>1.5275902163367261E-5</v>
      </c>
      <c r="AQ164" s="22">
        <f>Constants!$H71*'Activity data'!AQ13*Constants!$H89*EF!$H214*MMVolatEF*NtoN2O*kgtoGg</f>
        <v>1.5334694454120534E-5</v>
      </c>
      <c r="AR164" s="22">
        <f>Constants!$H71*'Activity data'!AR13*Constants!$H89*EF!$H214*MMVolatEF*NtoN2O*kgtoGg</f>
        <v>1.5371448915304841E-5</v>
      </c>
      <c r="AS164" s="22">
        <f>Constants!$H71*'Activity data'!AS13*Constants!$H89*EF!$H214*MMVolatEF*NtoN2O*kgtoGg</f>
        <v>1.5411207509365297E-5</v>
      </c>
      <c r="AT164" s="22">
        <f>Constants!$H71*'Activity data'!AT13*Constants!$H89*EF!$H214*MMVolatEF*NtoN2O*kgtoGg</f>
        <v>1.5453736398701918E-5</v>
      </c>
      <c r="AU164" s="22">
        <f>Constants!$H71*'Activity data'!AU13*Constants!$H89*EF!$H214*MMVolatEF*NtoN2O*kgtoGg</f>
        <v>1.5499966763922933E-5</v>
      </c>
      <c r="AV164" s="22">
        <f>Constants!$H71*'Activity data'!AV13*Constants!$H89*EF!$H214*MMVolatEF*NtoN2O*kgtoGg</f>
        <v>1.5548833641447303E-5</v>
      </c>
      <c r="AW164" s="22">
        <f>Constants!$H71*'Activity data'!AW13*Constants!$H89*EF!$H214*MMVolatEF*NtoN2O*kgtoGg</f>
        <v>1.5580602349578564E-5</v>
      </c>
      <c r="AX164" s="22">
        <f>Constants!$H71*'Activity data'!AX13*Constants!$H89*EF!$H214*MMVolatEF*NtoN2O*kgtoGg</f>
        <v>1.5615591404277508E-5</v>
      </c>
      <c r="AY164" s="22">
        <f>Constants!$H71*'Activity data'!AY13*Constants!$H89*EF!$H214*MMVolatEF*NtoN2O*kgtoGg</f>
        <v>1.5653259744642323E-5</v>
      </c>
      <c r="AZ164" s="22">
        <f>Constants!$H71*'Activity data'!AZ13*Constants!$H89*EF!$H214*MMVolatEF*NtoN2O*kgtoGg</f>
        <v>1.5694012741398928E-5</v>
      </c>
      <c r="BA164" s="22">
        <f>Constants!$H71*'Activity data'!BA13*Constants!$H89*EF!$H214*MMVolatEF*NtoN2O*kgtoGg</f>
        <v>1.5735477279761714E-5</v>
      </c>
      <c r="BB164" s="22">
        <f>Constants!$H71*'Activity data'!BB13*Constants!$H89*EF!$H214*MMVolatEF*NtoN2O*kgtoGg</f>
        <v>1.5760021720349279E-5</v>
      </c>
      <c r="BC164" s="22">
        <f>Constants!$H71*'Activity data'!BC13*Constants!$H89*EF!$H214*MMVolatEF*NtoN2O*kgtoGg</f>
        <v>1.5786883711006113E-5</v>
      </c>
      <c r="BD164" s="22">
        <f>Constants!$H71*'Activity data'!BD13*Constants!$H89*EF!$H214*MMVolatEF*NtoN2O*kgtoGg</f>
        <v>1.5815340273420816E-5</v>
      </c>
      <c r="BE164" s="22">
        <f>Constants!$H71*'Activity data'!BE13*Constants!$H89*EF!$H214*MMVolatEF*NtoN2O*kgtoGg</f>
        <v>1.5845764593107772E-5</v>
      </c>
      <c r="BF164" s="22">
        <f>Constants!$H71*'Activity data'!BF13*Constants!$H89*EF!$H214*MMVolatEF*NtoN2O*kgtoGg</f>
        <v>1.5877866318833775E-5</v>
      </c>
      <c r="BG164" s="22">
        <f>Constants!$H71*'Activity data'!BG13*Constants!$H89*EF!$H214*MMVolatEF*NtoN2O*kgtoGg</f>
        <v>1.5894983838021428E-5</v>
      </c>
      <c r="BH164" s="22">
        <f>Constants!$H71*'Activity data'!BH13*Constants!$H89*EF!$H214*MMVolatEF*NtoN2O*kgtoGg</f>
        <v>1.5913339031971955E-5</v>
      </c>
      <c r="BI164" s="22">
        <f>Constants!$H71*'Activity data'!BI13*Constants!$H89*EF!$H214*MMVolatEF*NtoN2O*kgtoGg</f>
        <v>1.593321505910849E-5</v>
      </c>
      <c r="BJ164" s="22">
        <f>Constants!$H71*'Activity data'!BJ13*Constants!$H89*EF!$H214*MMVolatEF*NtoN2O*kgtoGg</f>
        <v>1.5954648527995344E-5</v>
      </c>
      <c r="BK164" s="22">
        <f>Constants!$H71*'Activity data'!BK13*Constants!$H89*EF!$H214*MMVolatEF*NtoN2O*kgtoGg</f>
        <v>1.5977625288303394E-5</v>
      </c>
      <c r="BL164" s="22">
        <f>Constants!$H71*'Activity data'!BL13*Constants!$H89*EF!$H214*MMVolatEF*NtoN2O*kgtoGg</f>
        <v>1.5985441440203981E-5</v>
      </c>
      <c r="BM164" s="22">
        <f>Constants!$H71*'Activity data'!BM13*Constants!$H89*EF!$H214*MMVolatEF*NtoN2O*kgtoGg</f>
        <v>1.5992226212116376E-5</v>
      </c>
      <c r="BN164" s="22">
        <f>Constants!$H71*'Activity data'!BN13*Constants!$H89*EF!$H214*MMVolatEF*NtoN2O*kgtoGg</f>
        <v>1.6000039436891757E-5</v>
      </c>
      <c r="BO164" s="22">
        <f>Constants!$H71*'Activity data'!BO13*Constants!$H89*EF!$H214*MMVolatEF*NtoN2O*kgtoGg</f>
        <v>1.6009082551352237E-5</v>
      </c>
      <c r="BP164" s="22">
        <f>Constants!$H71*'Activity data'!BP13*Constants!$H89*EF!$H214*MMVolatEF*NtoN2O*kgtoGg</f>
        <v>1.6019215529788255E-5</v>
      </c>
    </row>
    <row r="165" spans="1:68" x14ac:dyDescent="0.2">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1.4738364076719785E-3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1.4893914013429299E-3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1.5149984613639165E-3</v>
      </c>
      <c r="AK165" s="22">
        <f>Constants!$H72*'Activity data'!AK14*Constants!$H90*EF!$H215*MMVolatEF*NtoN2O*kgtoGg</f>
        <v>1.5249659674490626E-3</v>
      </c>
      <c r="AL165" s="22">
        <f>Constants!$H72*'Activity data'!AL14*Constants!$H90*EF!$H215*MMVolatEF*NtoN2O*kgtoGg</f>
        <v>1.5341231262956069E-3</v>
      </c>
      <c r="AM165" s="22">
        <f>Constants!$H72*'Activity data'!AM14*Constants!$H90*EF!$H215*MMVolatEF*NtoN2O*kgtoGg</f>
        <v>1.5385809839218152E-3</v>
      </c>
      <c r="AN165" s="22">
        <f>Constants!$H72*'Activity data'!AN14*Constants!$H90*EF!$H215*MMVolatEF*NtoN2O*kgtoGg</f>
        <v>1.5433724294346084E-3</v>
      </c>
      <c r="AO165" s="22">
        <f>Constants!$H72*'Activity data'!AO14*Constants!$H90*EF!$H215*MMVolatEF*NtoN2O*kgtoGg</f>
        <v>1.5485560579674195E-3</v>
      </c>
      <c r="AP165" s="22">
        <f>Constants!$H72*'Activity data'!AP14*Constants!$H90*EF!$H215*MMVolatEF*NtoN2O*kgtoGg</f>
        <v>1.5541887843401544E-3</v>
      </c>
      <c r="AQ165" s="22">
        <f>Constants!$H72*'Activity data'!AQ14*Constants!$H90*EF!$H215*MMVolatEF*NtoN2O*kgtoGg</f>
        <v>1.5601703831954754E-3</v>
      </c>
      <c r="AR165" s="22">
        <f>Constants!$H72*'Activity data'!AR14*Constants!$H90*EF!$H215*MMVolatEF*NtoN2O*kgtoGg</f>
        <v>1.5639098265839071E-3</v>
      </c>
      <c r="AS165" s="22">
        <f>Constants!$H72*'Activity data'!AS14*Constants!$H90*EF!$H215*MMVolatEF*NtoN2O*kgtoGg</f>
        <v>1.5679549140889886E-3</v>
      </c>
      <c r="AT165" s="22">
        <f>Constants!$H72*'Activity data'!AT14*Constants!$H90*EF!$H215*MMVolatEF*NtoN2O*kgtoGg</f>
        <v>1.5722818547901358E-3</v>
      </c>
      <c r="AU165" s="22">
        <f>Constants!$H72*'Activity data'!AU14*Constants!$H90*EF!$H215*MMVolatEF*NtoN2O*kgtoGg</f>
        <v>1.5769853881300361E-3</v>
      </c>
      <c r="AV165" s="22">
        <f>Constants!$H72*'Activity data'!AV14*Constants!$H90*EF!$H215*MMVolatEF*NtoN2O*kgtoGg</f>
        <v>1.5819571634243445E-3</v>
      </c>
      <c r="AW165" s="22">
        <f>Constants!$H72*'Activity data'!AW14*Constants!$H90*EF!$H215*MMVolatEF*NtoN2O*kgtoGg</f>
        <v>1.5851893502596976E-3</v>
      </c>
      <c r="AX165" s="22">
        <f>Constants!$H72*'Activity data'!AX14*Constants!$H90*EF!$H215*MMVolatEF*NtoN2O*kgtoGg</f>
        <v>1.5887491790545015E-3</v>
      </c>
      <c r="AY165" s="22">
        <f>Constants!$H72*'Activity data'!AY14*Constants!$H90*EF!$H215*MMVolatEF*NtoN2O*kgtoGg</f>
        <v>1.5925816016174124E-3</v>
      </c>
      <c r="AZ165" s="22">
        <f>Constants!$H72*'Activity data'!AZ14*Constants!$H90*EF!$H215*MMVolatEF*NtoN2O*kgtoGg</f>
        <v>1.5967278608569652E-3</v>
      </c>
      <c r="BA165" s="22">
        <f>Constants!$H72*'Activity data'!BA14*Constants!$H90*EF!$H215*MMVolatEF*NtoN2O*kgtoGg</f>
        <v>1.6009465132011667E-3</v>
      </c>
      <c r="BB165" s="22">
        <f>Constants!$H72*'Activity data'!BB14*Constants!$H90*EF!$H215*MMVolatEF*NtoN2O*kgtoGg</f>
        <v>1.6034436943084516E-3</v>
      </c>
      <c r="BC165" s="22">
        <f>Constants!$H72*'Activity data'!BC14*Constants!$H90*EF!$H215*MMVolatEF*NtoN2O*kgtoGg</f>
        <v>1.6061766657662043E-3</v>
      </c>
      <c r="BD165" s="22">
        <f>Constants!$H72*'Activity data'!BD14*Constants!$H90*EF!$H215*MMVolatEF*NtoN2O*kgtoGg</f>
        <v>1.6090718708855374E-3</v>
      </c>
      <c r="BE165" s="22">
        <f>Constants!$H72*'Activity data'!BE14*Constants!$H90*EF!$H215*MMVolatEF*NtoN2O*kgtoGg</f>
        <v>1.6121672780125896E-3</v>
      </c>
      <c r="BF165" s="22">
        <f>Constants!$H72*'Activity data'!BF14*Constants!$H90*EF!$H215*MMVolatEF*NtoN2O*kgtoGg</f>
        <v>1.6154333464612968E-3</v>
      </c>
      <c r="BG165" s="22">
        <f>Constants!$H72*'Activity data'!BG14*Constants!$H90*EF!$H215*MMVolatEF*NtoN2O*kgtoGg</f>
        <v>1.6171749035917807E-3</v>
      </c>
      <c r="BH165" s="22">
        <f>Constants!$H72*'Activity data'!BH14*Constants!$H90*EF!$H215*MMVolatEF*NtoN2O*kgtoGg</f>
        <v>1.6190423832513916E-3</v>
      </c>
      <c r="BI165" s="22">
        <f>Constants!$H72*'Activity data'!BI14*Constants!$H90*EF!$H215*MMVolatEF*NtoN2O*kgtoGg</f>
        <v>1.6210645943209887E-3</v>
      </c>
      <c r="BJ165" s="22">
        <f>Constants!$H72*'Activity data'!BJ14*Constants!$H90*EF!$H215*MMVolatEF*NtoN2O*kgtoGg</f>
        <v>1.6232452614002358E-3</v>
      </c>
      <c r="BK165" s="22">
        <f>Constants!$H72*'Activity data'!BK14*Constants!$H90*EF!$H215*MMVolatEF*NtoN2O*kgtoGg</f>
        <v>1.6255829448175118E-3</v>
      </c>
      <c r="BL165" s="22">
        <f>Constants!$H72*'Activity data'!BL14*Constants!$H90*EF!$H215*MMVolatEF*NtoN2O*kgtoGg</f>
        <v>1.6263781695767885E-3</v>
      </c>
      <c r="BM165" s="22">
        <f>Constants!$H72*'Activity data'!BM14*Constants!$H90*EF!$H215*MMVolatEF*NtoN2O*kgtoGg</f>
        <v>1.6270684604871241E-3</v>
      </c>
      <c r="BN165" s="22">
        <f>Constants!$H72*'Activity data'!BN14*Constants!$H90*EF!$H215*MMVolatEF*NtoN2O*kgtoGg</f>
        <v>1.6278633874371373E-3</v>
      </c>
      <c r="BO165" s="22">
        <f>Constants!$H72*'Activity data'!BO14*Constants!$H90*EF!$H215*MMVolatEF*NtoN2O*kgtoGg</f>
        <v>1.6287834448530387E-3</v>
      </c>
      <c r="BP165" s="22">
        <f>Constants!$H72*'Activity data'!BP14*Constants!$H90*EF!$H215*MMVolatEF*NtoN2O*kgtoGg</f>
        <v>1.6298143863495728E-3</v>
      </c>
    </row>
    <row r="166" spans="1:68" x14ac:dyDescent="0.2">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2">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2">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0.13004550543955873</v>
      </c>
      <c r="AF168" s="22">
        <f>Constants!$H75*'Activity data'!AF17*Constants!$H93*EF!$H218*MMVolatEF*NtoN2O*kgtoGg</f>
        <v>0.13010384136507713</v>
      </c>
      <c r="AG168" s="22">
        <f>Constants!$H75*'Activity data'!AG17*Constants!$H93*EF!$H218*MMVolatEF*NtoN2O*kgtoGg</f>
        <v>0.1289093884029483</v>
      </c>
      <c r="AH168" s="22">
        <f>Constants!$H75*'Activity data'!AH17*Constants!$H93*EF!$H218*MMVolatEF*NtoN2O*kgtoGg</f>
        <v>0.12695857121838477</v>
      </c>
      <c r="AI168" s="22">
        <f>Constants!$H75*'Activity data'!AI17*Constants!$H93*EF!$H218*MMVolatEF*NtoN2O*kgtoGg</f>
        <v>0.12428257569245395</v>
      </c>
      <c r="AJ168" s="22">
        <f>Constants!$H75*'Activity data'!AJ17*Constants!$H93*EF!$H218*MMVolatEF*NtoN2O*kgtoGg</f>
        <v>0.12233950618032065</v>
      </c>
      <c r="AK168" s="22">
        <f>Constants!$H75*'Activity data'!AK17*Constants!$H93*EF!$H218*MMVolatEF*NtoN2O*kgtoGg</f>
        <v>0.12056837226162823</v>
      </c>
      <c r="AL168" s="22">
        <f>Constants!$H75*'Activity data'!AL17*Constants!$H93*EF!$H218*MMVolatEF*NtoN2O*kgtoGg</f>
        <v>0.10742568641023791</v>
      </c>
      <c r="AM168" s="22">
        <f>Constants!$H75*'Activity data'!AM17*Constants!$H93*EF!$H218*MMVolatEF*NtoN2O*kgtoGg</f>
        <v>0.1091029492210569</v>
      </c>
      <c r="AN168" s="22">
        <f>Constants!$H75*'Activity data'!AN17*Constants!$H93*EF!$H218*MMVolatEF*NtoN2O*kgtoGg</f>
        <v>0.1098152981393777</v>
      </c>
      <c r="AO168" s="22">
        <f>Constants!$H75*'Activity data'!AO17*Constants!$H93*EF!$H218*MMVolatEF*NtoN2O*kgtoGg</f>
        <v>0.11028443328369632</v>
      </c>
      <c r="AP168" s="22">
        <f>Constants!$H75*'Activity data'!AP17*Constants!$H93*EF!$H218*MMVolatEF*NtoN2O*kgtoGg</f>
        <v>0.11115311990923482</v>
      </c>
      <c r="AQ168" s="22">
        <f>Constants!$H75*'Activity data'!AQ17*Constants!$H93*EF!$H218*MMVolatEF*NtoN2O*kgtoGg</f>
        <v>0.11180012354863146</v>
      </c>
      <c r="AR168" s="22">
        <f>Constants!$H75*'Activity data'!AR17*Constants!$H93*EF!$H218*MMVolatEF*NtoN2O*kgtoGg</f>
        <v>0.11213950095917391</v>
      </c>
      <c r="AS168" s="22">
        <f>Constants!$H75*'Activity data'!AS17*Constants!$H93*EF!$H218*MMVolatEF*NtoN2O*kgtoGg</f>
        <v>0.11234743559515332</v>
      </c>
      <c r="AT168" s="22">
        <f>Constants!$H75*'Activity data'!AT17*Constants!$H93*EF!$H218*MMVolatEF*NtoN2O*kgtoGg</f>
        <v>0.11237564219545433</v>
      </c>
      <c r="AU168" s="22">
        <f>Constants!$H75*'Activity data'!AU17*Constants!$H93*EF!$H218*MMVolatEF*NtoN2O*kgtoGg</f>
        <v>0.1130282053559263</v>
      </c>
      <c r="AV168" s="22">
        <f>Constants!$H75*'Activity data'!AV17*Constants!$H93*EF!$H218*MMVolatEF*NtoN2O*kgtoGg</f>
        <v>0.11359821524900583</v>
      </c>
      <c r="AW168" s="22">
        <f>Constants!$H75*'Activity data'!AW17*Constants!$H93*EF!$H218*MMVolatEF*NtoN2O*kgtoGg</f>
        <v>0.11441835566605747</v>
      </c>
      <c r="AX168" s="22">
        <f>Constants!$H75*'Activity data'!AX17*Constants!$H93*EF!$H218*MMVolatEF*NtoN2O*kgtoGg</f>
        <v>0.11580372782809943</v>
      </c>
      <c r="AY168" s="22">
        <f>Constants!$H75*'Activity data'!AY17*Constants!$H93*EF!$H218*MMVolatEF*NtoN2O*kgtoGg</f>
        <v>0.11742607569995514</v>
      </c>
      <c r="AZ168" s="22">
        <f>Constants!$H75*'Activity data'!AZ17*Constants!$H93*EF!$H218*MMVolatEF*NtoN2O*kgtoGg</f>
        <v>0.11962260335271972</v>
      </c>
      <c r="BA168" s="22">
        <f>Constants!$H75*'Activity data'!BA17*Constants!$H93*EF!$H218*MMVolatEF*NtoN2O*kgtoGg</f>
        <v>0.12080838440395283</v>
      </c>
      <c r="BB168" s="22">
        <f>Constants!$H75*'Activity data'!BB17*Constants!$H93*EF!$H218*MMVolatEF*NtoN2O*kgtoGg</f>
        <v>0.12184404408189208</v>
      </c>
      <c r="BC168" s="22">
        <f>Constants!$H75*'Activity data'!BC17*Constants!$H93*EF!$H218*MMVolatEF*NtoN2O*kgtoGg</f>
        <v>0.12314557152083414</v>
      </c>
      <c r="BD168" s="22">
        <f>Constants!$H75*'Activity data'!BD17*Constants!$H93*EF!$H218*MMVolatEF*NtoN2O*kgtoGg</f>
        <v>0.12427557755093979</v>
      </c>
      <c r="BE168" s="22">
        <f>Constants!$H75*'Activity data'!BE17*Constants!$H93*EF!$H218*MMVolatEF*NtoN2O*kgtoGg</f>
        <v>0.1255259175330139</v>
      </c>
      <c r="BF168" s="22">
        <f>Constants!$H75*'Activity data'!BF17*Constants!$H93*EF!$H218*MMVolatEF*NtoN2O*kgtoGg</f>
        <v>0.12674552603750175</v>
      </c>
      <c r="BG168" s="22">
        <f>Constants!$H75*'Activity data'!BG17*Constants!$H93*EF!$H218*MMVolatEF*NtoN2O*kgtoGg</f>
        <v>0.12838752833674963</v>
      </c>
      <c r="BH168" s="22">
        <f>Constants!$H75*'Activity data'!BH17*Constants!$H93*EF!$H218*MMVolatEF*NtoN2O*kgtoGg</f>
        <v>0.12981338825169941</v>
      </c>
      <c r="BI168" s="22">
        <f>Constants!$H75*'Activity data'!BI17*Constants!$H93*EF!$H218*MMVolatEF*NtoN2O*kgtoGg</f>
        <v>0.13123798099286382</v>
      </c>
      <c r="BJ168" s="22">
        <f>Constants!$H75*'Activity data'!BJ17*Constants!$H93*EF!$H218*MMVolatEF*NtoN2O*kgtoGg</f>
        <v>0.13271316927423235</v>
      </c>
      <c r="BK168" s="22">
        <f>Constants!$H75*'Activity data'!BK17*Constants!$H93*EF!$H218*MMVolatEF*NtoN2O*kgtoGg</f>
        <v>0.13425553565091783</v>
      </c>
      <c r="BL168" s="22">
        <f>Constants!$H75*'Activity data'!BL17*Constants!$H93*EF!$H218*MMVolatEF*NtoN2O*kgtoGg</f>
        <v>0.1362655431555625</v>
      </c>
      <c r="BM168" s="22">
        <f>Constants!$H75*'Activity data'!BM17*Constants!$H93*EF!$H218*MMVolatEF*NtoN2O*kgtoGg</f>
        <v>0.1368880254632967</v>
      </c>
      <c r="BN168" s="22">
        <f>Constants!$H75*'Activity data'!BN17*Constants!$H93*EF!$H218*MMVolatEF*NtoN2O*kgtoGg</f>
        <v>0.13738521125796219</v>
      </c>
      <c r="BO168" s="22">
        <f>Constants!$H75*'Activity data'!BO17*Constants!$H93*EF!$H218*MMVolatEF*NtoN2O*kgtoGg</f>
        <v>0.13789795385940914</v>
      </c>
      <c r="BP168" s="22">
        <f>Constants!$H75*'Activity data'!BP17*Constants!$H93*EF!$H218*MMVolatEF*NtoN2O*kgtoGg</f>
        <v>0.13836722215964953</v>
      </c>
    </row>
    <row r="169" spans="1:68" x14ac:dyDescent="0.2">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1.2724633182830881E-2</v>
      </c>
      <c r="AE169" s="22">
        <f>Constants!$H76*'Activity data'!AE18*Constants!$H94*EF!$H219*MMVolatEF*NtoN2O*kgtoGg</f>
        <v>1.2655466337890216E-2</v>
      </c>
      <c r="AF169" s="22">
        <f>Constants!$H76*'Activity data'!AF18*Constants!$H94*EF!$H219*MMVolatEF*NtoN2O*kgtoGg</f>
        <v>1.266114333794641E-2</v>
      </c>
      <c r="AG169" s="22">
        <f>Constants!$H76*'Activity data'!AG18*Constants!$H94*EF!$H219*MMVolatEF*NtoN2O*kgtoGg</f>
        <v>1.2544904339887072E-2</v>
      </c>
      <c r="AH169" s="22">
        <f>Constants!$H76*'Activity data'!AH18*Constants!$H94*EF!$H219*MMVolatEF*NtoN2O*kgtoGg</f>
        <v>1.2355059245839619E-2</v>
      </c>
      <c r="AI169" s="22">
        <f>Constants!$H76*'Activity data'!AI18*Constants!$H94*EF!$H219*MMVolatEF*NtoN2O*kgtoGg</f>
        <v>1.209464293091744E-2</v>
      </c>
      <c r="AJ169" s="22">
        <f>Constants!$H76*'Activity data'!AJ18*Constants!$H94*EF!$H219*MMVolatEF*NtoN2O*kgtoGg</f>
        <v>1.1905551806853851E-2</v>
      </c>
      <c r="AK169" s="22">
        <f>Constants!$H76*'Activity data'!AK18*Constants!$H94*EF!$H219*MMVolatEF*NtoN2O*kgtoGg</f>
        <v>1.1733192711380727E-2</v>
      </c>
      <c r="AL169" s="22">
        <f>Constants!$H76*'Activity data'!AL18*Constants!$H94*EF!$H219*MMVolatEF*NtoN2O*kgtoGg</f>
        <v>1.0454203346699911E-2</v>
      </c>
      <c r="AM169" s="22">
        <f>Constants!$H76*'Activity data'!AM18*Constants!$H94*EF!$H219*MMVolatEF*NtoN2O*kgtoGg</f>
        <v>1.0617427311806347E-2</v>
      </c>
      <c r="AN169" s="22">
        <f>Constants!$H76*'Activity data'!AN18*Constants!$H94*EF!$H219*MMVolatEF*NtoN2O*kgtoGg</f>
        <v>1.0686750028698176E-2</v>
      </c>
      <c r="AO169" s="22">
        <f>Constants!$H76*'Activity data'!AO18*Constants!$H94*EF!$H219*MMVolatEF*NtoN2O*kgtoGg</f>
        <v>1.0732404232638389E-2</v>
      </c>
      <c r="AP169" s="22">
        <f>Constants!$H76*'Activity data'!AP18*Constants!$H94*EF!$H219*MMVolatEF*NtoN2O*kgtoGg</f>
        <v>1.0816941059270873E-2</v>
      </c>
      <c r="AQ169" s="22">
        <f>Constants!$H76*'Activity data'!AQ18*Constants!$H94*EF!$H219*MMVolatEF*NtoN2O*kgtoGg</f>
        <v>1.087990465613799E-2</v>
      </c>
      <c r="AR169" s="22">
        <f>Constants!$H76*'Activity data'!AR18*Constants!$H94*EF!$H219*MMVolatEF*NtoN2O*kgtoGg</f>
        <v>1.0912931398434408E-2</v>
      </c>
      <c r="AS169" s="22">
        <f>Constants!$H76*'Activity data'!AS18*Constants!$H94*EF!$H219*MMVolatEF*NtoN2O*kgtoGg</f>
        <v>1.0933166698202938E-2</v>
      </c>
      <c r="AT169" s="22">
        <f>Constants!$H76*'Activity data'!AT18*Constants!$H94*EF!$H219*MMVolatEF*NtoN2O*kgtoGg</f>
        <v>1.0935911642593046E-2</v>
      </c>
      <c r="AU169" s="22">
        <f>Constants!$H76*'Activity data'!AU18*Constants!$H94*EF!$H219*MMVolatEF*NtoN2O*kgtoGg</f>
        <v>1.0999416268014638E-2</v>
      </c>
      <c r="AV169" s="22">
        <f>Constants!$H76*'Activity data'!AV18*Constants!$H94*EF!$H219*MMVolatEF*NtoN2O*kgtoGg</f>
        <v>1.1054887166372485E-2</v>
      </c>
      <c r="AW169" s="22">
        <f>Constants!$H76*'Activity data'!AW18*Constants!$H94*EF!$H219*MMVolatEF*NtoN2O*kgtoGg</f>
        <v>1.1134699685884465E-2</v>
      </c>
      <c r="AX169" s="22">
        <f>Constants!$H76*'Activity data'!AX18*Constants!$H94*EF!$H219*MMVolatEF*NtoN2O*kgtoGg</f>
        <v>1.1269518115040561E-2</v>
      </c>
      <c r="AY169" s="22">
        <f>Constants!$H76*'Activity data'!AY18*Constants!$H94*EF!$H219*MMVolatEF*NtoN2O*kgtoGg</f>
        <v>1.1427397995711722E-2</v>
      </c>
      <c r="AZ169" s="22">
        <f>Constants!$H76*'Activity data'!AZ18*Constants!$H94*EF!$H219*MMVolatEF*NtoN2O*kgtoGg</f>
        <v>1.1641154570195772E-2</v>
      </c>
      <c r="BA169" s="22">
        <f>Constants!$H76*'Activity data'!BA18*Constants!$H94*EF!$H219*MMVolatEF*NtoN2O*kgtoGg</f>
        <v>1.1756549655379731E-2</v>
      </c>
      <c r="BB169" s="22">
        <f>Constants!$H76*'Activity data'!BB18*Constants!$H94*EF!$H219*MMVolatEF*NtoN2O*kgtoGg</f>
        <v>1.1857335577564188E-2</v>
      </c>
      <c r="BC169" s="22">
        <f>Constants!$H76*'Activity data'!BC18*Constants!$H94*EF!$H219*MMVolatEF*NtoN2O*kgtoGg</f>
        <v>1.1983994600770704E-2</v>
      </c>
      <c r="BD169" s="22">
        <f>Constants!$H76*'Activity data'!BD18*Constants!$H94*EF!$H219*MMVolatEF*NtoN2O*kgtoGg</f>
        <v>1.209396190204173E-2</v>
      </c>
      <c r="BE169" s="22">
        <f>Constants!$H76*'Activity data'!BE18*Constants!$H94*EF!$H219*MMVolatEF*NtoN2O*kgtoGg</f>
        <v>1.2215639583254724E-2</v>
      </c>
      <c r="BF169" s="22">
        <f>Constants!$H76*'Activity data'!BF18*Constants!$H94*EF!$H219*MMVolatEF*NtoN2O*kgtoGg</f>
        <v>1.2334326609936505E-2</v>
      </c>
      <c r="BG169" s="22">
        <f>Constants!$H76*'Activity data'!BG18*Constants!$H94*EF!$H219*MMVolatEF*NtoN2O*kgtoGg</f>
        <v>1.2494119174505589E-2</v>
      </c>
      <c r="BH169" s="22">
        <f>Constants!$H76*'Activity data'!BH18*Constants!$H94*EF!$H219*MMVolatEF*NtoN2O*kgtoGg</f>
        <v>1.2632877696725955E-2</v>
      </c>
      <c r="BI169" s="22">
        <f>Constants!$H76*'Activity data'!BI18*Constants!$H94*EF!$H219*MMVolatEF*NtoN2O*kgtoGg</f>
        <v>1.2771512903072156E-2</v>
      </c>
      <c r="BJ169" s="22">
        <f>Constants!$H76*'Activity data'!BJ18*Constants!$H94*EF!$H219*MMVolatEF*NtoN2O*kgtoGg</f>
        <v>1.2915071848641296E-2</v>
      </c>
      <c r="BK169" s="22">
        <f>Constants!$H76*'Activity data'!BK18*Constants!$H94*EF!$H219*MMVolatEF*NtoN2O*kgtoGg</f>
        <v>1.3065168276002324E-2</v>
      </c>
      <c r="BL169" s="22">
        <f>Constants!$H76*'Activity data'!BL18*Constants!$H94*EF!$H219*MMVolatEF*NtoN2O*kgtoGg</f>
        <v>1.3260773516090847E-2</v>
      </c>
      <c r="BM169" s="22">
        <f>Constants!$H76*'Activity data'!BM18*Constants!$H94*EF!$H219*MMVolatEF*NtoN2O*kgtoGg</f>
        <v>1.3321350802978501E-2</v>
      </c>
      <c r="BN169" s="22">
        <f>Constants!$H76*'Activity data'!BN18*Constants!$H94*EF!$H219*MMVolatEF*NtoN2O*kgtoGg</f>
        <v>1.3369734774933539E-2</v>
      </c>
      <c r="BO169" s="22">
        <f>Constants!$H76*'Activity data'!BO18*Constants!$H94*EF!$H219*MMVolatEF*NtoN2O*kgtoGg</f>
        <v>1.3419632668064721E-2</v>
      </c>
      <c r="BP169" s="22">
        <f>Constants!$H76*'Activity data'!BP18*Constants!$H94*EF!$H219*MMVolatEF*NtoN2O*kgtoGg</f>
        <v>1.3465299830163544E-2</v>
      </c>
    </row>
    <row r="170" spans="1:68" x14ac:dyDescent="0.2">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6.4453339767617107E-2</v>
      </c>
      <c r="AE170" s="22">
        <f>Constants!$H77*'Activity data'!AE19*Constants!$H95*EF!$H220*MMVolatEF*NtoN2O*kgtoGg</f>
        <v>6.5763803942104557E-2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6.9415657765503513E-2</v>
      </c>
      <c r="AI170" s="22">
        <f>Constants!$H77*'Activity data'!AI19*Constants!$H95*EF!$H220*MMVolatEF*NtoN2O*kgtoGg</f>
        <v>7.0122113289878343E-2</v>
      </c>
      <c r="AJ170" s="22">
        <f>Constants!$H77*'Activity data'!AJ19*Constants!$H95*EF!$H220*MMVolatEF*NtoN2O*kgtoGg</f>
        <v>7.1027984276732931E-2</v>
      </c>
      <c r="AK170" s="22">
        <f>Constants!$H77*'Activity data'!AK19*Constants!$H95*EF!$H220*MMVolatEF*NtoN2O*kgtoGg</f>
        <v>7.1969839340941838E-2</v>
      </c>
      <c r="AL170" s="22">
        <f>Constants!$H77*'Activity data'!AL19*Constants!$H95*EF!$H220*MMVolatEF*NtoN2O*kgtoGg</f>
        <v>6.9091020117855437E-2</v>
      </c>
      <c r="AM170" s="22">
        <f>Constants!$H77*'Activity data'!AM19*Constants!$H95*EF!$H220*MMVolatEF*NtoN2O*kgtoGg</f>
        <v>7.0923520025616846E-2</v>
      </c>
      <c r="AN170" s="22">
        <f>Constants!$H77*'Activity data'!AN19*Constants!$H95*EF!$H220*MMVolatEF*NtoN2O*kgtoGg</f>
        <v>7.2452558917721649E-2</v>
      </c>
      <c r="AO170" s="22">
        <f>Constants!$H77*'Activity data'!AO19*Constants!$H95*EF!$H220*MMVolatEF*NtoN2O*kgtoGg</f>
        <v>7.3914725789307509E-2</v>
      </c>
      <c r="AP170" s="22">
        <f>Constants!$H77*'Activity data'!AP19*Constants!$H95*EF!$H220*MMVolatEF*NtoN2O*kgtoGg</f>
        <v>7.5540335927502686E-2</v>
      </c>
      <c r="AQ170" s="22">
        <f>Constants!$H77*'Activity data'!AQ19*Constants!$H95*EF!$H220*MMVolatEF*NtoN2O*kgtoGg</f>
        <v>7.710742274610026E-2</v>
      </c>
      <c r="AR170" s="22">
        <f>Constants!$H77*'Activity data'!AR19*Constants!$H95*EF!$H220*MMVolatEF*NtoN2O*kgtoGg</f>
        <v>7.8514475152186416E-2</v>
      </c>
      <c r="AS170" s="22">
        <f>Constants!$H77*'Activity data'!AS19*Constants!$H95*EF!$H220*MMVolatEF*NtoN2O*kgtoGg</f>
        <v>7.9886368180485237E-2</v>
      </c>
      <c r="AT170" s="22">
        <f>Constants!$H77*'Activity data'!AT19*Constants!$H95*EF!$H220*MMVolatEF*NtoN2O*kgtoGg</f>
        <v>8.1201368710931643E-2</v>
      </c>
      <c r="AU170" s="22">
        <f>Constants!$H77*'Activity data'!AU19*Constants!$H95*EF!$H220*MMVolatEF*NtoN2O*kgtoGg</f>
        <v>8.2782551319957556E-2</v>
      </c>
      <c r="AV170" s="22">
        <f>Constants!$H77*'Activity data'!AV19*Constants!$H95*EF!$H220*MMVolatEF*NtoN2O*kgtoGg</f>
        <v>8.4352893309328145E-2</v>
      </c>
      <c r="AW170" s="22">
        <f>Constants!$H77*'Activity data'!AW19*Constants!$H95*EF!$H220*MMVolatEF*NtoN2O*kgtoGg</f>
        <v>8.5998825916539595E-2</v>
      </c>
      <c r="AX170" s="22">
        <f>Constants!$H77*'Activity data'!AX19*Constants!$H95*EF!$H220*MMVolatEF*NtoN2O*kgtoGg</f>
        <v>8.791554994164491E-2</v>
      </c>
      <c r="AY170" s="22">
        <f>Constants!$H77*'Activity data'!AY19*Constants!$H95*EF!$H220*MMVolatEF*NtoN2O*kgtoGg</f>
        <v>8.9973918009766785E-2</v>
      </c>
      <c r="AZ170" s="22">
        <f>Constants!$H77*'Activity data'!AZ19*Constants!$H95*EF!$H220*MMVolatEF*NtoN2O*kgtoGg</f>
        <v>9.2332462068458354E-2</v>
      </c>
      <c r="BA170" s="22">
        <f>Constants!$H77*'Activity data'!BA19*Constants!$H95*EF!$H220*MMVolatEF*NtoN2O*kgtoGg</f>
        <v>9.4282044413809288E-2</v>
      </c>
      <c r="BB170" s="22">
        <f>Constants!$H77*'Activity data'!BB19*Constants!$H95*EF!$H220*MMVolatEF*NtoN2O*kgtoGg</f>
        <v>9.6147404966029248E-2</v>
      </c>
      <c r="BC170" s="22">
        <f>Constants!$H77*'Activity data'!BC19*Constants!$H95*EF!$H220*MMVolatEF*NtoN2O*kgtoGg</f>
        <v>9.8173701325843382E-2</v>
      </c>
      <c r="BD170" s="22">
        <f>Constants!$H77*'Activity data'!BD19*Constants!$H95*EF!$H220*MMVolatEF*NtoN2O*kgtoGg</f>
        <v>0.1001572245577764</v>
      </c>
      <c r="BE170" s="22">
        <f>Constants!$H77*'Activity data'!BE19*Constants!$H95*EF!$H220*MMVolatEF*NtoN2O*kgtoGg</f>
        <v>0.10223848995104871</v>
      </c>
      <c r="BF170" s="22">
        <f>Constants!$H77*'Activity data'!BF19*Constants!$H95*EF!$H220*MMVolatEF*NtoN2O*kgtoGg</f>
        <v>0.10434595485218236</v>
      </c>
      <c r="BG170" s="22">
        <f>Constants!$H77*'Activity data'!BG19*Constants!$H95*EF!$H220*MMVolatEF*NtoN2O*kgtoGg</f>
        <v>0.10666367827206967</v>
      </c>
      <c r="BH170" s="22">
        <f>Constants!$H77*'Activity data'!BH19*Constants!$H95*EF!$H220*MMVolatEF*NtoN2O*kgtoGg</f>
        <v>0.10891945161625204</v>
      </c>
      <c r="BI170" s="22">
        <f>Constants!$H77*'Activity data'!BI19*Constants!$H95*EF!$H220*MMVolatEF*NtoN2O*kgtoGg</f>
        <v>0.11122270700738313</v>
      </c>
      <c r="BJ170" s="22">
        <f>Constants!$H77*'Activity data'!BJ19*Constants!$H95*EF!$H220*MMVolatEF*NtoN2O*kgtoGg</f>
        <v>0.11360290610560657</v>
      </c>
      <c r="BK170" s="22">
        <f>Constants!$H77*'Activity data'!BK19*Constants!$H95*EF!$H220*MMVolatEF*NtoN2O*kgtoGg</f>
        <v>0.11607217368997393</v>
      </c>
      <c r="BL170" s="22">
        <f>Constants!$H77*'Activity data'!BL19*Constants!$H95*EF!$H220*MMVolatEF*NtoN2O*kgtoGg</f>
        <v>0.11880939144121157</v>
      </c>
      <c r="BM170" s="22">
        <f>Constants!$H77*'Activity data'!BM19*Constants!$H95*EF!$H220*MMVolatEF*NtoN2O*kgtoGg</f>
        <v>0.12081746755875615</v>
      </c>
      <c r="BN170" s="22">
        <f>Constants!$H77*'Activity data'!BN19*Constants!$H95*EF!$H220*MMVolatEF*NtoN2O*kgtoGg</f>
        <v>0.12279062605907758</v>
      </c>
      <c r="BO170" s="22">
        <f>Constants!$H77*'Activity data'!BO19*Constants!$H95*EF!$H220*MMVolatEF*NtoN2O*kgtoGg</f>
        <v>0.12480975001742217</v>
      </c>
      <c r="BP170" s="22">
        <f>Constants!$H77*'Activity data'!BP19*Constants!$H95*EF!$H220*MMVolatEF*NtoN2O*kgtoGg</f>
        <v>0.1268408444448812</v>
      </c>
    </row>
    <row r="171" spans="1:68" x14ac:dyDescent="0.2">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0.31034319165291718</v>
      </c>
      <c r="AE171" s="22">
        <f>Constants!$H78*'Activity data'!AE20*Constants!$H96*EF!$H221*MMVolatEF*NtoN2O*kgtoGg</f>
        <v>0.31442985679016988</v>
      </c>
      <c r="AF171" s="22">
        <f>Constants!$H78*'Activity data'!AF20*Constants!$H96*EF!$H221*MMVolatEF*NtoN2O*kgtoGg</f>
        <v>0.32099421325528477</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0.31577785743754239</v>
      </c>
      <c r="AK171" s="22">
        <f>Constants!$H78*'Activity data'!AK20*Constants!$H96*EF!$H221*MMVolatEF*NtoN2O*kgtoGg</f>
        <v>0.31441607582114922</v>
      </c>
      <c r="AL171" s="22">
        <f>Constants!$H78*'Activity data'!AL20*Constants!$H96*EF!$H221*MMVolatEF*NtoN2O*kgtoGg</f>
        <v>0.26879192155029241</v>
      </c>
      <c r="AM171" s="22">
        <f>Constants!$H78*'Activity data'!AM20*Constants!$H96*EF!$H221*MMVolatEF*NtoN2O*kgtoGg</f>
        <v>0.28063901740950847</v>
      </c>
      <c r="AN171" s="22">
        <f>Constants!$H78*'Activity data'!AN20*Constants!$H96*EF!$H221*MMVolatEF*NtoN2O*kgtoGg</f>
        <v>0.28880309945041127</v>
      </c>
      <c r="AO171" s="22">
        <f>Constants!$H78*'Activity data'!AO20*Constants!$H96*EF!$H221*MMVolatEF*NtoN2O*kgtoGg</f>
        <v>0.29604855006817871</v>
      </c>
      <c r="AP171" s="22">
        <f>Constants!$H78*'Activity data'!AP20*Constants!$H96*EF!$H221*MMVolatEF*NtoN2O*kgtoGg</f>
        <v>0.30496938447162802</v>
      </c>
      <c r="AQ171" s="22">
        <f>Constants!$H78*'Activity data'!AQ20*Constants!$H96*EF!$H221*MMVolatEF*NtoN2O*kgtoGg</f>
        <v>0.31306661968905752</v>
      </c>
      <c r="AR171" s="22">
        <f>Constants!$H78*'Activity data'!AR20*Constants!$H96*EF!$H221*MMVolatEF*NtoN2O*kgtoGg</f>
        <v>0.32021357019479407</v>
      </c>
      <c r="AS171" s="22">
        <f>Constants!$H78*'Activity data'!AS20*Constants!$H96*EF!$H221*MMVolatEF*NtoN2O*kgtoGg</f>
        <v>0.32685390014438859</v>
      </c>
      <c r="AT171" s="22">
        <f>Constants!$H78*'Activity data'!AT20*Constants!$H96*EF!$H221*MMVolatEF*NtoN2O*kgtoGg</f>
        <v>0.33276450713212152</v>
      </c>
      <c r="AU171" s="22">
        <f>Constants!$H78*'Activity data'!AU20*Constants!$H96*EF!$H221*MMVolatEF*NtoN2O*kgtoGg</f>
        <v>0.34142456701129209</v>
      </c>
      <c r="AV171" s="22">
        <f>Constants!$H78*'Activity data'!AV20*Constants!$H96*EF!$H221*MMVolatEF*NtoN2O*kgtoGg</f>
        <v>0.34982483105719137</v>
      </c>
      <c r="AW171" s="22">
        <f>Constants!$H78*'Activity data'!AW20*Constants!$H96*EF!$H221*MMVolatEF*NtoN2O*kgtoGg</f>
        <v>0.35965297279223607</v>
      </c>
      <c r="AX171" s="22">
        <f>Constants!$H78*'Activity data'!AX20*Constants!$H96*EF!$H221*MMVolatEF*NtoN2O*kgtoGg</f>
        <v>0.37217634319205956</v>
      </c>
      <c r="AY171" s="22">
        <f>Constants!$H78*'Activity data'!AY20*Constants!$H96*EF!$H221*MMVolatEF*NtoN2O*kgtoGg</f>
        <v>0.3859945703932357</v>
      </c>
      <c r="AZ171" s="22">
        <f>Constants!$H78*'Activity data'!AZ20*Constants!$H96*EF!$H221*MMVolatEF*NtoN2O*kgtoGg</f>
        <v>0.40272226665089866</v>
      </c>
      <c r="BA171" s="22">
        <f>Constants!$H78*'Activity data'!BA20*Constants!$H96*EF!$H221*MMVolatEF*NtoN2O*kgtoGg</f>
        <v>0.41501766533472662</v>
      </c>
      <c r="BB171" s="22">
        <f>Constants!$H78*'Activity data'!BB20*Constants!$H96*EF!$H221*MMVolatEF*NtoN2O*kgtoGg</f>
        <v>0.42700130219026528</v>
      </c>
      <c r="BC171" s="22">
        <f>Constants!$H78*'Activity data'!BC20*Constants!$H96*EF!$H221*MMVolatEF*NtoN2O*kgtoGg</f>
        <v>0.44046546100421546</v>
      </c>
      <c r="BD171" s="22">
        <f>Constants!$H78*'Activity data'!BD20*Constants!$H96*EF!$H221*MMVolatEF*NtoN2O*kgtoGg</f>
        <v>0.45333055520989524</v>
      </c>
      <c r="BE171" s="22">
        <f>Constants!$H78*'Activity data'!BE20*Constants!$H96*EF!$H221*MMVolatEF*NtoN2O*kgtoGg</f>
        <v>0.46701619271583805</v>
      </c>
      <c r="BF171" s="22">
        <f>Constants!$H78*'Activity data'!BF20*Constants!$H96*EF!$H221*MMVolatEF*NtoN2O*kgtoGg</f>
        <v>0.48079646315959662</v>
      </c>
      <c r="BG171" s="22">
        <f>Constants!$H78*'Activity data'!BG20*Constants!$H96*EF!$H221*MMVolatEF*NtoN2O*kgtoGg</f>
        <v>0.49715144699339536</v>
      </c>
      <c r="BH171" s="22">
        <f>Constants!$H78*'Activity data'!BH20*Constants!$H96*EF!$H221*MMVolatEF*NtoN2O*kgtoGg</f>
        <v>0.51271284356388047</v>
      </c>
      <c r="BI171" s="22">
        <f>Constants!$H78*'Activity data'!BI20*Constants!$H96*EF!$H221*MMVolatEF*NtoN2O*kgtoGg</f>
        <v>0.52856616956956437</v>
      </c>
      <c r="BJ171" s="22">
        <f>Constants!$H78*'Activity data'!BJ20*Constants!$H96*EF!$H221*MMVolatEF*NtoN2O*kgtoGg</f>
        <v>0.54499431888614669</v>
      </c>
      <c r="BK171" s="22">
        <f>Constants!$H78*'Activity data'!BK20*Constants!$H96*EF!$H221*MMVolatEF*NtoN2O*kgtoGg</f>
        <v>0.56210625186052299</v>
      </c>
      <c r="BL171" s="22">
        <f>Constants!$H78*'Activity data'!BL20*Constants!$H96*EF!$H221*MMVolatEF*NtoN2O*kgtoGg</f>
        <v>0.58227066272581418</v>
      </c>
      <c r="BM171" s="22">
        <f>Constants!$H78*'Activity data'!BM20*Constants!$H96*EF!$H221*MMVolatEF*NtoN2O*kgtoGg</f>
        <v>0.59525693388734258</v>
      </c>
      <c r="BN171" s="22">
        <f>Constants!$H78*'Activity data'!BN20*Constants!$H96*EF!$H221*MMVolatEF*NtoN2O*kgtoGg</f>
        <v>0.60778527419801665</v>
      </c>
      <c r="BO171" s="22">
        <f>Constants!$H78*'Activity data'!BO20*Constants!$H96*EF!$H221*MMVolatEF*NtoN2O*kgtoGg</f>
        <v>0.62062894178535877</v>
      </c>
      <c r="BP171" s="22">
        <f>Constants!$H78*'Activity data'!BP20*Constants!$H96*EF!$H221*MMVolatEF*NtoN2O*kgtoGg</f>
        <v>0.63346374044156473</v>
      </c>
    </row>
    <row r="172" spans="1:68" x14ac:dyDescent="0.2">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8.9709854381943815E-2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9.1174361291842948E-2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9.2016609055475651E-2</v>
      </c>
      <c r="AL172" s="22">
        <f>Constants!$H63*'Activity data'!AL5*Constants!$H81*FracLEACHMM*MMLeachEF*NtoN2O*kgtoGg</f>
        <v>8.9497634351969751E-2</v>
      </c>
      <c r="AM172" s="22">
        <f>Constants!$H63*'Activity data'!AM5*Constants!$H81*FracLEACHMM*MMLeachEF*NtoN2O*kgtoGg</f>
        <v>9.0526156863539653E-2</v>
      </c>
      <c r="AN172" s="22">
        <f>Constants!$H63*'Activity data'!AN5*Constants!$H81*FracLEACHMM*MMLeachEF*NtoN2O*kgtoGg</f>
        <v>9.133211275409571E-2</v>
      </c>
      <c r="AO172" s="22">
        <f>Constants!$H63*'Activity data'!AO5*Constants!$H81*FracLEACHMM*MMLeachEF*NtoN2O*kgtoGg</f>
        <v>9.2095667401537948E-2</v>
      </c>
      <c r="AP172" s="22">
        <f>Constants!$H63*'Activity data'!AP5*Constants!$H81*FracLEACHMM*MMLeachEF*NtoN2O*kgtoGg</f>
        <v>9.2988337377843094E-2</v>
      </c>
      <c r="AQ172" s="22">
        <f>Constants!$H63*'Activity data'!AQ5*Constants!$H81*FracLEACHMM*MMLeachEF*NtoN2O*kgtoGg</f>
        <v>9.3843223396191833E-2</v>
      </c>
      <c r="AR172" s="22">
        <f>Constants!$H63*'Activity data'!AR5*Constants!$H81*FracLEACHMM*MMLeachEF*NtoN2O*kgtoGg</f>
        <v>9.4560210431129388E-2</v>
      </c>
      <c r="AS172" s="22">
        <f>Constants!$H63*'Activity data'!AS5*Constants!$H81*FracLEACHMM*MMLeachEF*NtoN2O*kgtoGg</f>
        <v>9.5257283424355771E-2</v>
      </c>
      <c r="AT172" s="22">
        <f>Constants!$H63*'Activity data'!AT5*Constants!$H81*FracLEACHMM*MMLeachEF*NtoN2O*kgtoGg</f>
        <v>9.5918466483612935E-2</v>
      </c>
      <c r="AU172" s="22">
        <f>Constants!$H63*'Activity data'!AU5*Constants!$H81*FracLEACHMM*MMLeachEF*NtoN2O*kgtoGg</f>
        <v>9.6778548113850782E-2</v>
      </c>
      <c r="AV172" s="22">
        <f>Constants!$H63*'Activity data'!AV5*Constants!$H81*FracLEACHMM*MMLeachEF*NtoN2O*kgtoGg</f>
        <v>9.7634207071548518E-2</v>
      </c>
      <c r="AW172" s="22">
        <f>Constants!$H63*'Activity data'!AW5*Constants!$H81*FracLEACHMM*MMLeachEF*NtoN2O*kgtoGg</f>
        <v>9.8526906814348045E-2</v>
      </c>
      <c r="AX172" s="22">
        <f>Constants!$H63*'Activity data'!AX5*Constants!$H81*FracLEACHMM*MMLeachEF*NtoN2O*kgtoGg</f>
        <v>9.9615980454525591E-2</v>
      </c>
      <c r="AY172" s="22">
        <f>Constants!$H63*'Activity data'!AY5*Constants!$H81*FracLEACHMM*MMLeachEF*NtoN2O*kgtoGg</f>
        <v>0.1008065868820634</v>
      </c>
      <c r="AZ172" s="22">
        <f>Constants!$H63*'Activity data'!AZ5*Constants!$H81*FracLEACHMM*MMLeachEF*NtoN2O*kgtoGg</f>
        <v>0.10221006700957981</v>
      </c>
      <c r="BA172" s="22">
        <f>Constants!$H63*'Activity data'!BA5*Constants!$H81*FracLEACHMM*MMLeachEF*NtoN2O*kgtoGg</f>
        <v>0.10332162680247739</v>
      </c>
      <c r="BB172" s="22">
        <f>Constants!$H63*'Activity data'!BB5*Constants!$H81*FracLEACHMM*MMLeachEF*NtoN2O*kgtoGg</f>
        <v>0.10435425380397972</v>
      </c>
      <c r="BC172" s="22">
        <f>Constants!$H63*'Activity data'!BC5*Constants!$H81*FracLEACHMM*MMLeachEF*NtoN2O*kgtoGg</f>
        <v>0.10550009187328319</v>
      </c>
      <c r="BD172" s="22">
        <f>Constants!$H63*'Activity data'!BD5*Constants!$H81*FracLEACHMM*MMLeachEF*NtoN2O*kgtoGg</f>
        <v>0.10661516318950658</v>
      </c>
      <c r="BE172" s="22">
        <f>Constants!$H63*'Activity data'!BE5*Constants!$H81*FracLEACHMM*MMLeachEF*NtoN2O*kgtoGg</f>
        <v>0.10779775034487957</v>
      </c>
      <c r="BF172" s="22">
        <f>Constants!$H63*'Activity data'!BF5*Constants!$H81*FracLEACHMM*MMLeachEF*NtoN2O*kgtoGg</f>
        <v>0.10899733735251546</v>
      </c>
      <c r="BG172" s="22">
        <f>Constants!$H63*'Activity data'!BG5*Constants!$H81*FracLEACHMM*MMLeachEF*NtoN2O*kgtoGg</f>
        <v>0.11032305770963274</v>
      </c>
      <c r="BH172" s="22">
        <f>Constants!$H63*'Activity data'!BH5*Constants!$H81*FracLEACHMM*MMLeachEF*NtoN2O*kgtoGg</f>
        <v>0.1116034974988518</v>
      </c>
      <c r="BI172" s="22">
        <f>Constants!$H63*'Activity data'!BI5*Constants!$H81*FracLEACHMM*MMLeachEF*NtoN2O*kgtoGg</f>
        <v>0.11291437639210956</v>
      </c>
      <c r="BJ172" s="22">
        <f>Constants!$H63*'Activity data'!BJ5*Constants!$H81*FracLEACHMM*MMLeachEF*NtoN2O*kgtoGg</f>
        <v>0.11427557081956052</v>
      </c>
      <c r="BK172" s="22">
        <f>Constants!$H63*'Activity data'!BK5*Constants!$H81*FracLEACHMM*MMLeachEF*NtoN2O*kgtoGg</f>
        <v>0.11569486271533871</v>
      </c>
      <c r="BL172" s="22">
        <f>Constants!$H63*'Activity data'!BL5*Constants!$H81*FracLEACHMM*MMLeachEF*NtoN2O*kgtoGg</f>
        <v>0.11727523367677491</v>
      </c>
      <c r="BM172" s="22">
        <f>Constants!$H63*'Activity data'!BM5*Constants!$H81*FracLEACHMM*MMLeachEF*NtoN2O*kgtoGg</f>
        <v>0.11835610910450192</v>
      </c>
      <c r="BN172" s="22">
        <f>Constants!$H63*'Activity data'!BN5*Constants!$H81*FracLEACHMM*MMLeachEF*NtoN2O*kgtoGg</f>
        <v>0.11941212579472428</v>
      </c>
      <c r="BO172" s="22">
        <f>Constants!$H63*'Activity data'!BO5*Constants!$H81*FracLEACHMM*MMLeachEF*NtoN2O*kgtoGg</f>
        <v>0.120498066178682</v>
      </c>
      <c r="BP172" s="22">
        <f>Constants!$H63*'Activity data'!BP5*Constants!$H81*FracLEACHMM*MMLeachEF*NtoN2O*kgtoGg</f>
        <v>0.12159075101335114</v>
      </c>
    </row>
    <row r="173" spans="1:68" x14ac:dyDescent="0.2">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2.7090100081973278E-2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2.7786681470952927E-2</v>
      </c>
      <c r="AL173" s="22">
        <f>Constants!$H64*'Activity data'!AL6*Constants!$H82*FracLEACHMM*MMLeachEF*NtoN2O*kgtoGg</f>
        <v>2.7026015016948877E-2</v>
      </c>
      <c r="AM173" s="22">
        <f>Constants!$H64*'Activity data'!AM6*Constants!$H82*FracLEACHMM*MMLeachEF*NtoN2O*kgtoGg</f>
        <v>2.7336602721799708E-2</v>
      </c>
      <c r="AN173" s="22">
        <f>Constants!$H64*'Activity data'!AN6*Constants!$H82*FracLEACHMM*MMLeachEF*NtoN2O*kgtoGg</f>
        <v>2.7579980953625429E-2</v>
      </c>
      <c r="AO173" s="22">
        <f>Constants!$H64*'Activity data'!AO6*Constants!$H82*FracLEACHMM*MMLeachEF*NtoN2O*kgtoGg</f>
        <v>2.7810555085751417E-2</v>
      </c>
      <c r="AP173" s="22">
        <f>Constants!$H64*'Activity data'!AP6*Constants!$H82*FracLEACHMM*MMLeachEF*NtoN2O*kgtoGg</f>
        <v>2.8080118771534705E-2</v>
      </c>
      <c r="AQ173" s="22">
        <f>Constants!$H64*'Activity data'!AQ6*Constants!$H82*FracLEACHMM*MMLeachEF*NtoN2O*kgtoGg</f>
        <v>2.8338272660595177E-2</v>
      </c>
      <c r="AR173" s="22">
        <f>Constants!$H64*'Activity data'!AR6*Constants!$H82*FracLEACHMM*MMLeachEF*NtoN2O*kgtoGg</f>
        <v>2.8554784555166308E-2</v>
      </c>
      <c r="AS173" s="22">
        <f>Constants!$H64*'Activity data'!AS6*Constants!$H82*FracLEACHMM*MMLeachEF*NtoN2O*kgtoGg</f>
        <v>2.8765282914360448E-2</v>
      </c>
      <c r="AT173" s="22">
        <f>Constants!$H64*'Activity data'!AT6*Constants!$H82*FracLEACHMM*MMLeachEF*NtoN2O*kgtoGg</f>
        <v>2.8964943424024437E-2</v>
      </c>
      <c r="AU173" s="22">
        <f>Constants!$H64*'Activity data'!AU6*Constants!$H82*FracLEACHMM*MMLeachEF*NtoN2O*kgtoGg</f>
        <v>2.9224666256062608E-2</v>
      </c>
      <c r="AV173" s="22">
        <f>Constants!$H64*'Activity data'!AV6*Constants!$H82*FracLEACHMM*MMLeachEF*NtoN2O*kgtoGg</f>
        <v>2.9483053553196983E-2</v>
      </c>
      <c r="AW173" s="22">
        <f>Constants!$H64*'Activity data'!AW6*Constants!$H82*FracLEACHMM*MMLeachEF*NtoN2O*kgtoGg</f>
        <v>2.9752626227706403E-2</v>
      </c>
      <c r="AX173" s="22">
        <f>Constants!$H64*'Activity data'!AX6*Constants!$H82*FracLEACHMM*MMLeachEF*NtoN2O*kgtoGg</f>
        <v>3.0081498837213019E-2</v>
      </c>
      <c r="AY173" s="22">
        <f>Constants!$H64*'Activity data'!AY6*Constants!$H82*FracLEACHMM*MMLeachEF*NtoN2O*kgtoGg</f>
        <v>3.0441031772612943E-2</v>
      </c>
      <c r="AZ173" s="22">
        <f>Constants!$H64*'Activity data'!AZ6*Constants!$H82*FracLEACHMM*MMLeachEF*NtoN2O*kgtoGg</f>
        <v>3.0864847164795019E-2</v>
      </c>
      <c r="BA173" s="22">
        <f>Constants!$H64*'Activity data'!BA6*Constants!$H82*FracLEACHMM*MMLeachEF*NtoN2O*kgtoGg</f>
        <v>3.1200510021948794E-2</v>
      </c>
      <c r="BB173" s="22">
        <f>Constants!$H64*'Activity data'!BB6*Constants!$H82*FracLEACHMM*MMLeachEF*NtoN2O*kgtoGg</f>
        <v>3.1512337178628218E-2</v>
      </c>
      <c r="BC173" s="22">
        <f>Constants!$H64*'Activity data'!BC6*Constants!$H82*FracLEACHMM*MMLeachEF*NtoN2O*kgtoGg</f>
        <v>3.1858351205615788E-2</v>
      </c>
      <c r="BD173" s="22">
        <f>Constants!$H64*'Activity data'!BD6*Constants!$H82*FracLEACHMM*MMLeachEF*NtoN2O*kgtoGg</f>
        <v>3.2195074453726519E-2</v>
      </c>
      <c r="BE173" s="22">
        <f>Constants!$H64*'Activity data'!BE6*Constants!$H82*FracLEACHMM*MMLeachEF*NtoN2O*kgtoGg</f>
        <v>3.2552185772381829E-2</v>
      </c>
      <c r="BF173" s="22">
        <f>Constants!$H64*'Activity data'!BF6*Constants!$H82*FracLEACHMM*MMLeachEF*NtoN2O*kgtoGg</f>
        <v>3.2914430615133806E-2</v>
      </c>
      <c r="BG173" s="22">
        <f>Constants!$H64*'Activity data'!BG6*Constants!$H82*FracLEACHMM*MMLeachEF*NtoN2O*kgtoGg</f>
        <v>3.331476452942278E-2</v>
      </c>
      <c r="BH173" s="22">
        <f>Constants!$H64*'Activity data'!BH6*Constants!$H82*FracLEACHMM*MMLeachEF*NtoN2O*kgtoGg</f>
        <v>3.370142486097568E-2</v>
      </c>
      <c r="BI173" s="22">
        <f>Constants!$H64*'Activity data'!BI6*Constants!$H82*FracLEACHMM*MMLeachEF*NtoN2O*kgtoGg</f>
        <v>3.4097277029707398E-2</v>
      </c>
      <c r="BJ173" s="22">
        <f>Constants!$H64*'Activity data'!BJ6*Constants!$H82*FracLEACHMM*MMLeachEF*NtoN2O*kgtoGg</f>
        <v>3.4508323213259036E-2</v>
      </c>
      <c r="BK173" s="22">
        <f>Constants!$H64*'Activity data'!BK6*Constants!$H82*FracLEACHMM*MMLeachEF*NtoN2O*kgtoGg</f>
        <v>3.4936913358311179E-2</v>
      </c>
      <c r="BL173" s="22">
        <f>Constants!$H64*'Activity data'!BL6*Constants!$H82*FracLEACHMM*MMLeachEF*NtoN2O*kgtoGg</f>
        <v>3.5414145294611905E-2</v>
      </c>
      <c r="BM173" s="22">
        <f>Constants!$H64*'Activity data'!BM6*Constants!$H82*FracLEACHMM*MMLeachEF*NtoN2O*kgtoGg</f>
        <v>3.5740542251947324E-2</v>
      </c>
      <c r="BN173" s="22">
        <f>Constants!$H64*'Activity data'!BN6*Constants!$H82*FracLEACHMM*MMLeachEF*NtoN2O*kgtoGg</f>
        <v>3.6059432501223176E-2</v>
      </c>
      <c r="BO173" s="22">
        <f>Constants!$H64*'Activity data'!BO6*Constants!$H82*FracLEACHMM*MMLeachEF*NtoN2O*kgtoGg</f>
        <v>3.638735894684221E-2</v>
      </c>
      <c r="BP173" s="22">
        <f>Constants!$H64*'Activity data'!BP6*Constants!$H82*FracLEACHMM*MMLeachEF*NtoN2O*kgtoGg</f>
        <v>3.6717322045469181E-2</v>
      </c>
    </row>
    <row r="174" spans="1:68" x14ac:dyDescent="0.2">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1.4564639612104711E-3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1.4802406304505133E-3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1.4939147526814823E-3</v>
      </c>
      <c r="AL174" s="22">
        <f>Constants!$H65*'Activity data'!AL7*Constants!$H83*FracLEACHMM*MMLeachEF*NtoN2O*kgtoGg</f>
        <v>1.4530185111243717E-3</v>
      </c>
      <c r="AM174" s="22">
        <f>Constants!$H65*'Activity data'!AM7*Constants!$H83*FracLEACHMM*MMLeachEF*NtoN2O*kgtoGg</f>
        <v>1.4697168547089842E-3</v>
      </c>
      <c r="AN174" s="22">
        <f>Constants!$H65*'Activity data'!AN7*Constants!$H83*FracLEACHMM*MMLeachEF*NtoN2O*kgtoGg</f>
        <v>1.4828017684791316E-3</v>
      </c>
      <c r="AO174" s="22">
        <f>Constants!$H65*'Activity data'!AO7*Constants!$H83*FracLEACHMM*MMLeachEF*NtoN2O*kgtoGg</f>
        <v>1.4951982864990986E-3</v>
      </c>
      <c r="AP174" s="22">
        <f>Constants!$H65*'Activity data'!AP7*Constants!$H83*FracLEACHMM*MMLeachEF*NtoN2O*kgtoGg</f>
        <v>1.5096910271093734E-3</v>
      </c>
      <c r="AQ174" s="22">
        <f>Constants!$H65*'Activity data'!AQ7*Constants!$H83*FracLEACHMM*MMLeachEF*NtoN2O*kgtoGg</f>
        <v>1.5235703348537217E-3</v>
      </c>
      <c r="AR174" s="22">
        <f>Constants!$H65*'Activity data'!AR7*Constants!$H83*FracLEACHMM*MMLeachEF*NtoN2O*kgtoGg</f>
        <v>1.5352108149797475E-3</v>
      </c>
      <c r="AS174" s="22">
        <f>Constants!$H65*'Activity data'!AS7*Constants!$H83*FracLEACHMM*MMLeachEF*NtoN2O*kgtoGg</f>
        <v>1.5465279852054938E-3</v>
      </c>
      <c r="AT174" s="22">
        <f>Constants!$H65*'Activity data'!AT7*Constants!$H83*FracLEACHMM*MMLeachEF*NtoN2O*kgtoGg</f>
        <v>1.5572624725614869E-3</v>
      </c>
      <c r="AU174" s="22">
        <f>Constants!$H65*'Activity data'!AU7*Constants!$H83*FracLEACHMM*MMLeachEF*NtoN2O*kgtoGg</f>
        <v>1.5712261324823602E-3</v>
      </c>
      <c r="AV174" s="22">
        <f>Constants!$H65*'Activity data'!AV7*Constants!$H83*FracLEACHMM*MMLeachEF*NtoN2O*kgtoGg</f>
        <v>1.5851179891079189E-3</v>
      </c>
      <c r="AW174" s="22">
        <f>Constants!$H65*'Activity data'!AW7*Constants!$H83*FracLEACHMM*MMLeachEF*NtoN2O*kgtoGg</f>
        <v>1.5996112129853511E-3</v>
      </c>
      <c r="AX174" s="22">
        <f>Constants!$H65*'Activity data'!AX7*Constants!$H83*FracLEACHMM*MMLeachEF*NtoN2O*kgtoGg</f>
        <v>1.6172926206629243E-3</v>
      </c>
      <c r="AY174" s="22">
        <f>Constants!$H65*'Activity data'!AY7*Constants!$H83*FracLEACHMM*MMLeachEF*NtoN2O*kgtoGg</f>
        <v>1.636622440844233E-3</v>
      </c>
      <c r="AZ174" s="22">
        <f>Constants!$H65*'Activity data'!AZ7*Constants!$H83*FracLEACHMM*MMLeachEF*NtoN2O*kgtoGg</f>
        <v>1.6594083236225038E-3</v>
      </c>
      <c r="BA174" s="22">
        <f>Constants!$H65*'Activity data'!BA7*Constants!$H83*FracLEACHMM*MMLeachEF*NtoN2O*kgtoGg</f>
        <v>1.6774548001243291E-3</v>
      </c>
      <c r="BB174" s="22">
        <f>Constants!$H65*'Activity data'!BB7*Constants!$H83*FracLEACHMM*MMLeachEF*NtoN2O*kgtoGg</f>
        <v>1.6942197812228126E-3</v>
      </c>
      <c r="BC174" s="22">
        <f>Constants!$H65*'Activity data'!BC7*Constants!$H83*FracLEACHMM*MMLeachEF*NtoN2O*kgtoGg</f>
        <v>1.7128227748941451E-3</v>
      </c>
      <c r="BD174" s="22">
        <f>Constants!$H65*'Activity data'!BD7*Constants!$H83*FracLEACHMM*MMLeachEF*NtoN2O*kgtoGg</f>
        <v>1.7309262619352049E-3</v>
      </c>
      <c r="BE174" s="22">
        <f>Constants!$H65*'Activity data'!BE7*Constants!$H83*FracLEACHMM*MMLeachEF*NtoN2O*kgtoGg</f>
        <v>1.7501258870450394E-3</v>
      </c>
      <c r="BF174" s="22">
        <f>Constants!$H65*'Activity data'!BF7*Constants!$H83*FracLEACHMM*MMLeachEF*NtoN2O*kgtoGg</f>
        <v>1.7696015093943904E-3</v>
      </c>
      <c r="BG174" s="22">
        <f>Constants!$H65*'Activity data'!BG7*Constants!$H83*FracLEACHMM*MMLeachEF*NtoN2O*kgtoGg</f>
        <v>1.7911249410852239E-3</v>
      </c>
      <c r="BH174" s="22">
        <f>Constants!$H65*'Activity data'!BH7*Constants!$H83*FracLEACHMM*MMLeachEF*NtoN2O*kgtoGg</f>
        <v>1.8119132304024437E-3</v>
      </c>
      <c r="BI174" s="22">
        <f>Constants!$H65*'Activity data'!BI7*Constants!$H83*FracLEACHMM*MMLeachEF*NtoN2O*kgtoGg</f>
        <v>1.8331957068783579E-3</v>
      </c>
      <c r="BJ174" s="22">
        <f>Constants!$H65*'Activity data'!BJ7*Constants!$H83*FracLEACHMM*MMLeachEF*NtoN2O*kgtoGg</f>
        <v>1.8552950697793623E-3</v>
      </c>
      <c r="BK174" s="22">
        <f>Constants!$H65*'Activity data'!BK7*Constants!$H83*FracLEACHMM*MMLeachEF*NtoN2O*kgtoGg</f>
        <v>1.8783376609292489E-3</v>
      </c>
      <c r="BL174" s="22">
        <f>Constants!$H65*'Activity data'!BL7*Constants!$H83*FracLEACHMM*MMLeachEF*NtoN2O*kgtoGg</f>
        <v>1.9039954146569001E-3</v>
      </c>
      <c r="BM174" s="22">
        <f>Constants!$H65*'Activity data'!BM7*Constants!$H83*FracLEACHMM*MMLeachEF*NtoN2O*kgtoGg</f>
        <v>1.9215437221186409E-3</v>
      </c>
      <c r="BN174" s="22">
        <f>Constants!$H65*'Activity data'!BN7*Constants!$H83*FracLEACHMM*MMLeachEF*NtoN2O*kgtoGg</f>
        <v>1.938688441194845E-3</v>
      </c>
      <c r="BO174" s="22">
        <f>Constants!$H65*'Activity data'!BO7*Constants!$H83*FracLEACHMM*MMLeachEF*NtoN2O*kgtoGg</f>
        <v>1.9563189796028518E-3</v>
      </c>
      <c r="BP174" s="22">
        <f>Constants!$H65*'Activity data'!BP7*Constants!$H83*FracLEACHMM*MMLeachEF*NtoN2O*kgtoGg</f>
        <v>1.9740590160082297E-3</v>
      </c>
    </row>
    <row r="175" spans="1:68" x14ac:dyDescent="0.2">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3.030301439269115E-2</v>
      </c>
      <c r="AE175" s="22">
        <f>Constants!$H66*'Activity data'!AE8*Constants!$H84*FracLEACHMM*MMLeachEF*NtoN2O*kgtoGg</f>
        <v>3.0040206026371367E-2</v>
      </c>
      <c r="AF175" s="22">
        <f>Constants!$H66*'Activity data'!AF8*Constants!$H84*FracLEACHMM*MMLeachEF*NtoN2O*kgtoGg</f>
        <v>2.99401628371932E-2</v>
      </c>
      <c r="AG175" s="22">
        <f>Constants!$H66*'Activity data'!AG8*Constants!$H84*FracLEACHMM*MMLeachEF*NtoN2O*kgtoGg</f>
        <v>2.9540351153331298E-2</v>
      </c>
      <c r="AH175" s="22">
        <f>Constants!$H66*'Activity data'!AH8*Constants!$H84*FracLEACHMM*MMLeachEF*NtoN2O*kgtoGg</f>
        <v>2.896001473012887E-2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2.4017837723924858E-2</v>
      </c>
      <c r="AM175" s="22">
        <f>Constants!$H66*'Activity data'!AM8*Constants!$H84*FracLEACHMM*MMLeachEF*NtoN2O*kgtoGg</f>
        <v>2.4477250922769193E-2</v>
      </c>
      <c r="AN175" s="22">
        <f>Constants!$H66*'Activity data'!AN8*Constants!$H84*FracLEACHMM*MMLeachEF*NtoN2O*kgtoGg</f>
        <v>2.4722881599244746E-2</v>
      </c>
      <c r="AO175" s="22">
        <f>Constants!$H66*'Activity data'!AO8*Constants!$H84*FracLEACHMM*MMLeachEF*NtoN2O*kgtoGg</f>
        <v>2.4911965822405392E-2</v>
      </c>
      <c r="AP175" s="22">
        <f>Constants!$H66*'Activity data'!AP8*Constants!$H84*FracLEACHMM*MMLeachEF*NtoN2O*kgtoGg</f>
        <v>2.5185541319014813E-2</v>
      </c>
      <c r="AQ175" s="22">
        <f>Constants!$H66*'Activity data'!AQ8*Constants!$H84*FracLEACHMM*MMLeachEF*NtoN2O*kgtoGg</f>
        <v>2.5407562443653844E-2</v>
      </c>
      <c r="AR175" s="22">
        <f>Constants!$H66*'Activity data'!AR8*Constants!$H84*FracLEACHMM*MMLeachEF*NtoN2O*kgtoGg</f>
        <v>2.5550689603830473E-2</v>
      </c>
      <c r="AS175" s="22">
        <f>Constants!$H66*'Activity data'!AS8*Constants!$H84*FracLEACHMM*MMLeachEF*NtoN2O*kgtoGg</f>
        <v>2.5662103388614917E-2</v>
      </c>
      <c r="AT175" s="22">
        <f>Constants!$H66*'Activity data'!AT8*Constants!$H84*FracLEACHMM*MMLeachEF*NtoN2O*kgtoGg</f>
        <v>2.5731155592918373E-2</v>
      </c>
      <c r="AU175" s="22">
        <f>Constants!$H66*'Activity data'!AU8*Constants!$H84*FracLEACHMM*MMLeachEF*NtoN2O*kgtoGg</f>
        <v>2.593557725784186E-2</v>
      </c>
      <c r="AV175" s="22">
        <f>Constants!$H66*'Activity data'!AV8*Constants!$H84*FracLEACHMM*MMLeachEF*NtoN2O*kgtoGg</f>
        <v>2.611950739638573E-2</v>
      </c>
      <c r="AW175" s="22">
        <f>Constants!$H66*'Activity data'!AW8*Constants!$H84*FracLEACHMM*MMLeachEF*NtoN2O*kgtoGg</f>
        <v>2.6128993823789925E-2</v>
      </c>
      <c r="AX175" s="22">
        <f>Constants!$H66*'Activity data'!AX8*Constants!$H84*FracLEACHMM*MMLeachEF*NtoN2O*kgtoGg</f>
        <v>2.6252210081774377E-2</v>
      </c>
      <c r="AY175" s="22">
        <f>Constants!$H66*'Activity data'!AY8*Constants!$H84*FracLEACHMM*MMLeachEF*NtoN2O*kgtoGg</f>
        <v>2.641514740098018E-2</v>
      </c>
      <c r="AZ175" s="22">
        <f>Constants!$H66*'Activity data'!AZ8*Constants!$H84*FracLEACHMM*MMLeachEF*NtoN2O*kgtoGg</f>
        <v>2.6688702803580544E-2</v>
      </c>
      <c r="BA175" s="22">
        <f>Constants!$H66*'Activity data'!BA8*Constants!$H84*FracLEACHMM*MMLeachEF*NtoN2O*kgtoGg</f>
        <v>2.6732393968630815E-2</v>
      </c>
      <c r="BB175" s="22">
        <f>Constants!$H66*'Activity data'!BB8*Constants!$H84*FracLEACHMM*MMLeachEF*NtoN2O*kgtoGg</f>
        <v>2.6727807661606592E-2</v>
      </c>
      <c r="BC175" s="22">
        <f>Constants!$H66*'Activity data'!BC8*Constants!$H84*FracLEACHMM*MMLeachEF*NtoN2O*kgtoGg</f>
        <v>2.6767943392537564E-2</v>
      </c>
      <c r="BD175" s="22">
        <f>Constants!$H66*'Activity data'!BD8*Constants!$H84*FracLEACHMM*MMLeachEF*NtoN2O*kgtoGg</f>
        <v>2.6760535459775924E-2</v>
      </c>
      <c r="BE175" s="22">
        <f>Constants!$H66*'Activity data'!BE8*Constants!$H84*FracLEACHMM*MMLeachEF*NtoN2O*kgtoGg</f>
        <v>2.6766203431131164E-2</v>
      </c>
      <c r="BF175" s="22">
        <f>Constants!$H66*'Activity data'!BF8*Constants!$H84*FracLEACHMM*MMLeachEF*NtoN2O*kgtoGg</f>
        <v>2.675334011268881E-2</v>
      </c>
      <c r="BG175" s="22">
        <f>Constants!$H66*'Activity data'!BG8*Constants!$H84*FracLEACHMM*MMLeachEF*NtoN2O*kgtoGg</f>
        <v>2.694535805594156E-2</v>
      </c>
      <c r="BH175" s="22">
        <f>Constants!$H66*'Activity data'!BH8*Constants!$H84*FracLEACHMM*MMLeachEF*NtoN2O*kgtoGg</f>
        <v>2.7085830082425877E-2</v>
      </c>
      <c r="BI175" s="22">
        <f>Constants!$H66*'Activity data'!BI8*Constants!$H84*FracLEACHMM*MMLeachEF*NtoN2O*kgtoGg</f>
        <v>2.7218197229606188E-2</v>
      </c>
      <c r="BJ175" s="22">
        <f>Constants!$H66*'Activity data'!BJ8*Constants!$H84*FracLEACHMM*MMLeachEF*NtoN2O*kgtoGg</f>
        <v>2.7352587206499832E-2</v>
      </c>
      <c r="BK175" s="22">
        <f>Constants!$H66*'Activity data'!BK8*Constants!$H84*FracLEACHMM*MMLeachEF*NtoN2O*kgtoGg</f>
        <v>2.7491914385096024E-2</v>
      </c>
      <c r="BL175" s="22">
        <f>Constants!$H66*'Activity data'!BL8*Constants!$H84*FracLEACHMM*MMLeachEF*NtoN2O*kgtoGg</f>
        <v>2.7710256058660829E-2</v>
      </c>
      <c r="BM175" s="22">
        <f>Constants!$H66*'Activity data'!BM8*Constants!$H84*FracLEACHMM*MMLeachEF*NtoN2O*kgtoGg</f>
        <v>2.7648758084134469E-2</v>
      </c>
      <c r="BN175" s="22">
        <f>Constants!$H66*'Activity data'!BN8*Constants!$H84*FracLEACHMM*MMLeachEF*NtoN2O*kgtoGg</f>
        <v>2.7556553714589756E-2</v>
      </c>
      <c r="BO175" s="22">
        <f>Constants!$H66*'Activity data'!BO8*Constants!$H84*FracLEACHMM*MMLeachEF*NtoN2O*kgtoGg</f>
        <v>2.7461054996500443E-2</v>
      </c>
      <c r="BP175" s="22">
        <f>Constants!$H66*'Activity data'!BP8*Constants!$H84*FracLEACHMM*MMLeachEF*NtoN2O*kgtoGg</f>
        <v>2.7350835179335974E-2</v>
      </c>
    </row>
    <row r="176" spans="1:68" x14ac:dyDescent="0.2">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4.0226293185258936E-2</v>
      </c>
      <c r="AE176" s="22">
        <f>Constants!$H67*'Activity data'!AE9*Constants!$H85*FracLEACHMM*MMLeachEF*NtoN2O*kgtoGg</f>
        <v>3.9877423391049029E-2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3.1882919944479234E-2</v>
      </c>
      <c r="AM176" s="22">
        <f>Constants!$H67*'Activity data'!AM9*Constants!$H85*FracLEACHMM*MMLeachEF*NtoN2O*kgtoGg</f>
        <v>3.2492776435665373E-2</v>
      </c>
      <c r="AN176" s="22">
        <f>Constants!$H67*'Activity data'!AN9*Constants!$H85*FracLEACHMM*MMLeachEF*NtoN2O*kgtoGg</f>
        <v>3.2818843389901528E-2</v>
      </c>
      <c r="AO176" s="22">
        <f>Constants!$H67*'Activity data'!AO9*Constants!$H85*FracLEACHMM*MMLeachEF*NtoN2O*kgtoGg</f>
        <v>3.3069846715808329E-2</v>
      </c>
      <c r="AP176" s="22">
        <f>Constants!$H67*'Activity data'!AP9*Constants!$H85*FracLEACHMM*MMLeachEF*NtoN2O*kgtoGg</f>
        <v>3.3433009534935908E-2</v>
      </c>
      <c r="AQ176" s="22">
        <f>Constants!$H67*'Activity data'!AQ9*Constants!$H85*FracLEACHMM*MMLeachEF*NtoN2O*kgtoGg</f>
        <v>3.372773555582987E-2</v>
      </c>
      <c r="AR176" s="22">
        <f>Constants!$H67*'Activity data'!AR9*Constants!$H85*FracLEACHMM*MMLeachEF*NtoN2O*kgtoGg</f>
        <v>3.3917732334151289E-2</v>
      </c>
      <c r="AS176" s="22">
        <f>Constants!$H67*'Activity data'!AS9*Constants!$H85*FracLEACHMM*MMLeachEF*NtoN2O*kgtoGg</f>
        <v>3.4065630609667365E-2</v>
      </c>
      <c r="AT176" s="22">
        <f>Constants!$H67*'Activity data'!AT9*Constants!$H85*FracLEACHMM*MMLeachEF*NtoN2O*kgtoGg</f>
        <v>3.4157295226903257E-2</v>
      </c>
      <c r="AU176" s="22">
        <f>Constants!$H67*'Activity data'!AU9*Constants!$H85*FracLEACHMM*MMLeachEF*NtoN2O*kgtoGg</f>
        <v>3.4428658521658995E-2</v>
      </c>
      <c r="AV176" s="22">
        <f>Constants!$H67*'Activity data'!AV9*Constants!$H85*FracLEACHMM*MMLeachEF*NtoN2O*kgtoGg</f>
        <v>3.4672819963249946E-2</v>
      </c>
      <c r="AW176" s="22">
        <f>Constants!$H67*'Activity data'!AW9*Constants!$H85*FracLEACHMM*MMLeachEF*NtoN2O*kgtoGg</f>
        <v>3.4685412895593133E-2</v>
      </c>
      <c r="AX176" s="22">
        <f>Constants!$H67*'Activity data'!AX9*Constants!$H85*FracLEACHMM*MMLeachEF*NtoN2O*kgtoGg</f>
        <v>3.4848978580994651E-2</v>
      </c>
      <c r="AY176" s="22">
        <f>Constants!$H67*'Activity data'!AY9*Constants!$H85*FracLEACHMM*MMLeachEF*NtoN2O*kgtoGg</f>
        <v>3.5065272718873365E-2</v>
      </c>
      <c r="AZ176" s="22">
        <f>Constants!$H67*'Activity data'!AZ9*Constants!$H85*FracLEACHMM*MMLeachEF*NtoN2O*kgtoGg</f>
        <v>3.542840886383946E-2</v>
      </c>
      <c r="BA176" s="22">
        <f>Constants!$H67*'Activity data'!BA9*Constants!$H85*FracLEACHMM*MMLeachEF*NtoN2O*kgtoGg</f>
        <v>3.5486407503583416E-2</v>
      </c>
      <c r="BB176" s="22">
        <f>Constants!$H67*'Activity data'!BB9*Constants!$H85*FracLEACHMM*MMLeachEF*NtoN2O*kgtoGg</f>
        <v>3.5480319326064061E-2</v>
      </c>
      <c r="BC176" s="22">
        <f>Constants!$H67*'Activity data'!BC9*Constants!$H85*FracLEACHMM*MMLeachEF*NtoN2O*kgtoGg</f>
        <v>3.5533598239465607E-2</v>
      </c>
      <c r="BD176" s="22">
        <f>Constants!$H67*'Activity data'!BD9*Constants!$H85*FracLEACHMM*MMLeachEF*NtoN2O*kgtoGg</f>
        <v>3.5523764443021973E-2</v>
      </c>
      <c r="BE176" s="22">
        <f>Constants!$H67*'Activity data'!BE9*Constants!$H85*FracLEACHMM*MMLeachEF*NtoN2O*kgtoGg</f>
        <v>3.5531288495729951E-2</v>
      </c>
      <c r="BF176" s="22">
        <f>Constants!$H67*'Activity data'!BF9*Constants!$H85*FracLEACHMM*MMLeachEF*NtoN2O*kgtoGg</f>
        <v>3.5514212847337627E-2</v>
      </c>
      <c r="BG176" s="22">
        <f>Constants!$H67*'Activity data'!BG9*Constants!$H85*FracLEACHMM*MMLeachEF*NtoN2O*kgtoGg</f>
        <v>3.5769110593879244E-2</v>
      </c>
      <c r="BH176" s="22">
        <f>Constants!$H67*'Activity data'!BH9*Constants!$H85*FracLEACHMM*MMLeachEF*NtoN2O*kgtoGg</f>
        <v>3.5955582766200436E-2</v>
      </c>
      <c r="BI176" s="22">
        <f>Constants!$H67*'Activity data'!BI9*Constants!$H85*FracLEACHMM*MMLeachEF*NtoN2O*kgtoGg</f>
        <v>3.6131295967585977E-2</v>
      </c>
      <c r="BJ176" s="22">
        <f>Constants!$H67*'Activity data'!BJ9*Constants!$H85*FracLEACHMM*MMLeachEF*NtoN2O*kgtoGg</f>
        <v>3.6309694411438075E-2</v>
      </c>
      <c r="BK176" s="22">
        <f>Constants!$H67*'Activity data'!BK9*Constants!$H85*FracLEACHMM*MMLeachEF*NtoN2O*kgtoGg</f>
        <v>3.6494646834396953E-2</v>
      </c>
      <c r="BL176" s="22">
        <f>Constants!$H67*'Activity data'!BL9*Constants!$H85*FracLEACHMM*MMLeachEF*NtoN2O*kgtoGg</f>
        <v>3.678448850036322E-2</v>
      </c>
      <c r="BM176" s="22">
        <f>Constants!$H67*'Activity data'!BM9*Constants!$H85*FracLEACHMM*MMLeachEF*NtoN2O*kgtoGg</f>
        <v>3.6702851884231939E-2</v>
      </c>
      <c r="BN176" s="22">
        <f>Constants!$H67*'Activity data'!BN9*Constants!$H85*FracLEACHMM*MMLeachEF*NtoN2O*kgtoGg</f>
        <v>3.6580453499892925E-2</v>
      </c>
      <c r="BO176" s="22">
        <f>Constants!$H67*'Activity data'!BO9*Constants!$H85*FracLEACHMM*MMLeachEF*NtoN2O*kgtoGg</f>
        <v>3.6453681972054293E-2</v>
      </c>
      <c r="BP176" s="22">
        <f>Constants!$H67*'Activity data'!BP9*Constants!$H85*FracLEACHMM*MMLeachEF*NtoN2O*kgtoGg</f>
        <v>3.6307368650791018E-2</v>
      </c>
    </row>
    <row r="177" spans="1:68" x14ac:dyDescent="0.2">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4.3383434779753476E-2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4.7281576900430208E-2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4.5992827569741108E-2</v>
      </c>
      <c r="AM177" s="22">
        <f>Constants!$H68*'Activity data'!AM10*Constants!$H86*FracLEACHMM*MMLeachEF*NtoN2O*kgtoGg</f>
        <v>4.8001865047769987E-2</v>
      </c>
      <c r="AN177" s="22">
        <f>Constants!$H68*'Activity data'!AN10*Constants!$H86*FracLEACHMM*MMLeachEF*NtoN2O*kgtoGg</f>
        <v>4.9635626095010099E-2</v>
      </c>
      <c r="AO177" s="22">
        <f>Constants!$H68*'Activity data'!AO10*Constants!$H86*FracLEACHMM*MMLeachEF*NtoN2O*kgtoGg</f>
        <v>5.1188596767602117E-2</v>
      </c>
      <c r="AP177" s="22">
        <f>Constants!$H68*'Activity data'!AP10*Constants!$H86*FracLEACHMM*MMLeachEF*NtoN2O*kgtoGg</f>
        <v>5.2950508165481844E-2</v>
      </c>
      <c r="AQ177" s="22">
        <f>Constants!$H68*'Activity data'!AQ10*Constants!$H86*FracLEACHMM*MMLeachEF*NtoN2O*kgtoGg</f>
        <v>5.4642195463321171E-2</v>
      </c>
      <c r="AR177" s="22">
        <f>Constants!$H68*'Activity data'!AR10*Constants!$H86*FracLEACHMM*MMLeachEF*NtoN2O*kgtoGg</f>
        <v>5.6197330304744171E-2</v>
      </c>
      <c r="AS177" s="22">
        <f>Constants!$H68*'Activity data'!AS10*Constants!$H86*FracLEACHMM*MMLeachEF*NtoN2O*kgtoGg</f>
        <v>5.7711583863191099E-2</v>
      </c>
      <c r="AT177" s="22">
        <f>Constants!$H68*'Activity data'!AT10*Constants!$H86*FracLEACHMM*MMLeachEF*NtoN2O*kgtoGg</f>
        <v>5.9156834222417472E-2</v>
      </c>
      <c r="AU177" s="22">
        <f>Constants!$H68*'Activity data'!AU10*Constants!$H86*FracLEACHMM*MMLeachEF*NtoN2O*kgtoGg</f>
        <v>6.0945336152729353E-2</v>
      </c>
      <c r="AV177" s="22">
        <f>Constants!$H68*'Activity data'!AV10*Constants!$H86*FracLEACHMM*MMLeachEF*NtoN2O*kgtoGg</f>
        <v>6.2724727985271067E-2</v>
      </c>
      <c r="AW177" s="22">
        <f>Constants!$H68*'Activity data'!AW10*Constants!$H86*FracLEACHMM*MMLeachEF*NtoN2O*kgtoGg</f>
        <v>6.4828386585152428E-2</v>
      </c>
      <c r="AX177" s="22">
        <f>Constants!$H68*'Activity data'!AX10*Constants!$H86*FracLEACHMM*MMLeachEF*NtoN2O*kgtoGg</f>
        <v>6.7298261230859621E-2</v>
      </c>
      <c r="AY177" s="22">
        <f>Constants!$H68*'Activity data'!AY10*Constants!$H86*FracLEACHMM*MMLeachEF*NtoN2O*kgtoGg</f>
        <v>6.9971651409000274E-2</v>
      </c>
      <c r="AZ177" s="22">
        <f>Constants!$H68*'Activity data'!AZ10*Constants!$H86*FracLEACHMM*MMLeachEF*NtoN2O*kgtoGg</f>
        <v>7.3058736585267875E-2</v>
      </c>
      <c r="BA177" s="22">
        <f>Constants!$H68*'Activity data'!BA10*Constants!$H86*FracLEACHMM*MMLeachEF*NtoN2O*kgtoGg</f>
        <v>7.563301385599043E-2</v>
      </c>
      <c r="BB177" s="22">
        <f>Constants!$H68*'Activity data'!BB10*Constants!$H86*FracLEACHMM*MMLeachEF*NtoN2O*kgtoGg</f>
        <v>7.8167775440571283E-2</v>
      </c>
      <c r="BC177" s="22">
        <f>Constants!$H68*'Activity data'!BC10*Constants!$H86*FracLEACHMM*MMLeachEF*NtoN2O*kgtoGg</f>
        <v>8.0935873308178169E-2</v>
      </c>
      <c r="BD177" s="22">
        <f>Constants!$H68*'Activity data'!BD10*Constants!$H86*FracLEACHMM*MMLeachEF*NtoN2O*kgtoGg</f>
        <v>8.3668525365720503E-2</v>
      </c>
      <c r="BE177" s="22">
        <f>Constants!$H68*'Activity data'!BE10*Constants!$H86*FracLEACHMM*MMLeachEF*NtoN2O*kgtoGg</f>
        <v>8.6553364339565772E-2</v>
      </c>
      <c r="BF177" s="22">
        <f>Constants!$H68*'Activity data'!BF10*Constants!$H86*FracLEACHMM*MMLeachEF*NtoN2O*kgtoGg</f>
        <v>8.9495828472457392E-2</v>
      </c>
      <c r="BG177" s="22">
        <f>Constants!$H68*'Activity data'!BG10*Constants!$H86*FracLEACHMM*MMLeachEF*NtoN2O*kgtoGg</f>
        <v>9.2681440579714905E-2</v>
      </c>
      <c r="BH177" s="22">
        <f>Constants!$H68*'Activity data'!BH10*Constants!$H86*FracLEACHMM*MMLeachEF*NtoN2O*kgtoGg</f>
        <v>9.5802357584515191E-2</v>
      </c>
      <c r="BI177" s="22">
        <f>Constants!$H68*'Activity data'!BI10*Constants!$H86*FracLEACHMM*MMLeachEF*NtoN2O*kgtoGg</f>
        <v>9.9006841589941233E-2</v>
      </c>
      <c r="BJ177" s="22">
        <f>Constants!$H68*'Activity data'!BJ10*Constants!$H86*FracLEACHMM*MMLeachEF*NtoN2O*kgtoGg</f>
        <v>0.10233590350911345</v>
      </c>
      <c r="BK177" s="22">
        <f>Constants!$H68*'Activity data'!BK10*Constants!$H86*FracLEACHMM*MMLeachEF*NtoN2O*kgtoGg</f>
        <v>0.10580733136333606</v>
      </c>
      <c r="BL177" s="22">
        <f>Constants!$H68*'Activity data'!BL10*Constants!$H86*FracLEACHMM*MMLeachEF*NtoN2O*kgtoGg</f>
        <v>0.10972241500262403</v>
      </c>
      <c r="BM177" s="22">
        <f>Constants!$H68*'Activity data'!BM10*Constants!$H86*FracLEACHMM*MMLeachEF*NtoN2O*kgtoGg</f>
        <v>0.11265304371652905</v>
      </c>
      <c r="BN177" s="22">
        <f>Constants!$H68*'Activity data'!BN10*Constants!$H86*FracLEACHMM*MMLeachEF*NtoN2O*kgtoGg</f>
        <v>0.11555235138269004</v>
      </c>
      <c r="BO177" s="22">
        <f>Constants!$H68*'Activity data'!BO10*Constants!$H86*FracLEACHMM*MMLeachEF*NtoN2O*kgtoGg</f>
        <v>0.11853253196869915</v>
      </c>
      <c r="BP177" s="22">
        <f>Constants!$H68*'Activity data'!BP10*Constants!$H86*FracLEACHMM*MMLeachEF*NtoN2O*kgtoGg</f>
        <v>0.12154670327230575</v>
      </c>
    </row>
    <row r="178" spans="1:68" x14ac:dyDescent="0.2">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4.4831371338441527E-3</v>
      </c>
      <c r="AM178" s="22">
        <f>Constants!$H69*'Activity data'!AM11*Constants!$H87*FracLEACHMM*MMLeachEF*NtoN2O*kgtoGg</f>
        <v>4.4899645877902617E-3</v>
      </c>
      <c r="AN178" s="22">
        <f>Constants!$H69*'Activity data'!AN11*Constants!$H87*FracLEACHMM*MMLeachEF*NtoN2O*kgtoGg</f>
        <v>4.4976812446803844E-3</v>
      </c>
      <c r="AO178" s="22">
        <f>Constants!$H69*'Activity data'!AO11*Constants!$H87*FracLEACHMM*MMLeachEF*NtoN2O*kgtoGg</f>
        <v>4.5063863158882386E-3</v>
      </c>
      <c r="AP178" s="22">
        <f>Constants!$H69*'Activity data'!AP11*Constants!$H87*FracLEACHMM*MMLeachEF*NtoN2O*kgtoGg</f>
        <v>4.5161788811117947E-3</v>
      </c>
      <c r="AQ178" s="22">
        <f>Constants!$H69*'Activity data'!AQ11*Constants!$H87*FracLEACHMM*MMLeachEF*NtoN2O*kgtoGg</f>
        <v>4.5268547446196596E-3</v>
      </c>
      <c r="AR178" s="22">
        <f>Constants!$H69*'Activity data'!AR11*Constants!$H87*FracLEACHMM*MMLeachEF*NtoN2O*kgtoGg</f>
        <v>4.5333477172681842E-3</v>
      </c>
      <c r="AS178" s="22">
        <f>Constants!$H69*'Activity data'!AS11*Constants!$H87*FracLEACHMM*MMLeachEF*NtoN2O*kgtoGg</f>
        <v>4.5405999943124754E-3</v>
      </c>
      <c r="AT178" s="22">
        <f>Constants!$H69*'Activity data'!AT11*Constants!$H87*FracLEACHMM*MMLeachEF*NtoN2O*kgtoGg</f>
        <v>4.5485583758995193E-3</v>
      </c>
      <c r="AU178" s="22">
        <f>Constants!$H69*'Activity data'!AU11*Constants!$H87*FracLEACHMM*MMLeachEF*NtoN2O*kgtoGg</f>
        <v>4.5574030453961476E-3</v>
      </c>
      <c r="AV178" s="22">
        <f>Constants!$H69*'Activity data'!AV11*Constants!$H87*FracLEACHMM*MMLeachEF*NtoN2O*kgtoGg</f>
        <v>4.5669166889101189E-3</v>
      </c>
      <c r="AW178" s="22">
        <f>Constants!$H69*'Activity data'!AW11*Constants!$H87*FracLEACHMM*MMLeachEF*NtoN2O*kgtoGg</f>
        <v>4.5731331974710569E-3</v>
      </c>
      <c r="AX178" s="22">
        <f>Constants!$H69*'Activity data'!AX11*Constants!$H87*FracLEACHMM*MMLeachEF*NtoN2O*kgtoGg</f>
        <v>4.5801112561138658E-3</v>
      </c>
      <c r="AY178" s="22">
        <f>Constants!$H69*'Activity data'!AY11*Constants!$H87*FracLEACHMM*MMLeachEF*NtoN2O*kgtoGg</f>
        <v>4.5877393890876687E-3</v>
      </c>
      <c r="AZ178" s="22">
        <f>Constants!$H69*'Activity data'!AZ11*Constants!$H87*FracLEACHMM*MMLeachEF*NtoN2O*kgtoGg</f>
        <v>4.5960968162402412E-3</v>
      </c>
      <c r="BA178" s="22">
        <f>Constants!$H69*'Activity data'!BA11*Constants!$H87*FracLEACHMM*MMLeachEF*NtoN2O*kgtoGg</f>
        <v>4.60470160066862E-3</v>
      </c>
      <c r="BB178" s="22">
        <f>Constants!$H69*'Activity data'!BB11*Constants!$H87*FracLEACHMM*MMLeachEF*NtoN2O*kgtoGg</f>
        <v>4.6099752593178585E-3</v>
      </c>
      <c r="BC178" s="22">
        <f>Constants!$H69*'Activity data'!BC11*Constants!$H87*FracLEACHMM*MMLeachEF*NtoN2O*kgtoGg</f>
        <v>4.6158010652929838E-3</v>
      </c>
      <c r="BD178" s="22">
        <f>Constants!$H69*'Activity data'!BD11*Constants!$H87*FracLEACHMM*MMLeachEF*NtoN2O*kgtoGg</f>
        <v>4.6220305138924079E-3</v>
      </c>
      <c r="BE178" s="22">
        <f>Constants!$H69*'Activity data'!BE11*Constants!$H87*FracLEACHMM*MMLeachEF*NtoN2O*kgtoGg</f>
        <v>4.6287377180545888E-3</v>
      </c>
      <c r="BF178" s="22">
        <f>Constants!$H69*'Activity data'!BF11*Constants!$H87*FracLEACHMM*MMLeachEF*NtoN2O*kgtoGg</f>
        <v>4.635862068128902E-3</v>
      </c>
      <c r="BG178" s="22">
        <f>Constants!$H69*'Activity data'!BG11*Constants!$H87*FracLEACHMM*MMLeachEF*NtoN2O*kgtoGg</f>
        <v>4.6399936101115553E-3</v>
      </c>
      <c r="BH178" s="22">
        <f>Constants!$H69*'Activity data'!BH11*Constants!$H87*FracLEACHMM*MMLeachEF*NtoN2O*kgtoGg</f>
        <v>4.6444376176989054E-3</v>
      </c>
      <c r="BI178" s="22">
        <f>Constants!$H69*'Activity data'!BI11*Constants!$H87*FracLEACHMM*MMLeachEF*NtoN2O*kgtoGg</f>
        <v>4.6492508857149065E-3</v>
      </c>
      <c r="BJ178" s="22">
        <f>Constants!$H69*'Activity data'!BJ11*Constants!$H87*FracLEACHMM*MMLeachEF*NtoN2O*kgtoGg</f>
        <v>4.6544400588078442E-3</v>
      </c>
      <c r="BK178" s="22">
        <f>Constants!$H69*'Activity data'!BK11*Constants!$H87*FracLEACHMM*MMLeachEF*NtoN2O*kgtoGg</f>
        <v>4.6600015094737631E-3</v>
      </c>
      <c r="BL178" s="22">
        <f>Constants!$H69*'Activity data'!BL11*Constants!$H87*FracLEACHMM*MMLeachEF*NtoN2O*kgtoGg</f>
        <v>4.6624883129741824E-3</v>
      </c>
      <c r="BM178" s="22">
        <f>Constants!$H69*'Activity data'!BM11*Constants!$H87*FracLEACHMM*MMLeachEF*NtoN2O*kgtoGg</f>
        <v>4.6648029335130551E-3</v>
      </c>
      <c r="BN178" s="22">
        <f>Constants!$H69*'Activity data'!BN11*Constants!$H87*FracLEACHMM*MMLeachEF*NtoN2O*kgtoGg</f>
        <v>4.6673689256300846E-3</v>
      </c>
      <c r="BO178" s="22">
        <f>Constants!$H69*'Activity data'!BO11*Constants!$H87*FracLEACHMM*MMLeachEF*NtoN2O*kgtoGg</f>
        <v>4.6702274196843731E-3</v>
      </c>
      <c r="BP178" s="22">
        <f>Constants!$H69*'Activity data'!BP11*Constants!$H87*FracLEACHMM*MMLeachEF*NtoN2O*kgtoGg</f>
        <v>4.6733489894838004E-3</v>
      </c>
    </row>
    <row r="179" spans="1:68" x14ac:dyDescent="0.2">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3.7291632343986812E-3</v>
      </c>
      <c r="AM179" s="22">
        <f>Constants!$H70*'Activity data'!AM12*Constants!$H88*FracLEACHMM*MMLeachEF*NtoN2O*kgtoGg</f>
        <v>3.7348424472980965E-3</v>
      </c>
      <c r="AN179" s="22">
        <f>Constants!$H70*'Activity data'!AN12*Constants!$H88*FracLEACHMM*MMLeachEF*NtoN2O*kgtoGg</f>
        <v>3.7412613170109757E-3</v>
      </c>
      <c r="AO179" s="22">
        <f>Constants!$H70*'Activity data'!AO12*Constants!$H88*FracLEACHMM*MMLeachEF*NtoN2O*kgtoGg</f>
        <v>3.7485023695444986E-3</v>
      </c>
      <c r="AP179" s="22">
        <f>Constants!$H70*'Activity data'!AP12*Constants!$H88*FracLEACHMM*MMLeachEF*NtoN2O*kgtoGg</f>
        <v>3.7566480213753234E-3</v>
      </c>
      <c r="AQ179" s="22">
        <f>Constants!$H70*'Activity data'!AQ12*Constants!$H88*FracLEACHMM*MMLeachEF*NtoN2O*kgtoGg</f>
        <v>3.7655284184054385E-3</v>
      </c>
      <c r="AR179" s="22">
        <f>Constants!$H70*'Activity data'!AR12*Constants!$H88*FracLEACHMM*MMLeachEF*NtoN2O*kgtoGg</f>
        <v>3.770929403064159E-3</v>
      </c>
      <c r="AS179" s="22">
        <f>Constants!$H70*'Activity data'!AS12*Constants!$H88*FracLEACHMM*MMLeachEF*NtoN2O*kgtoGg</f>
        <v>3.7769619923229323E-3</v>
      </c>
      <c r="AT179" s="22">
        <f>Constants!$H70*'Activity data'!AT12*Constants!$H88*FracLEACHMM*MMLeachEF*NtoN2O*kgtoGg</f>
        <v>3.7835819334787997E-3</v>
      </c>
      <c r="AU179" s="22">
        <f>Constants!$H70*'Activity data'!AU12*Constants!$H88*FracLEACHMM*MMLeachEF*NtoN2O*kgtoGg</f>
        <v>3.7909391066641191E-3</v>
      </c>
      <c r="AV179" s="22">
        <f>Constants!$H70*'Activity data'!AV12*Constants!$H88*FracLEACHMM*MMLeachEF*NtoN2O*kgtoGg</f>
        <v>3.7988527458320239E-3</v>
      </c>
      <c r="AW179" s="22">
        <f>Constants!$H70*'Activity data'!AW12*Constants!$H88*FracLEACHMM*MMLeachEF*NtoN2O*kgtoGg</f>
        <v>3.8040237621270109E-3</v>
      </c>
      <c r="AX179" s="22">
        <f>Constants!$H70*'Activity data'!AX12*Constants!$H88*FracLEACHMM*MMLeachEF*NtoN2O*kgtoGg</f>
        <v>3.8098282510287203E-3</v>
      </c>
      <c r="AY179" s="22">
        <f>Constants!$H70*'Activity data'!AY12*Constants!$H88*FracLEACHMM*MMLeachEF*NtoN2O*kgtoGg</f>
        <v>3.8161734847754797E-3</v>
      </c>
      <c r="AZ179" s="22">
        <f>Constants!$H70*'Activity data'!AZ12*Constants!$H88*FracLEACHMM*MMLeachEF*NtoN2O*kgtoGg</f>
        <v>3.823125360022894E-3</v>
      </c>
      <c r="BA179" s="22">
        <f>Constants!$H70*'Activity data'!BA12*Constants!$H88*FracLEACHMM*MMLeachEF*NtoN2O*kgtoGg</f>
        <v>3.8302829920051928E-3</v>
      </c>
      <c r="BB179" s="22">
        <f>Constants!$H70*'Activity data'!BB12*Constants!$H88*FracLEACHMM*MMLeachEF*NtoN2O*kgtoGg</f>
        <v>3.834669726864819E-3</v>
      </c>
      <c r="BC179" s="22">
        <f>Constants!$H70*'Activity data'!BC12*Constants!$H88*FracLEACHMM*MMLeachEF*NtoN2O*kgtoGg</f>
        <v>3.8395157489258354E-3</v>
      </c>
      <c r="BD179" s="22">
        <f>Constants!$H70*'Activity data'!BD12*Constants!$H88*FracLEACHMM*MMLeachEF*NtoN2O*kgtoGg</f>
        <v>3.8446975290039364E-3</v>
      </c>
      <c r="BE179" s="22">
        <f>Constants!$H70*'Activity data'!BE12*Constants!$H88*FracLEACHMM*MMLeachEF*NtoN2O*kgtoGg</f>
        <v>3.8502767157253038E-3</v>
      </c>
      <c r="BF179" s="22">
        <f>Constants!$H70*'Activity data'!BF12*Constants!$H88*FracLEACHMM*MMLeachEF*NtoN2O*kgtoGg</f>
        <v>3.8562028927689521E-3</v>
      </c>
      <c r="BG179" s="22">
        <f>Constants!$H70*'Activity data'!BG12*Constants!$H88*FracLEACHMM*MMLeachEF*NtoN2O*kgtoGg</f>
        <v>3.8596395921165526E-3</v>
      </c>
      <c r="BH179" s="22">
        <f>Constants!$H70*'Activity data'!BH12*Constants!$H88*FracLEACHMM*MMLeachEF*NtoN2O*kgtoGg</f>
        <v>3.8633362066106815E-3</v>
      </c>
      <c r="BI179" s="22">
        <f>Constants!$H70*'Activity data'!BI12*Constants!$H88*FracLEACHMM*MMLeachEF*NtoN2O*kgtoGg</f>
        <v>3.8673399793231139E-3</v>
      </c>
      <c r="BJ179" s="22">
        <f>Constants!$H70*'Activity data'!BJ12*Constants!$H88*FracLEACHMM*MMLeachEF*NtoN2O*kgtoGg</f>
        <v>3.8716564374053405E-3</v>
      </c>
      <c r="BK179" s="22">
        <f>Constants!$H70*'Activity data'!BK12*Constants!$H88*FracLEACHMM*MMLeachEF*NtoN2O*kgtoGg</f>
        <v>3.8762825634269383E-3</v>
      </c>
      <c r="BL179" s="22">
        <f>Constants!$H70*'Activity data'!BL12*Constants!$H88*FracLEACHMM*MMLeachEF*NtoN2O*kgtoGg</f>
        <v>3.8783511363721934E-3</v>
      </c>
      <c r="BM179" s="22">
        <f>Constants!$H70*'Activity data'!BM12*Constants!$H88*FracLEACHMM*MMLeachEF*NtoN2O*kgtoGg</f>
        <v>3.8802764840823911E-3</v>
      </c>
      <c r="BN179" s="22">
        <f>Constants!$H70*'Activity data'!BN12*Constants!$H88*FracLEACHMM*MMLeachEF*NtoN2O*kgtoGg</f>
        <v>3.8824109277045466E-3</v>
      </c>
      <c r="BO179" s="22">
        <f>Constants!$H70*'Activity data'!BO12*Constants!$H88*FracLEACHMM*MMLeachEF*NtoN2O*kgtoGg</f>
        <v>3.8847886802949221E-3</v>
      </c>
      <c r="BP179" s="22">
        <f>Constants!$H70*'Activity data'!BP12*Constants!$H88*FracLEACHMM*MMLeachEF*NtoN2O*kgtoGg</f>
        <v>3.8873852645577018E-3</v>
      </c>
    </row>
    <row r="180" spans="1:68" x14ac:dyDescent="0.2">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5.4322987485311551E-4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5.4896316873921192E-4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5.5840147541839707E-4</v>
      </c>
      <c r="AK180" s="22">
        <f>Constants!$H71*'Activity data'!AK13*Constants!$H89*FracLEACHMM*MMLeachEF*NtoN2O*kgtoGg</f>
        <v>5.620753208024884E-4</v>
      </c>
      <c r="AL180" s="22">
        <f>Constants!$H71*'Activity data'!AL13*Constants!$H89*FracLEACHMM*MMLeachEF*NtoN2O*kgtoGg</f>
        <v>5.6545048661351359E-4</v>
      </c>
      <c r="AM180" s="22">
        <f>Constants!$H71*'Activity data'!AM13*Constants!$H89*FracLEACHMM*MMLeachEF*NtoN2O*kgtoGg</f>
        <v>5.6709357361271675E-4</v>
      </c>
      <c r="AN180" s="22">
        <f>Constants!$H71*'Activity data'!AN13*Constants!$H89*FracLEACHMM*MMLeachEF*NtoN2O*kgtoGg</f>
        <v>5.688596151711496E-4</v>
      </c>
      <c r="AO180" s="22">
        <f>Constants!$H71*'Activity data'!AO13*Constants!$H89*FracLEACHMM*MMLeachEF*NtoN2O*kgtoGg</f>
        <v>5.7077020841237065E-4</v>
      </c>
      <c r="AP180" s="22">
        <f>Constants!$H71*'Activity data'!AP13*Constants!$H89*FracLEACHMM*MMLeachEF*NtoN2O*kgtoGg</f>
        <v>5.7284633112627235E-4</v>
      </c>
      <c r="AQ180" s="22">
        <f>Constants!$H71*'Activity data'!AQ13*Constants!$H89*FracLEACHMM*MMLeachEF*NtoN2O*kgtoGg</f>
        <v>5.7505104202951998E-4</v>
      </c>
      <c r="AR180" s="22">
        <f>Constants!$H71*'Activity data'!AR13*Constants!$H89*FracLEACHMM*MMLeachEF*NtoN2O*kgtoGg</f>
        <v>5.7642933432393154E-4</v>
      </c>
      <c r="AS180" s="22">
        <f>Constants!$H71*'Activity data'!AS13*Constants!$H89*FracLEACHMM*MMLeachEF*NtoN2O*kgtoGg</f>
        <v>5.7792028160119863E-4</v>
      </c>
      <c r="AT180" s="22">
        <f>Constants!$H71*'Activity data'!AT13*Constants!$H89*FracLEACHMM*MMLeachEF*NtoN2O*kgtoGg</f>
        <v>5.7951511495132196E-4</v>
      </c>
      <c r="AU180" s="22">
        <f>Constants!$H71*'Activity data'!AU13*Constants!$H89*FracLEACHMM*MMLeachEF*NtoN2O*kgtoGg</f>
        <v>5.8124875364710992E-4</v>
      </c>
      <c r="AV180" s="22">
        <f>Constants!$H71*'Activity data'!AV13*Constants!$H89*FracLEACHMM*MMLeachEF*NtoN2O*kgtoGg</f>
        <v>5.8308126155427384E-4</v>
      </c>
      <c r="AW180" s="22">
        <f>Constants!$H71*'Activity data'!AW13*Constants!$H89*FracLEACHMM*MMLeachEF*NtoN2O*kgtoGg</f>
        <v>5.8427258810919626E-4</v>
      </c>
      <c r="AX180" s="22">
        <f>Constants!$H71*'Activity data'!AX13*Constants!$H89*FracLEACHMM*MMLeachEF*NtoN2O*kgtoGg</f>
        <v>5.8558467766040652E-4</v>
      </c>
      <c r="AY180" s="22">
        <f>Constants!$H71*'Activity data'!AY13*Constants!$H89*FracLEACHMM*MMLeachEF*NtoN2O*kgtoGg</f>
        <v>5.8699724042408691E-4</v>
      </c>
      <c r="AZ180" s="22">
        <f>Constants!$H71*'Activity data'!AZ13*Constants!$H89*FracLEACHMM*MMLeachEF*NtoN2O*kgtoGg</f>
        <v>5.8852547780245982E-4</v>
      </c>
      <c r="BA180" s="22">
        <f>Constants!$H71*'Activity data'!BA13*Constants!$H89*FracLEACHMM*MMLeachEF*NtoN2O*kgtoGg</f>
        <v>5.9008039799106414E-4</v>
      </c>
      <c r="BB180" s="22">
        <f>Constants!$H71*'Activity data'!BB13*Constants!$H89*FracLEACHMM*MMLeachEF*NtoN2O*kgtoGg</f>
        <v>5.9100081451309786E-4</v>
      </c>
      <c r="BC180" s="22">
        <f>Constants!$H71*'Activity data'!BC13*Constants!$H89*FracLEACHMM*MMLeachEF*NtoN2O*kgtoGg</f>
        <v>5.9200813916272929E-4</v>
      </c>
      <c r="BD180" s="22">
        <f>Constants!$H71*'Activity data'!BD13*Constants!$H89*FracLEACHMM*MMLeachEF*NtoN2O*kgtoGg</f>
        <v>5.9307526025328071E-4</v>
      </c>
      <c r="BE180" s="22">
        <f>Constants!$H71*'Activity data'!BE13*Constants!$H89*FracLEACHMM*MMLeachEF*NtoN2O*kgtoGg</f>
        <v>5.942161722415414E-4</v>
      </c>
      <c r="BF180" s="22">
        <f>Constants!$H71*'Activity data'!BF13*Constants!$H89*FracLEACHMM*MMLeachEF*NtoN2O*kgtoGg</f>
        <v>5.9541998695626641E-4</v>
      </c>
      <c r="BG180" s="22">
        <f>Constants!$H71*'Activity data'!BG13*Constants!$H89*FracLEACHMM*MMLeachEF*NtoN2O*kgtoGg</f>
        <v>5.9606189392580344E-4</v>
      </c>
      <c r="BH180" s="22">
        <f>Constants!$H71*'Activity data'!BH13*Constants!$H89*FracLEACHMM*MMLeachEF*NtoN2O*kgtoGg</f>
        <v>5.9675021369894824E-4</v>
      </c>
      <c r="BI180" s="22">
        <f>Constants!$H71*'Activity data'!BI13*Constants!$H89*FracLEACHMM*MMLeachEF*NtoN2O*kgtoGg</f>
        <v>5.9749556471656829E-4</v>
      </c>
      <c r="BJ180" s="22">
        <f>Constants!$H71*'Activity data'!BJ13*Constants!$H89*FracLEACHMM*MMLeachEF*NtoN2O*kgtoGg</f>
        <v>5.9829931979982535E-4</v>
      </c>
      <c r="BK180" s="22">
        <f>Constants!$H71*'Activity data'!BK13*Constants!$H89*FracLEACHMM*MMLeachEF*NtoN2O*kgtoGg</f>
        <v>5.9916094831137718E-4</v>
      </c>
      <c r="BL180" s="22">
        <f>Constants!$H71*'Activity data'!BL13*Constants!$H89*FracLEACHMM*MMLeachEF*NtoN2O*kgtoGg</f>
        <v>5.9945405400764929E-4</v>
      </c>
      <c r="BM180" s="22">
        <f>Constants!$H71*'Activity data'!BM13*Constants!$H89*FracLEACHMM*MMLeachEF*NtoN2O*kgtoGg</f>
        <v>5.9970848295436412E-4</v>
      </c>
      <c r="BN180" s="22">
        <f>Constants!$H71*'Activity data'!BN13*Constants!$H89*FracLEACHMM*MMLeachEF*NtoN2O*kgtoGg</f>
        <v>6.00001478883441E-4</v>
      </c>
      <c r="BO180" s="22">
        <f>Constants!$H71*'Activity data'!BO13*Constants!$H89*FracLEACHMM*MMLeachEF*NtoN2O*kgtoGg</f>
        <v>6.0034059567570894E-4</v>
      </c>
      <c r="BP180" s="22">
        <f>Constants!$H71*'Activity data'!BP13*Constants!$H89*FracLEACHMM*MMLeachEF*NtoN2O*kgtoGg</f>
        <v>6.0072058236705953E-4</v>
      </c>
    </row>
    <row r="181" spans="1:68" x14ac:dyDescent="0.2">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6.6992563985089938E-3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6.8863566425632549E-3</v>
      </c>
      <c r="AK181" s="22">
        <f>Constants!$H72*'Activity data'!AK14*Constants!$H90*FracLEACHMM*MMLeachEF*NtoN2O*kgtoGg</f>
        <v>6.9316634884048298E-3</v>
      </c>
      <c r="AL181" s="22">
        <f>Constants!$H72*'Activity data'!AL14*Constants!$H90*FracLEACHMM*MMLeachEF*NtoN2O*kgtoGg</f>
        <v>6.973286937707302E-3</v>
      </c>
      <c r="AM181" s="22">
        <f>Constants!$H72*'Activity data'!AM14*Constants!$H90*FracLEACHMM*MMLeachEF*NtoN2O*kgtoGg</f>
        <v>6.9935499269173423E-3</v>
      </c>
      <c r="AN181" s="22">
        <f>Constants!$H72*'Activity data'!AN14*Constants!$H90*FracLEACHMM*MMLeachEF*NtoN2O*kgtoGg</f>
        <v>7.0153292247027649E-3</v>
      </c>
      <c r="AO181" s="22">
        <f>Constants!$H72*'Activity data'!AO14*Constants!$H90*FracLEACHMM*MMLeachEF*NtoN2O*kgtoGg</f>
        <v>7.0388911725791786E-3</v>
      </c>
      <c r="AP181" s="22">
        <f>Constants!$H72*'Activity data'!AP14*Constants!$H90*FracLEACHMM*MMLeachEF*NtoN2O*kgtoGg</f>
        <v>7.0644944742734297E-3</v>
      </c>
      <c r="AQ181" s="22">
        <f>Constants!$H72*'Activity data'!AQ14*Constants!$H90*FracLEACHMM*MMLeachEF*NtoN2O*kgtoGg</f>
        <v>7.0916835599794349E-3</v>
      </c>
      <c r="AR181" s="22">
        <f>Constants!$H72*'Activity data'!AR14*Constants!$H90*FracLEACHMM*MMLeachEF*NtoN2O*kgtoGg</f>
        <v>7.1086810299268487E-3</v>
      </c>
      <c r="AS181" s="22">
        <f>Constants!$H72*'Activity data'!AS14*Constants!$H90*FracLEACHMM*MMLeachEF*NtoN2O*kgtoGg</f>
        <v>7.1270677913135832E-3</v>
      </c>
      <c r="AT181" s="22">
        <f>Constants!$H72*'Activity data'!AT14*Constants!$H90*FracLEACHMM*MMLeachEF*NtoN2O*kgtoGg</f>
        <v>7.1467357035915266E-3</v>
      </c>
      <c r="AU181" s="22">
        <f>Constants!$H72*'Activity data'!AU14*Constants!$H90*FracLEACHMM*MMLeachEF*NtoN2O*kgtoGg</f>
        <v>7.1681154005910717E-3</v>
      </c>
      <c r="AV181" s="22">
        <f>Constants!$H72*'Activity data'!AV14*Constants!$H90*FracLEACHMM*MMLeachEF*NtoN2O*kgtoGg</f>
        <v>7.1907143792015659E-3</v>
      </c>
      <c r="AW181" s="22">
        <f>Constants!$H72*'Activity data'!AW14*Constants!$H90*FracLEACHMM*MMLeachEF*NtoN2O*kgtoGg</f>
        <v>7.2054061375440787E-3</v>
      </c>
      <c r="AX181" s="22">
        <f>Constants!$H72*'Activity data'!AX14*Constants!$H90*FracLEACHMM*MMLeachEF*NtoN2O*kgtoGg</f>
        <v>7.2215871775204617E-3</v>
      </c>
      <c r="AY181" s="22">
        <f>Constants!$H72*'Activity data'!AY14*Constants!$H90*FracLEACHMM*MMLeachEF*NtoN2O*kgtoGg</f>
        <v>7.2390072800791469E-3</v>
      </c>
      <c r="AZ181" s="22">
        <f>Constants!$H72*'Activity data'!AZ14*Constants!$H90*FracLEACHMM*MMLeachEF*NtoN2O*kgtoGg</f>
        <v>7.2578539129862047E-3</v>
      </c>
      <c r="BA181" s="22">
        <f>Constants!$H72*'Activity data'!BA14*Constants!$H90*FracLEACHMM*MMLeachEF*NtoN2O*kgtoGg</f>
        <v>7.277029605459848E-3</v>
      </c>
      <c r="BB181" s="22">
        <f>Constants!$H72*'Activity data'!BB14*Constants!$H90*FracLEACHMM*MMLeachEF*NtoN2O*kgtoGg</f>
        <v>7.2883804286747794E-3</v>
      </c>
      <c r="BC181" s="22">
        <f>Constants!$H72*'Activity data'!BC14*Constants!$H90*FracLEACHMM*MMLeachEF*NtoN2O*kgtoGg</f>
        <v>7.3008030262100192E-3</v>
      </c>
      <c r="BD181" s="22">
        <f>Constants!$H72*'Activity data'!BD14*Constants!$H90*FracLEACHMM*MMLeachEF*NtoN2O*kgtoGg</f>
        <v>7.3139630494797169E-3</v>
      </c>
      <c r="BE181" s="22">
        <f>Constants!$H72*'Activity data'!BE14*Constants!$H90*FracLEACHMM*MMLeachEF*NtoN2O*kgtoGg</f>
        <v>7.3280330818754061E-3</v>
      </c>
      <c r="BF181" s="22">
        <f>Constants!$H72*'Activity data'!BF14*Constants!$H90*FracLEACHMM*MMLeachEF*NtoN2O*kgtoGg</f>
        <v>7.3428788475513491E-3</v>
      </c>
      <c r="BG181" s="22">
        <f>Constants!$H72*'Activity data'!BG14*Constants!$H90*FracLEACHMM*MMLeachEF*NtoN2O*kgtoGg</f>
        <v>7.3507950163262765E-3</v>
      </c>
      <c r="BH181" s="22">
        <f>Constants!$H72*'Activity data'!BH14*Constants!$H90*FracLEACHMM*MMLeachEF*NtoN2O*kgtoGg</f>
        <v>7.3592835602335977E-3</v>
      </c>
      <c r="BI181" s="22">
        <f>Constants!$H72*'Activity data'!BI14*Constants!$H90*FracLEACHMM*MMLeachEF*NtoN2O*kgtoGg</f>
        <v>7.3684754287317664E-3</v>
      </c>
      <c r="BJ181" s="22">
        <f>Constants!$H72*'Activity data'!BJ14*Constants!$H90*FracLEACHMM*MMLeachEF*NtoN2O*kgtoGg</f>
        <v>7.3783875518192519E-3</v>
      </c>
      <c r="BK181" s="22">
        <f>Constants!$H72*'Activity data'!BK14*Constants!$H90*FracLEACHMM*MMLeachEF*NtoN2O*kgtoGg</f>
        <v>7.3890133855341444E-3</v>
      </c>
      <c r="BL181" s="22">
        <f>Constants!$H72*'Activity data'!BL14*Constants!$H90*FracLEACHMM*MMLeachEF*NtoN2O*kgtoGg</f>
        <v>7.3926280435308569E-3</v>
      </c>
      <c r="BM181" s="22">
        <f>Constants!$H72*'Activity data'!BM14*Constants!$H90*FracLEACHMM*MMLeachEF*NtoN2O*kgtoGg</f>
        <v>7.3957657294869287E-3</v>
      </c>
      <c r="BN181" s="22">
        <f>Constants!$H72*'Activity data'!BN14*Constants!$H90*FracLEACHMM*MMLeachEF*NtoN2O*kgtoGg</f>
        <v>7.3993790338051698E-3</v>
      </c>
      <c r="BO181" s="22">
        <f>Constants!$H72*'Activity data'!BO14*Constants!$H90*FracLEACHMM*MMLeachEF*NtoN2O*kgtoGg</f>
        <v>7.4035611129683564E-3</v>
      </c>
      <c r="BP181" s="22">
        <f>Constants!$H72*'Activity data'!BP14*Constants!$H90*FracLEACHMM*MMLeachEF*NtoN2O*kgtoGg</f>
        <v>7.4082472106798752E-3</v>
      </c>
    </row>
    <row r="182" spans="1:68" x14ac:dyDescent="0.2">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2">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2">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2.6729002214214585E-2</v>
      </c>
      <c r="AF184" s="22">
        <f>Constants!$H75*'Activity data'!AF17*Constants!$H93*FracLEACHMM*MMLeachEF*NtoN2O*kgtoGg</f>
        <v>2.6740992333189322E-2</v>
      </c>
      <c r="AG184" s="22">
        <f>Constants!$H75*'Activity data'!AG17*Constants!$H93*FracLEACHMM*MMLeachEF*NtoN2O*kgtoGg</f>
        <v>2.6495489531984443E-2</v>
      </c>
      <c r="AH184" s="22">
        <f>Constants!$H75*'Activity data'!AH17*Constants!$H93*FracLEACHMM*MMLeachEF*NtoN2O*kgtoGg</f>
        <v>2.609452683304702E-2</v>
      </c>
      <c r="AI184" s="22">
        <f>Constants!$H75*'Activity data'!AI17*Constants!$H93*FracLEACHMM*MMLeachEF*NtoN2O*kgtoGg</f>
        <v>2.5544514050244028E-2</v>
      </c>
      <c r="AJ184" s="22">
        <f>Constants!$H75*'Activity data'!AJ17*Constants!$H93*FracLEACHMM*MMLeachEF*NtoN2O*kgtoGg</f>
        <v>2.5145143775072754E-2</v>
      </c>
      <c r="AK184" s="22">
        <f>Constants!$H75*'Activity data'!AK17*Constants!$H93*FracLEACHMM*MMLeachEF*NtoN2O*kgtoGg</f>
        <v>2.4781112413324518E-2</v>
      </c>
      <c r="AL184" s="22">
        <f>Constants!$H75*'Activity data'!AL17*Constants!$H93*FracLEACHMM*MMLeachEF*NtoN2O*kgtoGg</f>
        <v>2.20798204460615E-2</v>
      </c>
      <c r="AM184" s="22">
        <f>Constants!$H75*'Activity data'!AM17*Constants!$H93*FracLEACHMM*MMLeachEF*NtoN2O*kgtoGg</f>
        <v>2.2424557938008405E-2</v>
      </c>
      <c r="AN184" s="22">
        <f>Constants!$H75*'Activity data'!AN17*Constants!$H93*FracLEACHMM*MMLeachEF*NtoN2O*kgtoGg</f>
        <v>2.2570971116616413E-2</v>
      </c>
      <c r="AO184" s="22">
        <f>Constants!$H75*'Activity data'!AO17*Constants!$H93*FracLEACHMM*MMLeachEF*NtoN2O*kgtoGg</f>
        <v>2.2667395166558576E-2</v>
      </c>
      <c r="AP184" s="22">
        <f>Constants!$H75*'Activity data'!AP17*Constants!$H93*FracLEACHMM*MMLeachEF*NtoN2O*kgtoGg</f>
        <v>2.284594133514007E-2</v>
      </c>
      <c r="AQ184" s="22">
        <f>Constants!$H75*'Activity data'!AQ17*Constants!$H93*FracLEACHMM*MMLeachEF*NtoN2O*kgtoGg</f>
        <v>2.2978923721971391E-2</v>
      </c>
      <c r="AR184" s="22">
        <f>Constants!$H75*'Activity data'!AR17*Constants!$H93*FracLEACHMM*MMLeachEF*NtoN2O*kgtoGg</f>
        <v>2.3048677917067804E-2</v>
      </c>
      <c r="AS184" s="22">
        <f>Constants!$H75*'Activity data'!AS17*Constants!$H93*FracLEACHMM*MMLeachEF*NtoN2O*kgtoGg</f>
        <v>2.3091415921174294E-2</v>
      </c>
      <c r="AT184" s="22">
        <f>Constants!$H75*'Activity data'!AT17*Constants!$H93*FracLEACHMM*MMLeachEF*NtoN2O*kgtoGg</f>
        <v>2.3097213386295078E-2</v>
      </c>
      <c r="AU184" s="22">
        <f>Constants!$H75*'Activity data'!AU17*Constants!$H93*FracLEACHMM*MMLeachEF*NtoN2O*kgtoGg</f>
        <v>2.323133845353377E-2</v>
      </c>
      <c r="AV184" s="22">
        <f>Constants!$H75*'Activity data'!AV17*Constants!$H93*FracLEACHMM*MMLeachEF*NtoN2O*kgtoGg</f>
        <v>2.3348495871952417E-2</v>
      </c>
      <c r="AW184" s="22">
        <f>Constants!$H75*'Activity data'!AW17*Constants!$H93*FracLEACHMM*MMLeachEF*NtoN2O*kgtoGg</f>
        <v>2.3517064058520994E-2</v>
      </c>
      <c r="AX184" s="22">
        <f>Constants!$H75*'Activity data'!AX17*Constants!$H93*FracLEACHMM*MMLeachEF*NtoN2O*kgtoGg</f>
        <v>2.3801807583193908E-2</v>
      </c>
      <c r="AY184" s="22">
        <f>Constants!$H75*'Activity data'!AY17*Constants!$H93*FracLEACHMM*MMLeachEF*NtoN2O*kgtoGg</f>
        <v>2.4135258091248658E-2</v>
      </c>
      <c r="AZ184" s="22">
        <f>Constants!$H75*'Activity data'!AZ17*Constants!$H93*FracLEACHMM*MMLeachEF*NtoN2O*kgtoGg</f>
        <v>2.4586723078799614E-2</v>
      </c>
      <c r="BA184" s="22">
        <f>Constants!$H75*'Activity data'!BA17*Constants!$H93*FracLEACHMM*MMLeachEF*NtoN2O*kgtoGg</f>
        <v>2.483044349217995E-2</v>
      </c>
      <c r="BB184" s="22">
        <f>Constants!$H75*'Activity data'!BB17*Constants!$H93*FracLEACHMM*MMLeachEF*NtoN2O*kgtoGg</f>
        <v>2.5043308594524263E-2</v>
      </c>
      <c r="BC184" s="22">
        <f>Constants!$H75*'Activity data'!BC17*Constants!$H93*FracLEACHMM*MMLeachEF*NtoN2O*kgtoGg</f>
        <v>2.531081903004264E-2</v>
      </c>
      <c r="BD184" s="22">
        <f>Constants!$H75*'Activity data'!BD17*Constants!$H93*FracLEACHMM*MMLeachEF*NtoN2O*kgtoGg</f>
        <v>2.5543075681886771E-2</v>
      </c>
      <c r="BE184" s="22">
        <f>Constants!$H75*'Activity data'!BE17*Constants!$H93*FracLEACHMM*MMLeachEF*NtoN2O*kgtoGg</f>
        <v>2.5800065264390357E-2</v>
      </c>
      <c r="BF184" s="22">
        <f>Constants!$H75*'Activity data'!BF17*Constants!$H93*FracLEACHMM*MMLeachEF*NtoN2O*kgtoGg</f>
        <v>2.6050738429193292E-2</v>
      </c>
      <c r="BG184" s="22">
        <f>Constants!$H75*'Activity data'!BG17*Constants!$H93*FracLEACHMM*MMLeachEF*NtoN2O*kgtoGg</f>
        <v>2.6388228624982798E-2</v>
      </c>
      <c r="BH184" s="22">
        <f>Constants!$H75*'Activity data'!BH17*Constants!$H93*FracLEACHMM*MMLeachEF*NtoN2O*kgtoGg</f>
        <v>2.6681293830850793E-2</v>
      </c>
      <c r="BI184" s="22">
        <f>Constants!$H75*'Activity data'!BI17*Constants!$H93*FracLEACHMM*MMLeachEF*NtoN2O*kgtoGg</f>
        <v>2.6974098587187682E-2</v>
      </c>
      <c r="BJ184" s="22">
        <f>Constants!$H75*'Activity data'!BJ17*Constants!$H93*FracLEACHMM*MMLeachEF*NtoN2O*kgtoGg</f>
        <v>2.7277302536496094E-2</v>
      </c>
      <c r="BK184" s="22">
        <f>Constants!$H75*'Activity data'!BK17*Constants!$H93*FracLEACHMM*MMLeachEF*NtoN2O*kgtoGg</f>
        <v>2.759431398689733E-2</v>
      </c>
      <c r="BL184" s="22">
        <f>Constants!$H75*'Activity data'!BL17*Constants!$H93*FracLEACHMM*MMLeachEF*NtoN2O*kgtoGg</f>
        <v>2.800744241344803E-2</v>
      </c>
      <c r="BM184" s="22">
        <f>Constants!$H75*'Activity data'!BM17*Constants!$H93*FracLEACHMM*MMLeachEF*NtoN2O*kgtoGg</f>
        <v>2.8135384789660874E-2</v>
      </c>
      <c r="BN184" s="22">
        <f>Constants!$H75*'Activity data'!BN17*Constants!$H93*FracLEACHMM*MMLeachEF*NtoN2O*kgtoGg</f>
        <v>2.8237574251430975E-2</v>
      </c>
      <c r="BO184" s="22">
        <f>Constants!$H75*'Activity data'!BO17*Constants!$H93*FracLEACHMM*MMLeachEF*NtoN2O*kgtoGg</f>
        <v>2.8342961193356213E-2</v>
      </c>
      <c r="BP184" s="22">
        <f>Constants!$H75*'Activity data'!BP17*Constants!$H93*FracLEACHMM*MMLeachEF*NtoN2O*kgtoGg</f>
        <v>2.8439412611602398E-2</v>
      </c>
    </row>
    <row r="185" spans="1:68" x14ac:dyDescent="0.2">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3.9947810410006996E-3</v>
      </c>
      <c r="AF185" s="22">
        <f>Constants!$H76*'Activity data'!AF18*Constants!$H94*FracLEACHMM*MMLeachEF*NtoN2O*kgtoGg</f>
        <v>3.9965730233416704E-3</v>
      </c>
      <c r="AG185" s="22">
        <f>Constants!$H76*'Activity data'!AG18*Constants!$H94*FracLEACHMM*MMLeachEF*NtoN2O*kgtoGg</f>
        <v>3.9598814204188995E-3</v>
      </c>
      <c r="AH185" s="22">
        <f>Constants!$H76*'Activity data'!AH18*Constants!$H94*FracLEACHMM*MMLeachEF*NtoN2O*kgtoGg</f>
        <v>3.8999555700251322E-3</v>
      </c>
      <c r="AI185" s="22">
        <f>Constants!$H76*'Activity data'!AI18*Constants!$H94*FracLEACHMM*MMLeachEF*NtoN2O*kgtoGg</f>
        <v>3.8177534504158584E-3</v>
      </c>
      <c r="AJ185" s="22">
        <f>Constants!$H76*'Activity data'!AJ18*Constants!$H94*FracLEACHMM*MMLeachEF*NtoN2O*kgtoGg</f>
        <v>3.7580655955978051E-3</v>
      </c>
      <c r="AK185" s="22">
        <f>Constants!$H76*'Activity data'!AK18*Constants!$H94*FracLEACHMM*MMLeachEF*NtoN2O*kgtoGg</f>
        <v>3.7036593154610876E-3</v>
      </c>
      <c r="AL185" s="22">
        <f>Constants!$H76*'Activity data'!AL18*Constants!$H94*FracLEACHMM*MMLeachEF*NtoN2O*kgtoGg</f>
        <v>3.2999379250946686E-3</v>
      </c>
      <c r="AM185" s="22">
        <f>Constants!$H76*'Activity data'!AM18*Constants!$H94*FracLEACHMM*MMLeachEF*NtoN2O*kgtoGg</f>
        <v>3.3514606413530125E-3</v>
      </c>
      <c r="AN185" s="22">
        <f>Constants!$H76*'Activity data'!AN18*Constants!$H94*FracLEACHMM*MMLeachEF*NtoN2O*kgtoGg</f>
        <v>3.3733428120890697E-3</v>
      </c>
      <c r="AO185" s="22">
        <f>Constants!$H76*'Activity data'!AO18*Constants!$H94*FracLEACHMM*MMLeachEF*NtoN2O*kgtoGg</f>
        <v>3.3877538613126231E-3</v>
      </c>
      <c r="AP185" s="22">
        <f>Constants!$H76*'Activity data'!AP18*Constants!$H94*FracLEACHMM*MMLeachEF*NtoN2O*kgtoGg</f>
        <v>3.4144384656789365E-3</v>
      </c>
      <c r="AQ185" s="22">
        <f>Constants!$H76*'Activity data'!AQ18*Constants!$H94*FracLEACHMM*MMLeachEF*NtoN2O*kgtoGg</f>
        <v>3.4343133384273955E-3</v>
      </c>
      <c r="AR185" s="22">
        <f>Constants!$H76*'Activity data'!AR18*Constants!$H94*FracLEACHMM*MMLeachEF*NtoN2O*kgtoGg</f>
        <v>3.4447384464755082E-3</v>
      </c>
      <c r="AS185" s="22">
        <f>Constants!$H76*'Activity data'!AS18*Constants!$H94*FracLEACHMM*MMLeachEF*NtoN2O*kgtoGg</f>
        <v>3.4511258517054724E-3</v>
      </c>
      <c r="AT185" s="22">
        <f>Constants!$H76*'Activity data'!AT18*Constants!$H94*FracLEACHMM*MMLeachEF*NtoN2O*kgtoGg</f>
        <v>3.4519923114245724E-3</v>
      </c>
      <c r="AU185" s="22">
        <f>Constants!$H76*'Activity data'!AU18*Constants!$H94*FracLEACHMM*MMLeachEF*NtoN2O*kgtoGg</f>
        <v>3.4720379633884583E-3</v>
      </c>
      <c r="AV185" s="22">
        <f>Constants!$H76*'Activity data'!AV18*Constants!$H94*FracLEACHMM*MMLeachEF*NtoN2O*kgtoGg</f>
        <v>3.4895477166579812E-3</v>
      </c>
      <c r="AW185" s="22">
        <f>Constants!$H76*'Activity data'!AW18*Constants!$H94*FracLEACHMM*MMLeachEF*NtoN2O*kgtoGg</f>
        <v>3.5147410624635305E-3</v>
      </c>
      <c r="AX185" s="22">
        <f>Constants!$H76*'Activity data'!AX18*Constants!$H94*FracLEACHMM*MMLeachEF*NtoN2O*kgtoGg</f>
        <v>3.5572973847981574E-3</v>
      </c>
      <c r="AY185" s="22">
        <f>Constants!$H76*'Activity data'!AY18*Constants!$H94*FracLEACHMM*MMLeachEF*NtoN2O*kgtoGg</f>
        <v>3.6071332057170833E-3</v>
      </c>
      <c r="AZ185" s="22">
        <f>Constants!$H76*'Activity data'!AZ18*Constants!$H94*FracLEACHMM*MMLeachEF*NtoN2O*kgtoGg</f>
        <v>3.6746068719052303E-3</v>
      </c>
      <c r="BA185" s="22">
        <f>Constants!$H76*'Activity data'!BA18*Constants!$H94*FracLEACHMM*MMLeachEF*NtoN2O*kgtoGg</f>
        <v>3.7110320881880462E-3</v>
      </c>
      <c r="BB185" s="22">
        <f>Constants!$H76*'Activity data'!BB18*Constants!$H94*FracLEACHMM*MMLeachEF*NtoN2O*kgtoGg</f>
        <v>3.7428458262513211E-3</v>
      </c>
      <c r="BC185" s="22">
        <f>Constants!$H76*'Activity data'!BC18*Constants!$H94*FracLEACHMM*MMLeachEF*NtoN2O*kgtoGg</f>
        <v>3.7828265785261059E-3</v>
      </c>
      <c r="BD185" s="22">
        <f>Constants!$H76*'Activity data'!BD18*Constants!$H94*FracLEACHMM*MMLeachEF*NtoN2O*kgtoGg</f>
        <v>3.8175384791798387E-3</v>
      </c>
      <c r="BE185" s="22">
        <f>Constants!$H76*'Activity data'!BE18*Constants!$H94*FracLEACHMM*MMLeachEF*NtoN2O*kgtoGg</f>
        <v>3.8559468381485868E-3</v>
      </c>
      <c r="BF185" s="22">
        <f>Constants!$H76*'Activity data'!BF18*Constants!$H94*FracLEACHMM*MMLeachEF*NtoN2O*kgtoGg</f>
        <v>3.8934111773789473E-3</v>
      </c>
      <c r="BG185" s="22">
        <f>Constants!$H76*'Activity data'!BG18*Constants!$H94*FracLEACHMM*MMLeachEF*NtoN2O*kgtoGg</f>
        <v>3.9438507495282793E-3</v>
      </c>
      <c r="BH185" s="22">
        <f>Constants!$H76*'Activity data'!BH18*Constants!$H94*FracLEACHMM*MMLeachEF*NtoN2O*kgtoGg</f>
        <v>3.9876507881079406E-3</v>
      </c>
      <c r="BI185" s="22">
        <f>Constants!$H76*'Activity data'!BI18*Constants!$H94*FracLEACHMM*MMLeachEF*NtoN2O*kgtoGg</f>
        <v>4.0314119012222708E-3</v>
      </c>
      <c r="BJ185" s="22">
        <f>Constants!$H76*'Activity data'!BJ18*Constants!$H94*FracLEACHMM*MMLeachEF*NtoN2O*kgtoGg</f>
        <v>4.0767272249499047E-3</v>
      </c>
      <c r="BK185" s="22">
        <f>Constants!$H76*'Activity data'!BK18*Constants!$H94*FracLEACHMM*MMLeachEF*NtoN2O*kgtoGg</f>
        <v>4.1241061477280058E-3</v>
      </c>
      <c r="BL185" s="22">
        <f>Constants!$H76*'Activity data'!BL18*Constants!$H94*FracLEACHMM*MMLeachEF*NtoN2O*kgtoGg</f>
        <v>4.1858502260387767E-3</v>
      </c>
      <c r="BM185" s="22">
        <f>Constants!$H76*'Activity data'!BM18*Constants!$H94*FracLEACHMM*MMLeachEF*NtoN2O*kgtoGg</f>
        <v>4.2049718443745261E-3</v>
      </c>
      <c r="BN185" s="22">
        <f>Constants!$H76*'Activity data'!BN18*Constants!$H94*FracLEACHMM*MMLeachEF*NtoN2O*kgtoGg</f>
        <v>4.2202445627946769E-3</v>
      </c>
      <c r="BO185" s="22">
        <f>Constants!$H76*'Activity data'!BO18*Constants!$H94*FracLEACHMM*MMLeachEF*NtoN2O*kgtoGg</f>
        <v>4.2359951603739652E-3</v>
      </c>
      <c r="BP185" s="22">
        <f>Constants!$H76*'Activity data'!BP18*Constants!$H94*FracLEACHMM*MMLeachEF*NtoN2O*kgtoGg</f>
        <v>4.2504102999253611E-3</v>
      </c>
    </row>
    <row r="186" spans="1:68" x14ac:dyDescent="0.2">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1.7066731126843742E-2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1.8014444056791572E-2</v>
      </c>
      <c r="AI186" s="22">
        <f>Constants!$H77*'Activity data'!AI19*Constants!$H95*FracLEACHMM*MMLeachEF*NtoN2O*kgtoGg</f>
        <v>1.8197780265539365E-2</v>
      </c>
      <c r="AJ186" s="22">
        <f>Constants!$H77*'Activity data'!AJ19*Constants!$H95*FracLEACHMM*MMLeachEF*NtoN2O*kgtoGg</f>
        <v>1.8432867891885713E-2</v>
      </c>
      <c r="AK186" s="22">
        <f>Constants!$H77*'Activity data'!AK19*Constants!$H95*FracLEACHMM*MMLeachEF*NtoN2O*kgtoGg</f>
        <v>1.8677293946611207E-2</v>
      </c>
      <c r="AL186" s="22">
        <f>Constants!$H77*'Activity data'!AL19*Constants!$H95*FracLEACHMM*MMLeachEF*NtoN2O*kgtoGg</f>
        <v>1.7930195532315427E-2</v>
      </c>
      <c r="AM186" s="22">
        <f>Constants!$H77*'Activity data'!AM19*Constants!$H95*FracLEACHMM*MMLeachEF*NtoN2O*kgtoGg</f>
        <v>1.8405757792115097E-2</v>
      </c>
      <c r="AN186" s="22">
        <f>Constants!$H77*'Activity data'!AN19*Constants!$H95*FracLEACHMM*MMLeachEF*NtoN2O*kgtoGg</f>
        <v>1.880256719318036E-2</v>
      </c>
      <c r="AO186" s="22">
        <f>Constants!$H77*'Activity data'!AO19*Constants!$H95*FracLEACHMM*MMLeachEF*NtoN2O*kgtoGg</f>
        <v>1.9182022263661121E-2</v>
      </c>
      <c r="AP186" s="22">
        <f>Constants!$H77*'Activity data'!AP19*Constants!$H95*FracLEACHMM*MMLeachEF*NtoN2O*kgtoGg</f>
        <v>1.9603893406791358E-2</v>
      </c>
      <c r="AQ186" s="22">
        <f>Constants!$H77*'Activity data'!AQ19*Constants!$H95*FracLEACHMM*MMLeachEF*NtoN2O*kgtoGg</f>
        <v>2.0010576837223248E-2</v>
      </c>
      <c r="AR186" s="22">
        <f>Constants!$H77*'Activity data'!AR19*Constants!$H95*FracLEACHMM*MMLeachEF*NtoN2O*kgtoGg</f>
        <v>2.0375728845723119E-2</v>
      </c>
      <c r="AS186" s="22">
        <f>Constants!$H77*'Activity data'!AS19*Constants!$H95*FracLEACHMM*MMLeachEF*NtoN2O*kgtoGg</f>
        <v>2.0731756448222814E-2</v>
      </c>
      <c r="AT186" s="22">
        <f>Constants!$H77*'Activity data'!AT19*Constants!$H95*FracLEACHMM*MMLeachEF*NtoN2O*kgtoGg</f>
        <v>2.1073019561660463E-2</v>
      </c>
      <c r="AU186" s="22">
        <f>Constants!$H77*'Activity data'!AU19*Constants!$H95*FracLEACHMM*MMLeachEF*NtoN2O*kgtoGg</f>
        <v>2.148336106919314E-2</v>
      </c>
      <c r="AV186" s="22">
        <f>Constants!$H77*'Activity data'!AV19*Constants!$H95*FracLEACHMM*MMLeachEF*NtoN2O*kgtoGg</f>
        <v>2.1890889267126682E-2</v>
      </c>
      <c r="AW186" s="22">
        <f>Constants!$H77*'Activity data'!AW19*Constants!$H95*FracLEACHMM*MMLeachEF*NtoN2O*kgtoGg</f>
        <v>2.231803440740647E-2</v>
      </c>
      <c r="AX186" s="22">
        <f>Constants!$H77*'Activity data'!AX19*Constants!$H95*FracLEACHMM*MMLeachEF*NtoN2O*kgtoGg</f>
        <v>2.2815454137105083E-2</v>
      </c>
      <c r="AY186" s="22">
        <f>Constants!$H77*'Activity data'!AY19*Constants!$H95*FracLEACHMM*MMLeachEF*NtoN2O*kgtoGg</f>
        <v>2.3349632701496571E-2</v>
      </c>
      <c r="AZ186" s="22">
        <f>Constants!$H77*'Activity data'!AZ19*Constants!$H95*FracLEACHMM*MMLeachEF*NtoN2O*kgtoGg</f>
        <v>2.396171160946152E-2</v>
      </c>
      <c r="BA186" s="22">
        <f>Constants!$H77*'Activity data'!BA19*Constants!$H95*FracLEACHMM*MMLeachEF*NtoN2O*kgtoGg</f>
        <v>2.4467658584898602E-2</v>
      </c>
      <c r="BB186" s="22">
        <f>Constants!$H77*'Activity data'!BB19*Constants!$H95*FracLEACHMM*MMLeachEF*NtoN2O*kgtoGg</f>
        <v>2.4951748693606203E-2</v>
      </c>
      <c r="BC186" s="22">
        <f>Constants!$H77*'Activity data'!BC19*Constants!$H95*FracLEACHMM*MMLeachEF*NtoN2O*kgtoGg</f>
        <v>2.5477604150305377E-2</v>
      </c>
      <c r="BD186" s="22">
        <f>Constants!$H77*'Activity data'!BD19*Constants!$H95*FracLEACHMM*MMLeachEF*NtoN2O*kgtoGg</f>
        <v>2.5992359314301834E-2</v>
      </c>
      <c r="BE186" s="22">
        <f>Constants!$H77*'Activity data'!BE19*Constants!$H95*FracLEACHMM*MMLeachEF*NtoN2O*kgtoGg</f>
        <v>2.6532480091102609E-2</v>
      </c>
      <c r="BF186" s="22">
        <f>Constants!$H77*'Activity data'!BF19*Constants!$H95*FracLEACHMM*MMLeachEF*NtoN2O*kgtoGg</f>
        <v>2.7079400048144214E-2</v>
      </c>
      <c r="BG186" s="22">
        <f>Constants!$H77*'Activity data'!BG19*Constants!$H95*FracLEACHMM*MMLeachEF*NtoN2O*kgtoGg</f>
        <v>2.7680885364723965E-2</v>
      </c>
      <c r="BH186" s="22">
        <f>Constants!$H77*'Activity data'!BH19*Constants!$H95*FracLEACHMM*MMLeachEF*NtoN2O*kgtoGg</f>
        <v>2.8266293672037732E-2</v>
      </c>
      <c r="BI186" s="22">
        <f>Constants!$H77*'Activity data'!BI19*Constants!$H95*FracLEACHMM*MMLeachEF*NtoN2O*kgtoGg</f>
        <v>2.886402430987451E-2</v>
      </c>
      <c r="BJ186" s="22">
        <f>Constants!$H77*'Activity data'!BJ19*Constants!$H95*FracLEACHMM*MMLeachEF*NtoN2O*kgtoGg</f>
        <v>2.9481723037787178E-2</v>
      </c>
      <c r="BK186" s="22">
        <f>Constants!$H77*'Activity data'!BK19*Constants!$H95*FracLEACHMM*MMLeachEF*NtoN2O*kgtoGg</f>
        <v>3.0122536424733722E-2</v>
      </c>
      <c r="BL186" s="22">
        <f>Constants!$H77*'Activity data'!BL19*Constants!$H95*FracLEACHMM*MMLeachEF*NtoN2O*kgtoGg</f>
        <v>3.0832887052217536E-2</v>
      </c>
      <c r="BM186" s="22">
        <f>Constants!$H77*'Activity data'!BM19*Constants!$H95*FracLEACHMM*MMLeachEF*NtoN2O*kgtoGg</f>
        <v>3.1354014072341549E-2</v>
      </c>
      <c r="BN186" s="22">
        <f>Constants!$H77*'Activity data'!BN19*Constants!$H95*FracLEACHMM*MMLeachEF*NtoN2O*kgtoGg</f>
        <v>3.1866079427096267E-2</v>
      </c>
      <c r="BO186" s="22">
        <f>Constants!$H77*'Activity data'!BO19*Constants!$H95*FracLEACHMM*MMLeachEF*NtoN2O*kgtoGg</f>
        <v>3.2390073533933091E-2</v>
      </c>
      <c r="BP186" s="22">
        <f>Constants!$H77*'Activity data'!BP19*Constants!$H95*FracLEACHMM*MMLeachEF*NtoN2O*kgtoGg</f>
        <v>3.2917174163896501E-2</v>
      </c>
    </row>
    <row r="187" spans="1:68" x14ac:dyDescent="0.2">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7.758579791322931E-2</v>
      </c>
      <c r="AE187" s="22">
        <f>Constants!$H78*'Activity data'!AE20*Constants!$H96*FracLEACHMM*MMLeachEF*NtoN2O*kgtoGg</f>
        <v>7.860746419754247E-2</v>
      </c>
      <c r="AF187" s="22">
        <f>Constants!$H78*'Activity data'!AF20*Constants!$H96*FracLEACHMM*MMLeachEF*NtoN2O*kgtoGg</f>
        <v>8.0248553313821205E-2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7.8944464359385597E-2</v>
      </c>
      <c r="AK187" s="22">
        <f>Constants!$H78*'Activity data'!AK20*Constants!$H96*FracLEACHMM*MMLeachEF*NtoN2O*kgtoGg</f>
        <v>7.8604018955287305E-2</v>
      </c>
      <c r="AL187" s="22">
        <f>Constants!$H78*'Activity data'!AL20*Constants!$H96*FracLEACHMM*MMLeachEF*NtoN2O*kgtoGg</f>
        <v>6.7197980387573103E-2</v>
      </c>
      <c r="AM187" s="22">
        <f>Constants!$H78*'Activity data'!AM20*Constants!$H96*FracLEACHMM*MMLeachEF*NtoN2O*kgtoGg</f>
        <v>7.0159754352377118E-2</v>
      </c>
      <c r="AN187" s="22">
        <f>Constants!$H78*'Activity data'!AN20*Constants!$H96*FracLEACHMM*MMLeachEF*NtoN2O*kgtoGg</f>
        <v>7.2200774862602818E-2</v>
      </c>
      <c r="AO187" s="22">
        <f>Constants!$H78*'Activity data'!AO20*Constants!$H96*FracLEACHMM*MMLeachEF*NtoN2O*kgtoGg</f>
        <v>7.4012137517044677E-2</v>
      </c>
      <c r="AP187" s="22">
        <f>Constants!$H78*'Activity data'!AP20*Constants!$H96*FracLEACHMM*MMLeachEF*NtoN2O*kgtoGg</f>
        <v>7.624234611790702E-2</v>
      </c>
      <c r="AQ187" s="22">
        <f>Constants!$H78*'Activity data'!AQ20*Constants!$H96*FracLEACHMM*MMLeachEF*NtoN2O*kgtoGg</f>
        <v>7.8266654922264395E-2</v>
      </c>
      <c r="AR187" s="22">
        <f>Constants!$H78*'Activity data'!AR20*Constants!$H96*FracLEACHMM*MMLeachEF*NtoN2O*kgtoGg</f>
        <v>8.0053392548698518E-2</v>
      </c>
      <c r="AS187" s="22">
        <f>Constants!$H78*'Activity data'!AS20*Constants!$H96*FracLEACHMM*MMLeachEF*NtoN2O*kgtoGg</f>
        <v>8.1713475036097147E-2</v>
      </c>
      <c r="AT187" s="22">
        <f>Constants!$H78*'Activity data'!AT20*Constants!$H96*FracLEACHMM*MMLeachEF*NtoN2O*kgtoGg</f>
        <v>8.3191126783030381E-2</v>
      </c>
      <c r="AU187" s="22">
        <f>Constants!$H78*'Activity data'!AU20*Constants!$H96*FracLEACHMM*MMLeachEF*NtoN2O*kgtoGg</f>
        <v>8.5356141752823037E-2</v>
      </c>
      <c r="AV187" s="22">
        <f>Constants!$H78*'Activity data'!AV20*Constants!$H96*FracLEACHMM*MMLeachEF*NtoN2O*kgtoGg</f>
        <v>8.7456207764297841E-2</v>
      </c>
      <c r="AW187" s="22">
        <f>Constants!$H78*'Activity data'!AW20*Constants!$H96*FracLEACHMM*MMLeachEF*NtoN2O*kgtoGg</f>
        <v>8.9913243198059017E-2</v>
      </c>
      <c r="AX187" s="22">
        <f>Constants!$H78*'Activity data'!AX20*Constants!$H96*FracLEACHMM*MMLeachEF*NtoN2O*kgtoGg</f>
        <v>9.3044085798014903E-2</v>
      </c>
      <c r="AY187" s="22">
        <f>Constants!$H78*'Activity data'!AY20*Constants!$H96*FracLEACHMM*MMLeachEF*NtoN2O*kgtoGg</f>
        <v>9.6498642598308926E-2</v>
      </c>
      <c r="AZ187" s="22">
        <f>Constants!$H78*'Activity data'!AZ20*Constants!$H96*FracLEACHMM*MMLeachEF*NtoN2O*kgtoGg</f>
        <v>0.10068056666272467</v>
      </c>
      <c r="BA187" s="22">
        <f>Constants!$H78*'Activity data'!BA20*Constants!$H96*FracLEACHMM*MMLeachEF*NtoN2O*kgtoGg</f>
        <v>0.10375441633368165</v>
      </c>
      <c r="BB187" s="22">
        <f>Constants!$H78*'Activity data'!BB20*Constants!$H96*FracLEACHMM*MMLeachEF*NtoN2O*kgtoGg</f>
        <v>0.10675032554756632</v>
      </c>
      <c r="BC187" s="22">
        <f>Constants!$H78*'Activity data'!BC20*Constants!$H96*FracLEACHMM*MMLeachEF*NtoN2O*kgtoGg</f>
        <v>0.11011636525105389</v>
      </c>
      <c r="BD187" s="22">
        <f>Constants!$H78*'Activity data'!BD20*Constants!$H96*FracLEACHMM*MMLeachEF*NtoN2O*kgtoGg</f>
        <v>0.11333263880247381</v>
      </c>
      <c r="BE187" s="22">
        <f>Constants!$H78*'Activity data'!BE20*Constants!$H96*FracLEACHMM*MMLeachEF*NtoN2O*kgtoGg</f>
        <v>0.11675404817895949</v>
      </c>
      <c r="BF187" s="22">
        <f>Constants!$H78*'Activity data'!BF20*Constants!$H96*FracLEACHMM*MMLeachEF*NtoN2O*kgtoGg</f>
        <v>0.12019911578989917</v>
      </c>
      <c r="BG187" s="22">
        <f>Constants!$H78*'Activity data'!BG20*Constants!$H96*FracLEACHMM*MMLeachEF*NtoN2O*kgtoGg</f>
        <v>0.12428786174834884</v>
      </c>
      <c r="BH187" s="22">
        <f>Constants!$H78*'Activity data'!BH20*Constants!$H96*FracLEACHMM*MMLeachEF*NtoN2O*kgtoGg</f>
        <v>0.12817821089097012</v>
      </c>
      <c r="BI187" s="22">
        <f>Constants!$H78*'Activity data'!BI20*Constants!$H96*FracLEACHMM*MMLeachEF*NtoN2O*kgtoGg</f>
        <v>0.13214154239239112</v>
      </c>
      <c r="BJ187" s="22">
        <f>Constants!$H78*'Activity data'!BJ20*Constants!$H96*FracLEACHMM*MMLeachEF*NtoN2O*kgtoGg</f>
        <v>0.13624857972153667</v>
      </c>
      <c r="BK187" s="22">
        <f>Constants!$H78*'Activity data'!BK20*Constants!$H96*FracLEACHMM*MMLeachEF*NtoN2O*kgtoGg</f>
        <v>0.14052656296513075</v>
      </c>
      <c r="BL187" s="22">
        <f>Constants!$H78*'Activity data'!BL20*Constants!$H96*FracLEACHMM*MMLeachEF*NtoN2O*kgtoGg</f>
        <v>0.14556766568145355</v>
      </c>
      <c r="BM187" s="22">
        <f>Constants!$H78*'Activity data'!BM20*Constants!$H96*FracLEACHMM*MMLeachEF*NtoN2O*kgtoGg</f>
        <v>0.14881423347183564</v>
      </c>
      <c r="BN187" s="22">
        <f>Constants!$H78*'Activity data'!BN20*Constants!$H96*FracLEACHMM*MMLeachEF*NtoN2O*kgtoGg</f>
        <v>0.15194631854950416</v>
      </c>
      <c r="BO187" s="22">
        <f>Constants!$H78*'Activity data'!BO20*Constants!$H96*FracLEACHMM*MMLeachEF*NtoN2O*kgtoGg</f>
        <v>0.15515723544633972</v>
      </c>
      <c r="BP187" s="22">
        <f>Constants!$H78*'Activity data'!BP20*Constants!$H96*FracLEACHMM*MMLeachEF*NtoN2O*kgtoGg</f>
        <v>0.15836593511039121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baseColWidth="10" defaultColWidth="8.83203125" defaultRowHeight="15" x14ac:dyDescent="0.2"/>
  <cols>
    <col min="1" max="1" width="34.5" customWidth="1"/>
    <col min="2" max="2" width="33.33203125" customWidth="1"/>
    <col min="3" max="3" width="27.5" customWidth="1"/>
    <col min="4" max="4" width="7.5" customWidth="1"/>
    <col min="5" max="5" width="26.1640625" customWidth="1"/>
    <col min="6" max="33" width="9.6640625" customWidth="1"/>
    <col min="34" max="34" width="9.5" customWidth="1"/>
    <col min="49" max="50" width="9.5" customWidth="1"/>
    <col min="51" max="51" width="9.6640625" customWidth="1"/>
  </cols>
  <sheetData>
    <row r="1" spans="1:72" ht="19" x14ac:dyDescent="0.25">
      <c r="A1" s="1" t="s">
        <v>312</v>
      </c>
    </row>
    <row r="3" spans="1:72" s="19" customFormat="1" ht="16" x14ac:dyDescent="0.2">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6" x14ac:dyDescent="0.2">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1171.26511604862</v>
      </c>
      <c r="AC4" s="40">
        <f t="shared" si="0"/>
        <v>1166.5593957177311</v>
      </c>
      <c r="AD4" s="40">
        <f t="shared" si="0"/>
        <v>1166.8343107149296</v>
      </c>
      <c r="AE4" s="40">
        <f t="shared" si="0"/>
        <v>1158.6000321770462</v>
      </c>
      <c r="AF4" s="40">
        <f t="shared" si="0"/>
        <v>1145.2621528294476</v>
      </c>
      <c r="AG4" s="40">
        <f t="shared" si="0"/>
        <v>1127.1134954870122</v>
      </c>
      <c r="AH4" s="40">
        <f t="shared" si="0"/>
        <v>1113.6808905305425</v>
      </c>
      <c r="AI4" s="40">
        <f t="shared" si="0"/>
        <v>1101.2673361670934</v>
      </c>
      <c r="AJ4" s="40">
        <f t="shared" si="0"/>
        <v>1014.9116518156596</v>
      </c>
      <c r="AK4" s="40">
        <f t="shared" si="0"/>
        <v>1030.6488057580918</v>
      </c>
      <c r="AL4" s="40">
        <f t="shared" ref="AL4:BN4" si="1">SUM(AL5:AL10)</f>
        <v>1040.1408636375784</v>
      </c>
      <c r="AM4" s="40">
        <f t="shared" si="1"/>
        <v>1048.0568686062402</v>
      </c>
      <c r="AN4" s="40">
        <f t="shared" si="1"/>
        <v>1058.6226051176454</v>
      </c>
      <c r="AO4" s="40">
        <f t="shared" si="1"/>
        <v>1067.754769881511</v>
      </c>
      <c r="AP4" s="40">
        <f t="shared" si="1"/>
        <v>1074.2809395186589</v>
      </c>
      <c r="AQ4" s="40">
        <f t="shared" si="1"/>
        <v>1079.9423716520791</v>
      </c>
      <c r="AR4" s="40">
        <f t="shared" si="1"/>
        <v>1084.4078234106287</v>
      </c>
      <c r="AS4" s="40">
        <f t="shared" si="1"/>
        <v>1093.0743490879129</v>
      </c>
      <c r="AT4" s="40">
        <f t="shared" si="1"/>
        <v>1101.2180427567309</v>
      </c>
      <c r="AU4" s="40">
        <f t="shared" si="1"/>
        <v>1104.9886549783716</v>
      </c>
      <c r="AV4" s="40">
        <f t="shared" si="1"/>
        <v>1112.4028832584409</v>
      </c>
      <c r="AW4" s="40">
        <f t="shared" si="1"/>
        <v>1121.224054941471</v>
      </c>
      <c r="AX4" s="40">
        <f t="shared" si="1"/>
        <v>1133.6726024172171</v>
      </c>
      <c r="AY4" s="40">
        <f t="shared" si="1"/>
        <v>1139.1985452958761</v>
      </c>
      <c r="AZ4" s="40">
        <f t="shared" si="1"/>
        <v>1143.1413824129852</v>
      </c>
      <c r="BA4" s="40">
        <f t="shared" si="1"/>
        <v>1148.6620126921896</v>
      </c>
      <c r="BB4" s="40">
        <f t="shared" si="1"/>
        <v>1152.8740548999606</v>
      </c>
      <c r="BC4" s="40">
        <f t="shared" si="1"/>
        <v>1157.6880485056308</v>
      </c>
      <c r="BD4" s="40">
        <f t="shared" si="1"/>
        <v>1162.1106917699756</v>
      </c>
      <c r="BE4" s="40">
        <f t="shared" si="1"/>
        <v>1172.1623330180792</v>
      </c>
      <c r="BF4" s="40">
        <f t="shared" si="1"/>
        <v>1180.7477573719959</v>
      </c>
      <c r="BG4" s="40">
        <f t="shared" si="1"/>
        <v>1189.256479712936</v>
      </c>
      <c r="BH4" s="40">
        <f t="shared" si="1"/>
        <v>1198.0211333805717</v>
      </c>
      <c r="BI4" s="40">
        <f t="shared" si="1"/>
        <v>1207.1455247835918</v>
      </c>
      <c r="BJ4" s="40">
        <f t="shared" si="1"/>
        <v>1218.834484784918</v>
      </c>
      <c r="BK4" s="40">
        <f t="shared" si="1"/>
        <v>1221.5366943319334</v>
      </c>
      <c r="BL4" s="40">
        <f t="shared" si="1"/>
        <v>1223.3777076223337</v>
      </c>
      <c r="BM4" s="40">
        <f t="shared" si="1"/>
        <v>1225.2616023107389</v>
      </c>
      <c r="BN4" s="40">
        <f t="shared" si="1"/>
        <v>1226.8102421465987</v>
      </c>
    </row>
    <row r="5" spans="1:72" x14ac:dyDescent="0.2">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977.48324710494353</v>
      </c>
      <c r="AC5" s="27">
        <f>SUM(Emissions!AE4:AE9)</f>
        <v>972.58505850583788</v>
      </c>
      <c r="AD5" s="27">
        <f>SUM(Emissions!AF4:AF9)</f>
        <v>972.49373775284266</v>
      </c>
      <c r="AE5" s="27">
        <f>SUM(Emissions!AG4:AG9)</f>
        <v>963.82588908536786</v>
      </c>
      <c r="AF5" s="27">
        <f>SUM(Emissions!AH4:AH9)</f>
        <v>949.97028936128663</v>
      </c>
      <c r="AG5" s="27">
        <f>SUM(Emissions!AI4:AI9)</f>
        <v>931.223870238676</v>
      </c>
      <c r="AH5" s="27">
        <f>SUM(Emissions!AJ4:AJ9)</f>
        <v>917.09432606703422</v>
      </c>
      <c r="AI5" s="27">
        <f>SUM(Emissions!AK4:AK9)</f>
        <v>903.9107469187411</v>
      </c>
      <c r="AJ5" s="27">
        <f>SUM(Emissions!AL4:AL9)</f>
        <v>817.30546488371999</v>
      </c>
      <c r="AK5" s="27">
        <f>SUM(Emissions!AM4:AM9)</f>
        <v>832.60082739356187</v>
      </c>
      <c r="AL5" s="27">
        <f>SUM(Emissions!AN4:AN9)</f>
        <v>841.65210255878742</v>
      </c>
      <c r="AM5" s="27">
        <f>SUM(Emissions!AO4:AO9)</f>
        <v>849.09465190871992</v>
      </c>
      <c r="AN5" s="27">
        <f>SUM(Emissions!AP4:AP9)</f>
        <v>859.12309551502119</v>
      </c>
      <c r="AO5" s="27">
        <f>SUM(Emissions!AQ4:AQ9)</f>
        <v>867.68897543229468</v>
      </c>
      <c r="AP5" s="27">
        <f>SUM(Emissions!AR4:AR9)</f>
        <v>873.85441203517621</v>
      </c>
      <c r="AQ5" s="27">
        <f>SUM(Emissions!AS4:AS9)</f>
        <v>879.12774775513856</v>
      </c>
      <c r="AR5" s="27">
        <f>SUM(Emissions!AT4:AT9)</f>
        <v>883.18224779100001</v>
      </c>
      <c r="AS5" s="27">
        <f>SUM(Emissions!AU4:AU9)</f>
        <v>891.37230193695768</v>
      </c>
      <c r="AT5" s="27">
        <f>SUM(Emissions!AV4:AV9)</f>
        <v>899.01385920671805</v>
      </c>
      <c r="AU5" s="27">
        <f>SUM(Emissions!AW4:AW9)</f>
        <v>902.4221655544427</v>
      </c>
      <c r="AV5" s="27">
        <f>SUM(Emissions!AX4:AX9)</f>
        <v>909.4153153856663</v>
      </c>
      <c r="AW5" s="27">
        <f>SUM(Emissions!AY4:AY9)</f>
        <v>917.77563024615381</v>
      </c>
      <c r="AX5" s="27">
        <f>SUM(Emissions!AZ4:AZ9)</f>
        <v>929.70468420905524</v>
      </c>
      <c r="AY5" s="27">
        <f>SUM(Emissions!BA4:BA9)</f>
        <v>934.74479162252692</v>
      </c>
      <c r="AZ5" s="27">
        <f>SUM(Emissions!BB4:BB9)</f>
        <v>938.35901138122244</v>
      </c>
      <c r="BA5" s="27">
        <f>SUM(Emissions!BC4:BC9)</f>
        <v>943.51378124931114</v>
      </c>
      <c r="BB5" s="27">
        <f>SUM(Emissions!BD4:BD9)</f>
        <v>947.34918312747357</v>
      </c>
      <c r="BC5" s="27">
        <f>SUM(Emissions!BE4:BE9)</f>
        <v>951.75905840851806</v>
      </c>
      <c r="BD5" s="27">
        <f>SUM(Emissions!BF4:BF9)</f>
        <v>955.75971437338649</v>
      </c>
      <c r="BE5" s="27">
        <f>SUM(Emissions!BG4:BG9)</f>
        <v>965.50336475117524</v>
      </c>
      <c r="BF5" s="27">
        <f>SUM(Emissions!BH4:BH9)</f>
        <v>973.77575110267674</v>
      </c>
      <c r="BG5" s="27">
        <f>SUM(Emissions!BI4:BI9)</f>
        <v>981.95377807565399</v>
      </c>
      <c r="BH5" s="27">
        <f>SUM(Emissions!BJ4:BJ9)</f>
        <v>990.36724278972906</v>
      </c>
      <c r="BI5" s="27">
        <f>SUM(Emissions!BK4:BK9)</f>
        <v>999.11920744801</v>
      </c>
      <c r="BJ5" s="27">
        <f>SUM(Emissions!BL4:BL9)</f>
        <v>1010.5486997056712</v>
      </c>
      <c r="BK5" s="27">
        <f>SUM(Emissions!BM4:BM9)</f>
        <v>1013.0655681733556</v>
      </c>
      <c r="BL5" s="27">
        <f>SUM(Emissions!BN4:BN9)</f>
        <v>1014.7151786343571</v>
      </c>
      <c r="BM5" s="27">
        <f>SUM(Emissions!BO4:BO9)</f>
        <v>1016.3928012631592</v>
      </c>
      <c r="BN5" s="27">
        <f>SUM(Emissions!BP4:BP9)</f>
        <v>1017.7245542152198</v>
      </c>
    </row>
    <row r="6" spans="1:72" x14ac:dyDescent="0.2">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149.92172952968824</v>
      </c>
      <c r="AK6" s="27">
        <f>SUM(Emissions!AM10:AM11)</f>
        <v>150.15004815419732</v>
      </c>
      <c r="AL6" s="27">
        <f>SUM(Emissions!AN10:AN11)</f>
        <v>150.40810284059555</v>
      </c>
      <c r="AM6" s="27">
        <f>SUM(Emissions!AO10:AO11)</f>
        <v>150.69921134167356</v>
      </c>
      <c r="AN6" s="27">
        <f>SUM(Emissions!AP10:AP11)</f>
        <v>151.02668700681988</v>
      </c>
      <c r="AO6" s="27">
        <f>SUM(Emissions!AQ10:AQ11)</f>
        <v>151.38370127462781</v>
      </c>
      <c r="AP6" s="27">
        <f>SUM(Emissions!AR10:AR11)</f>
        <v>151.60083442496293</v>
      </c>
      <c r="AQ6" s="27">
        <f>SUM(Emissions!AS10:AS11)</f>
        <v>151.84335966678529</v>
      </c>
      <c r="AR6" s="27">
        <f>SUM(Emissions!AT10:AT11)</f>
        <v>152.1094979302749</v>
      </c>
      <c r="AS6" s="27">
        <f>SUM(Emissions!AU10:AU11)</f>
        <v>152.40527477324557</v>
      </c>
      <c r="AT6" s="27">
        <f>SUM(Emissions!AV10:AV11)</f>
        <v>152.72342294653606</v>
      </c>
      <c r="AU6" s="27">
        <f>SUM(Emissions!AW10:AW11)</f>
        <v>152.9313107909779</v>
      </c>
      <c r="AV6" s="27">
        <f>SUM(Emissions!AX10:AX11)</f>
        <v>153.16466582546744</v>
      </c>
      <c r="AW6" s="27">
        <f>SUM(Emissions!AY10:AY11)</f>
        <v>153.41976016105704</v>
      </c>
      <c r="AX6" s="27">
        <f>SUM(Emissions!AZ10:AZ11)</f>
        <v>153.69924300883193</v>
      </c>
      <c r="AY6" s="27">
        <f>SUM(Emissions!BA10:BA11)</f>
        <v>153.98699779420167</v>
      </c>
      <c r="AZ6" s="27">
        <f>SUM(Emissions!BB10:BB11)</f>
        <v>154.16335555485873</v>
      </c>
      <c r="BA6" s="27">
        <f>SUM(Emissions!BC10:BC11)</f>
        <v>154.35817781472258</v>
      </c>
      <c r="BB6" s="27">
        <f>SUM(Emissions!BD10:BD11)</f>
        <v>154.5664983902837</v>
      </c>
      <c r="BC6" s="27">
        <f>SUM(Emissions!BE10:BE11)</f>
        <v>154.79079571117356</v>
      </c>
      <c r="BD6" s="27">
        <f>SUM(Emissions!BF10:BF11)</f>
        <v>155.02904291464466</v>
      </c>
      <c r="BE6" s="27">
        <f>SUM(Emissions!BG10:BG11)</f>
        <v>155.16720686126763</v>
      </c>
      <c r="BF6" s="27">
        <f>SUM(Emissions!BH10:BH11)</f>
        <v>155.31582004967737</v>
      </c>
      <c r="BG6" s="27">
        <f>SUM(Emissions!BI10:BI11)</f>
        <v>155.47678177003189</v>
      </c>
      <c r="BH6" s="27">
        <f>SUM(Emissions!BJ10:BJ11)</f>
        <v>155.65031422770511</v>
      </c>
      <c r="BI6" s="27">
        <f>SUM(Emissions!BK10:BK11)</f>
        <v>155.83629611441438</v>
      </c>
      <c r="BJ6" s="27">
        <f>SUM(Emissions!BL10:BL11)</f>
        <v>155.91945794298502</v>
      </c>
      <c r="BK6" s="27">
        <f>SUM(Emissions!BM10:BM11)</f>
        <v>155.99686175733032</v>
      </c>
      <c r="BL6" s="27">
        <f>SUM(Emissions!BN10:BN11)</f>
        <v>156.08267175257683</v>
      </c>
      <c r="BM6" s="27">
        <f>SUM(Emissions!BO10:BO11)</f>
        <v>156.178263379528</v>
      </c>
      <c r="BN6" s="27">
        <f>SUM(Emissions!BP10:BP11)</f>
        <v>156.28265258940621</v>
      </c>
    </row>
    <row r="7" spans="1:72" x14ac:dyDescent="0.2">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37.504515885641091</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39.038623867058433</v>
      </c>
      <c r="AK7" s="27">
        <f>SUM(Emissions!AM12:AM13)</f>
        <v>39.152062367619124</v>
      </c>
      <c r="AL7" s="27">
        <f>SUM(Emissions!AN12:AN13)</f>
        <v>39.273989634047268</v>
      </c>
      <c r="AM7" s="27">
        <f>SUM(Emissions!AO12:AO13)</f>
        <v>39.405896728784569</v>
      </c>
      <c r="AN7" s="27">
        <f>SUM(Emissions!AP12:AP13)</f>
        <v>39.549231955561474</v>
      </c>
      <c r="AO7" s="27">
        <f>SUM(Emissions!AQ12:AQ13)</f>
        <v>39.70144489325466</v>
      </c>
      <c r="AP7" s="27">
        <f>SUM(Emissions!AR12:AR13)</f>
        <v>39.796602003796117</v>
      </c>
      <c r="AQ7" s="27">
        <f>SUM(Emissions!AS12:AS13)</f>
        <v>39.899536798867977</v>
      </c>
      <c r="AR7" s="27">
        <f>SUM(Emissions!AT12:AT13)</f>
        <v>40.009643874129289</v>
      </c>
      <c r="AS7" s="27">
        <f>SUM(Emissions!AU12:AU13)</f>
        <v>40.129334051374656</v>
      </c>
      <c r="AT7" s="27">
        <f>SUM(Emissions!AV12:AV13)</f>
        <v>40.25585014538251</v>
      </c>
      <c r="AU7" s="27">
        <f>SUM(Emissions!AW12:AW13)</f>
        <v>40.338099166970551</v>
      </c>
      <c r="AV7" s="27">
        <f>SUM(Emissions!AX12:AX13)</f>
        <v>40.428685649221848</v>
      </c>
      <c r="AW7" s="27">
        <f>SUM(Emissions!AY12:AY13)</f>
        <v>40.526208788250699</v>
      </c>
      <c r="AX7" s="27">
        <f>SUM(Emissions!AZ12:AZ13)</f>
        <v>40.631718086776871</v>
      </c>
      <c r="AY7" s="27">
        <f>SUM(Emissions!BA12:BA13)</f>
        <v>40.739069562853516</v>
      </c>
      <c r="AZ7" s="27">
        <f>SUM(Emissions!BB12:BB13)</f>
        <v>40.802614993011147</v>
      </c>
      <c r="BA7" s="27">
        <f>SUM(Emissions!BC12:BC13)</f>
        <v>40.872160548351445</v>
      </c>
      <c r="BB7" s="27">
        <f>SUM(Emissions!BD12:BD13)</f>
        <v>40.945834441753036</v>
      </c>
      <c r="BC7" s="27">
        <f>SUM(Emissions!BE12:BE13)</f>
        <v>41.024602848588927</v>
      </c>
      <c r="BD7" s="27">
        <f>SUM(Emissions!BF12:BF13)</f>
        <v>41.107714051013104</v>
      </c>
      <c r="BE7" s="27">
        <f>SUM(Emissions!BG12:BG13)</f>
        <v>41.15203121995124</v>
      </c>
      <c r="BF7" s="27">
        <f>SUM(Emissions!BH12:BH13)</f>
        <v>41.199552722470379</v>
      </c>
      <c r="BG7" s="27">
        <f>SUM(Emissions!BI12:BI13)</f>
        <v>41.251011654268396</v>
      </c>
      <c r="BH7" s="27">
        <f>SUM(Emissions!BJ12:BJ13)</f>
        <v>41.306502794729568</v>
      </c>
      <c r="BI7" s="27">
        <f>SUM(Emissions!BK12:BK13)</f>
        <v>41.365989508724731</v>
      </c>
      <c r="BJ7" s="27">
        <f>SUM(Emissions!BL12:BL13)</f>
        <v>41.38622548570406</v>
      </c>
      <c r="BK7" s="27">
        <f>SUM(Emissions!BM12:BM13)</f>
        <v>41.403791225210583</v>
      </c>
      <c r="BL7" s="27">
        <f>SUM(Emissions!BN12:BN13)</f>
        <v>41.424019623877825</v>
      </c>
      <c r="BM7" s="27">
        <f>SUM(Emissions!BO12:BO13)</f>
        <v>41.447432200599877</v>
      </c>
      <c r="BN7" s="27">
        <f>SUM(Emissions!BP12:BP13)</f>
        <v>41.473666429536465</v>
      </c>
    </row>
    <row r="8" spans="1:72" x14ac:dyDescent="0.2">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5.5526214800767892</v>
      </c>
      <c r="AC8" s="27">
        <f>Emissions!AE14</f>
        <v>5.579523571019652</v>
      </c>
      <c r="AD8" s="27">
        <f>Emissions!AF14</f>
        <v>5.6203482259438022</v>
      </c>
      <c r="AE8" s="27">
        <f>Emissions!AG14</f>
        <v>5.629075655008374</v>
      </c>
      <c r="AF8" s="27">
        <f>Emissions!AH14</f>
        <v>5.6165815405282284</v>
      </c>
      <c r="AG8" s="27">
        <f>Emissions!AI14</f>
        <v>5.5833231296706103</v>
      </c>
      <c r="AH8" s="27">
        <f>Emissions!AJ14</f>
        <v>5.5648827699457346</v>
      </c>
      <c r="AI8" s="27">
        <f>Emissions!AK14</f>
        <v>5.5483103177944013</v>
      </c>
      <c r="AJ8" s="27">
        <f>Emissions!AL14</f>
        <v>5.2545848231765602</v>
      </c>
      <c r="AK8" s="27">
        <f>Emissions!AM14</f>
        <v>5.3277448648735932</v>
      </c>
      <c r="AL8" s="27">
        <f>Emissions!AN14</f>
        <v>5.3771318788227438</v>
      </c>
      <c r="AM8" s="27">
        <f>Emissions!AO14</f>
        <v>5.4200550937003218</v>
      </c>
      <c r="AN8" s="27">
        <f>Emissions!AP14</f>
        <v>5.4726184084270573</v>
      </c>
      <c r="AO8" s="27">
        <f>Emissions!AQ14</f>
        <v>5.5193093093258572</v>
      </c>
      <c r="AP8" s="27">
        <f>Emissions!AR14</f>
        <v>5.5623143429133499</v>
      </c>
      <c r="AQ8" s="27">
        <f>Emissions!AS14</f>
        <v>5.6016190467987945</v>
      </c>
      <c r="AR8" s="27">
        <f>Emissions!AT14</f>
        <v>5.6358734850599594</v>
      </c>
      <c r="AS8" s="27">
        <f>Emissions!AU14</f>
        <v>5.6864221774832213</v>
      </c>
      <c r="AT8" s="27">
        <f>Emissions!AV14</f>
        <v>5.734761216152096</v>
      </c>
      <c r="AU8" s="27">
        <f>Emissions!AW14</f>
        <v>5.7937893665421401</v>
      </c>
      <c r="AV8" s="27">
        <f>Emissions!AX14</f>
        <v>5.868728906856421</v>
      </c>
      <c r="AW8" s="27">
        <f>Emissions!AY14</f>
        <v>5.95097387412393</v>
      </c>
      <c r="AX8" s="27">
        <f>Emissions!AZ14</f>
        <v>6.0502809540907023</v>
      </c>
      <c r="AY8" s="27">
        <f>Emissions!BA14</f>
        <v>6.1220107529838179</v>
      </c>
      <c r="AZ8" s="27">
        <f>Emissions!BB14</f>
        <v>6.1941308642978408</v>
      </c>
      <c r="BA8" s="27">
        <f>Emissions!BC14</f>
        <v>6.2747694866131836</v>
      </c>
      <c r="BB8" s="27">
        <f>Emissions!BD14</f>
        <v>6.3513096084096698</v>
      </c>
      <c r="BC8" s="27">
        <f>Emissions!BE14</f>
        <v>6.4323283925814563</v>
      </c>
      <c r="BD8" s="27">
        <f>Emissions!BF14</f>
        <v>6.5134158744418782</v>
      </c>
      <c r="BE8" s="27">
        <f>Emissions!BG14</f>
        <v>6.6126163316975539</v>
      </c>
      <c r="BF8" s="27">
        <f>Emissions!BH14</f>
        <v>6.7066735285892829</v>
      </c>
      <c r="BG8" s="27">
        <f>Emissions!BI14</f>
        <v>6.8021224333407027</v>
      </c>
      <c r="BH8" s="27">
        <f>Emissions!BJ14</f>
        <v>6.9006513009384864</v>
      </c>
      <c r="BI8" s="27">
        <f>Emissions!BK14</f>
        <v>7.0028965831984893</v>
      </c>
      <c r="BJ8" s="27">
        <f>Emissions!BL14</f>
        <v>7.1267607896665828</v>
      </c>
      <c r="BK8" s="27">
        <f>Emissions!BM14</f>
        <v>7.2071584727038323</v>
      </c>
      <c r="BL8" s="27">
        <f>Emissions!BN14</f>
        <v>7.2845566532149562</v>
      </c>
      <c r="BM8" s="27">
        <f>Emissions!BO14</f>
        <v>7.3636089922437549</v>
      </c>
      <c r="BN8" s="27">
        <f>Emissions!BP14</f>
        <v>7.4423534956754249</v>
      </c>
    </row>
    <row r="9" spans="1:72" x14ac:dyDescent="0.2">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2">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2.0950671945504564</v>
      </c>
      <c r="AC10" s="27">
        <f>SUM(Emissions!AE16:AE17)</f>
        <v>2.0836791108466945</v>
      </c>
      <c r="AD10" s="27">
        <f>SUM(Emissions!AF16:AF17)</f>
        <v>2.0846138094278093</v>
      </c>
      <c r="AE10" s="27">
        <f>SUM(Emissions!AG16:AG17)</f>
        <v>2.0654754572205234</v>
      </c>
      <c r="AF10" s="27">
        <f>SUM(Emissions!AH16:AH17)</f>
        <v>2.0342181138558573</v>
      </c>
      <c r="AG10" s="27">
        <f>SUM(Emissions!AI16:AI17)</f>
        <v>1.9913414611083868</v>
      </c>
      <c r="AH10" s="27">
        <f>SUM(Emissions!AJ16:AJ17)</f>
        <v>1.9602082563146466</v>
      </c>
      <c r="AI10" s="27">
        <f>SUM(Emissions!AK16:AK17)</f>
        <v>1.9318299226197024</v>
      </c>
      <c r="AJ10" s="27">
        <f>SUM(Emissions!AL16:AL17)</f>
        <v>1.7212487120165396</v>
      </c>
      <c r="AK10" s="27">
        <f>SUM(Emissions!AM16:AM17)</f>
        <v>1.7481229778398051</v>
      </c>
      <c r="AL10" s="27">
        <f>SUM(Emissions!AN16:AN17)</f>
        <v>1.7595367253255199</v>
      </c>
      <c r="AM10" s="27">
        <f>SUM(Emissions!AO16:AO17)</f>
        <v>1.7670535333618813</v>
      </c>
      <c r="AN10" s="27">
        <f>SUM(Emissions!AP16:AP17)</f>
        <v>1.7809722318158447</v>
      </c>
      <c r="AO10" s="27">
        <f>SUM(Emissions!AQ16:AQ17)</f>
        <v>1.7913389720080244</v>
      </c>
      <c r="AP10" s="27">
        <f>SUM(Emissions!AR16:AR17)</f>
        <v>1.7967767118103366</v>
      </c>
      <c r="AQ10" s="27">
        <f>SUM(Emissions!AS16:AS17)</f>
        <v>1.8001083844886612</v>
      </c>
      <c r="AR10" s="27">
        <f>SUM(Emissions!AT16:AT17)</f>
        <v>1.8005603301644186</v>
      </c>
      <c r="AS10" s="27">
        <f>SUM(Emissions!AU16:AU17)</f>
        <v>1.81101614885179</v>
      </c>
      <c r="AT10" s="27">
        <f>SUM(Emissions!AV16:AV17)</f>
        <v>1.8201492419423297</v>
      </c>
      <c r="AU10" s="27">
        <f>SUM(Emissions!AW16:AW17)</f>
        <v>1.8332900994382921</v>
      </c>
      <c r="AV10" s="27">
        <f>SUM(Emissions!AX16:AX17)</f>
        <v>1.8554874912284833</v>
      </c>
      <c r="AW10" s="27">
        <f>SUM(Emissions!AY16:AY17)</f>
        <v>1.8814818718853641</v>
      </c>
      <c r="AX10" s="27">
        <f>SUM(Emissions!AZ16:AZ17)</f>
        <v>1.916676158462149</v>
      </c>
      <c r="AY10" s="27">
        <f>SUM(Emissions!BA16:BA17)</f>
        <v>1.9356755633100207</v>
      </c>
      <c r="AZ10" s="27">
        <f>SUM(Emissions!BB16:BB17)</f>
        <v>1.9522696195949658</v>
      </c>
      <c r="BA10" s="27">
        <f>SUM(Emissions!BC16:BC17)</f>
        <v>1.9731235931909841</v>
      </c>
      <c r="BB10" s="27">
        <f>SUM(Emissions!BD16:BD17)</f>
        <v>1.9912293320406536</v>
      </c>
      <c r="BC10" s="27">
        <f>SUM(Emissions!BE16:BE17)</f>
        <v>2.0112631447687308</v>
      </c>
      <c r="BD10" s="27">
        <f>SUM(Emissions!BF16:BF17)</f>
        <v>2.0308045564893642</v>
      </c>
      <c r="BE10" s="27">
        <f>SUM(Emissions!BG16:BG17)</f>
        <v>2.0571138539875027</v>
      </c>
      <c r="BF10" s="27">
        <f>SUM(Emissions!BH16:BH17)</f>
        <v>2.0799599685820227</v>
      </c>
      <c r="BG10" s="27">
        <f>SUM(Emissions!BI16:BI17)</f>
        <v>2.1027857796409659</v>
      </c>
      <c r="BH10" s="27">
        <f>SUM(Emissions!BJ16:BJ17)</f>
        <v>2.1264222674693127</v>
      </c>
      <c r="BI10" s="27">
        <f>SUM(Emissions!BK16:BK17)</f>
        <v>2.1511351292441896</v>
      </c>
      <c r="BJ10" s="27">
        <f>SUM(Emissions!BL16:BL17)</f>
        <v>2.1833408608911005</v>
      </c>
      <c r="BK10" s="27">
        <f>SUM(Emissions!BM16:BM17)</f>
        <v>2.1933147033327387</v>
      </c>
      <c r="BL10" s="27">
        <f>SUM(Emissions!BN16:BN17)</f>
        <v>2.2012809583067385</v>
      </c>
      <c r="BM10" s="27">
        <f>SUM(Emissions!BO16:BO17)</f>
        <v>2.2094964752080335</v>
      </c>
      <c r="BN10" s="27">
        <f>SUM(Emissions!BP16:BP17)</f>
        <v>2.2170154167607499</v>
      </c>
    </row>
    <row r="11" spans="1:72" s="19" customFormat="1" ht="16" x14ac:dyDescent="0.2">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36.839564246604859</v>
      </c>
      <c r="AC11" s="40">
        <f t="shared" si="6"/>
        <v>36.824524251577792</v>
      </c>
      <c r="AD11" s="40">
        <f t="shared" si="6"/>
        <v>36.994298181429905</v>
      </c>
      <c r="AE11" s="40">
        <f t="shared" si="6"/>
        <v>36.867987271463186</v>
      </c>
      <c r="AF11" s="40">
        <f t="shared" si="6"/>
        <v>36.560879511524746</v>
      </c>
      <c r="AG11" s="40">
        <f t="shared" si="6"/>
        <v>36.078165266151387</v>
      </c>
      <c r="AH11" s="40">
        <f t="shared" si="6"/>
        <v>35.76940684907337</v>
      </c>
      <c r="AI11" s="40">
        <f t="shared" si="6"/>
        <v>35.500627316217205</v>
      </c>
      <c r="AJ11" s="40">
        <f t="shared" si="6"/>
        <v>32.450550425988574</v>
      </c>
      <c r="AK11" s="40">
        <f t="shared" si="6"/>
        <v>32.993682161331336</v>
      </c>
      <c r="AL11" s="40">
        <f t="shared" ref="AL11:BN11" si="7">SUM(AL12:AL18)</f>
        <v>33.30438669701612</v>
      </c>
      <c r="AM11" s="40">
        <f t="shared" si="7"/>
        <v>33.55833734095124</v>
      </c>
      <c r="AN11" s="40">
        <f t="shared" si="7"/>
        <v>33.914687159805403</v>
      </c>
      <c r="AO11" s="40">
        <f t="shared" si="7"/>
        <v>34.219564294139744</v>
      </c>
      <c r="AP11" s="40">
        <f t="shared" si="7"/>
        <v>34.443667098297567</v>
      </c>
      <c r="AQ11" s="40">
        <f t="shared" si="7"/>
        <v>34.637393135300648</v>
      </c>
      <c r="AR11" s="40">
        <f t="shared" si="7"/>
        <v>34.788122338073684</v>
      </c>
      <c r="AS11" s="40">
        <f t="shared" si="7"/>
        <v>35.099810000275681</v>
      </c>
      <c r="AT11" s="40">
        <f t="shared" si="7"/>
        <v>35.394035555674442</v>
      </c>
      <c r="AU11" s="40">
        <f t="shared" si="7"/>
        <v>35.750934634799535</v>
      </c>
      <c r="AV11" s="40">
        <f t="shared" si="7"/>
        <v>36.257727738065626</v>
      </c>
      <c r="AW11" s="40">
        <f t="shared" si="7"/>
        <v>36.831491482014322</v>
      </c>
      <c r="AX11" s="40">
        <f t="shared" si="7"/>
        <v>37.56094405556528</v>
      </c>
      <c r="AY11" s="40">
        <f t="shared" si="7"/>
        <v>38.033949610719972</v>
      </c>
      <c r="AZ11" s="40">
        <f t="shared" si="7"/>
        <v>38.467544108250777</v>
      </c>
      <c r="BA11" s="40">
        <f t="shared" si="7"/>
        <v>38.976474763600798</v>
      </c>
      <c r="BB11" s="40">
        <f t="shared" si="7"/>
        <v>39.445880908460438</v>
      </c>
      <c r="BC11" s="40">
        <f t="shared" si="7"/>
        <v>39.95301584902893</v>
      </c>
      <c r="BD11" s="40">
        <f t="shared" si="7"/>
        <v>40.458035914170949</v>
      </c>
      <c r="BE11" s="40">
        <f t="shared" si="7"/>
        <v>41.077247009956054</v>
      </c>
      <c r="BF11" s="40">
        <f t="shared" si="7"/>
        <v>41.645387899063536</v>
      </c>
      <c r="BG11" s="40">
        <f t="shared" si="7"/>
        <v>42.220167872914807</v>
      </c>
      <c r="BH11" s="40">
        <f t="shared" si="7"/>
        <v>42.815932000160188</v>
      </c>
      <c r="BI11" s="40">
        <f t="shared" si="7"/>
        <v>43.437637189895135</v>
      </c>
      <c r="BJ11" s="40">
        <f t="shared" si="7"/>
        <v>44.191116203292857</v>
      </c>
      <c r="BK11" s="40">
        <f t="shared" si="7"/>
        <v>44.569028400523834</v>
      </c>
      <c r="BL11" s="40">
        <f t="shared" si="7"/>
        <v>44.917580434221556</v>
      </c>
      <c r="BM11" s="40">
        <f t="shared" si="7"/>
        <v>45.275874215892209</v>
      </c>
      <c r="BN11" s="40">
        <f t="shared" si="7"/>
        <v>45.627497690503255</v>
      </c>
    </row>
    <row r="12" spans="1:72" x14ac:dyDescent="0.2">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10.513994827787098</v>
      </c>
      <c r="AC12" s="27">
        <f>SUM(Emissions!AE18:AE23)</f>
        <v>10.583676395984559</v>
      </c>
      <c r="AD12" s="27">
        <f>SUM(Emissions!AF18:AF23)</f>
        <v>10.680340304941298</v>
      </c>
      <c r="AE12" s="27">
        <f>SUM(Emissions!AG18:AG23)</f>
        <v>10.74258011113773</v>
      </c>
      <c r="AF12" s="27">
        <f>SUM(Emissions!AH18:AH23)</f>
        <v>10.783729898618766</v>
      </c>
      <c r="AG12" s="27">
        <f>SUM(Emissions!AI18:AI23)</f>
        <v>10.803370567699297</v>
      </c>
      <c r="AH12" s="27">
        <f>SUM(Emissions!AJ18:AJ23)</f>
        <v>10.846236588865763</v>
      </c>
      <c r="AI12" s="27">
        <f>SUM(Emissions!AK18:AK23)</f>
        <v>10.895047418651057</v>
      </c>
      <c r="AJ12" s="27">
        <f>SUM(Emissions!AL18:AL23)</f>
        <v>10.556761569189032</v>
      </c>
      <c r="AK12" s="27">
        <f>SUM(Emissions!AM18:AM23)</f>
        <v>10.69569518718111</v>
      </c>
      <c r="AL12" s="27">
        <f>SUM(Emissions!AN18:AN23)</f>
        <v>10.804610752293122</v>
      </c>
      <c r="AM12" s="27">
        <f>SUM(Emissions!AO18:AO23)</f>
        <v>10.90761731833962</v>
      </c>
      <c r="AN12" s="27">
        <f>SUM(Emissions!AP18:AP23)</f>
        <v>11.027724918245269</v>
      </c>
      <c r="AO12" s="27">
        <f>SUM(Emissions!AQ18:AQ23)</f>
        <v>11.142580501808984</v>
      </c>
      <c r="AP12" s="27">
        <f>SUM(Emissions!AR18:AR23)</f>
        <v>11.240205348437675</v>
      </c>
      <c r="AQ12" s="27">
        <f>SUM(Emissions!AS18:AS23)</f>
        <v>11.334994020821984</v>
      </c>
      <c r="AR12" s="27">
        <f>SUM(Emissions!AT18:AT23)</f>
        <v>11.424804028017016</v>
      </c>
      <c r="AS12" s="27">
        <f>SUM(Emissions!AU18:AU23)</f>
        <v>11.541226036509133</v>
      </c>
      <c r="AT12" s="27">
        <f>SUM(Emissions!AV18:AV23)</f>
        <v>11.656944786482004</v>
      </c>
      <c r="AU12" s="27">
        <f>SUM(Emissions!AW18:AW23)</f>
        <v>11.779457455827044</v>
      </c>
      <c r="AV12" s="27">
        <f>SUM(Emissions!AX18:AX23)</f>
        <v>11.928442817384969</v>
      </c>
      <c r="AW12" s="27">
        <f>SUM(Emissions!AY18:AY23)</f>
        <v>12.091170972809833</v>
      </c>
      <c r="AX12" s="27">
        <f>SUM(Emissions!AZ18:AZ23)</f>
        <v>12.282714871899005</v>
      </c>
      <c r="AY12" s="27">
        <f>SUM(Emissions!BA18:BA23)</f>
        <v>12.43493012564254</v>
      </c>
      <c r="AZ12" s="27">
        <f>SUM(Emissions!BB18:BB23)</f>
        <v>12.57769942456882</v>
      </c>
      <c r="BA12" s="27">
        <f>SUM(Emissions!BC18:BC23)</f>
        <v>12.735866534013269</v>
      </c>
      <c r="BB12" s="27">
        <f>SUM(Emissions!BD18:BD23)</f>
        <v>12.889970789846918</v>
      </c>
      <c r="BC12" s="27">
        <f>SUM(Emissions!BE18:BE23)</f>
        <v>13.053330305684355</v>
      </c>
      <c r="BD12" s="27">
        <f>SUM(Emissions!BF18:BF23)</f>
        <v>13.219118392731939</v>
      </c>
      <c r="BE12" s="27">
        <f>SUM(Emissions!BG18:BG23)</f>
        <v>13.40271505512036</v>
      </c>
      <c r="BF12" s="27">
        <f>SUM(Emissions!BH18:BH23)</f>
        <v>13.580291705879722</v>
      </c>
      <c r="BG12" s="27">
        <f>SUM(Emissions!BI18:BI23)</f>
        <v>13.762132861595974</v>
      </c>
      <c r="BH12" s="27">
        <f>SUM(Emissions!BJ18:BJ23)</f>
        <v>13.950954765436762</v>
      </c>
      <c r="BI12" s="27">
        <f>SUM(Emissions!BK18:BK23)</f>
        <v>14.147834599163055</v>
      </c>
      <c r="BJ12" s="27">
        <f>SUM(Emissions!BL18:BL23)</f>
        <v>14.367959615772278</v>
      </c>
      <c r="BK12" s="27">
        <f>SUM(Emissions!BM18:BM23)</f>
        <v>14.520205790702292</v>
      </c>
      <c r="BL12" s="27">
        <f>SUM(Emissions!BN18:BN23)</f>
        <v>14.669181040834976</v>
      </c>
      <c r="BM12" s="27">
        <f>SUM(Emissions!BO18:BO23)</f>
        <v>14.822359608631222</v>
      </c>
      <c r="BN12" s="27">
        <f>SUM(Emissions!BP18:BP23)</f>
        <v>14.976586573566532</v>
      </c>
    </row>
    <row r="13" spans="1:72" x14ac:dyDescent="0.2">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4.0981989112364794E-2</v>
      </c>
      <c r="AK13" s="27">
        <f>SUM(Emissions!AM24:AM25)</f>
        <v>4.1044401355160659E-2</v>
      </c>
      <c r="AL13" s="27">
        <f>SUM(Emissions!AN24:AN25)</f>
        <v>4.1114942125878427E-2</v>
      </c>
      <c r="AM13" s="27">
        <f>SUM(Emissions!AO24:AO25)</f>
        <v>4.1194518351813939E-2</v>
      </c>
      <c r="AN13" s="27">
        <f>SUM(Emissions!AP24:AP25)</f>
        <v>4.1284035756567028E-2</v>
      </c>
      <c r="AO13" s="27">
        <f>SUM(Emissions!AQ24:AQ25)</f>
        <v>4.138162771259743E-2</v>
      </c>
      <c r="AP13" s="27">
        <f>SUM(Emissions!AR24:AR25)</f>
        <v>4.1440982340047908E-2</v>
      </c>
      <c r="AQ13" s="27">
        <f>SUM(Emissions!AS24:AS25)</f>
        <v>4.150727804548713E-2</v>
      </c>
      <c r="AR13" s="27">
        <f>SUM(Emissions!AT24:AT25)</f>
        <v>4.1580028509685542E-2</v>
      </c>
      <c r="AS13" s="27">
        <f>SUM(Emissions!AU24:AU25)</f>
        <v>4.166088085441462E-2</v>
      </c>
      <c r="AT13" s="27">
        <f>SUM(Emissions!AV24:AV25)</f>
        <v>4.1747848534248712E-2</v>
      </c>
      <c r="AU13" s="27">
        <f>SUM(Emissions!AW24:AW25)</f>
        <v>4.1804675902797857E-2</v>
      </c>
      <c r="AV13" s="27">
        <f>SUM(Emissions!AX24:AX25)</f>
        <v>4.1868464877970198E-2</v>
      </c>
      <c r="AW13" s="27">
        <f>SUM(Emissions!AY24:AY25)</f>
        <v>4.1938196419332177E-2</v>
      </c>
      <c r="AX13" s="27">
        <f>SUM(Emissions!AZ24:AZ25)</f>
        <v>4.2014594704360864E-2</v>
      </c>
      <c r="AY13" s="27">
        <f>SUM(Emissions!BA24:BA25)</f>
        <v>4.2093254172324908E-2</v>
      </c>
      <c r="AZ13" s="27">
        <f>SUM(Emissions!BB24:BB25)</f>
        <v>4.2141462606484534E-2</v>
      </c>
      <c r="BA13" s="27">
        <f>SUM(Emissions!BC24:BC25)</f>
        <v>4.2194718420419136E-2</v>
      </c>
      <c r="BB13" s="27">
        <f>SUM(Emissions!BD24:BD25)</f>
        <v>4.2251664078572289E-2</v>
      </c>
      <c r="BC13" s="27">
        <f>SUM(Emissions!BE24:BE25)</f>
        <v>4.2312977074303301E-2</v>
      </c>
      <c r="BD13" s="27">
        <f>SUM(Emissions!BF24:BF25)</f>
        <v>4.2378103352724274E-2</v>
      </c>
      <c r="BE13" s="27">
        <f>SUM(Emissions!BG24:BG25)</f>
        <v>4.241587128252329E-2</v>
      </c>
      <c r="BF13" s="27">
        <f>SUM(Emissions!BH24:BH25)</f>
        <v>4.2456495574201815E-2</v>
      </c>
      <c r="BG13" s="27">
        <f>SUM(Emissions!BI24:BI25)</f>
        <v>4.2500495409927883E-2</v>
      </c>
      <c r="BH13" s="27">
        <f>SUM(Emissions!BJ24:BJ25)</f>
        <v>4.2547931530851228E-2</v>
      </c>
      <c r="BI13" s="27">
        <f>SUM(Emissions!BK24:BK25)</f>
        <v>4.2598770776637186E-2</v>
      </c>
      <c r="BJ13" s="27">
        <f>SUM(Emissions!BL24:BL25)</f>
        <v>4.2621503553024818E-2</v>
      </c>
      <c r="BK13" s="27">
        <f>SUM(Emissions!BM24:BM25)</f>
        <v>4.264266234225908E-2</v>
      </c>
      <c r="BL13" s="27">
        <f>SUM(Emissions!BN24:BN25)</f>
        <v>4.2666119010628348E-2</v>
      </c>
      <c r="BM13" s="27">
        <f>SUM(Emissions!BO24:BO25)</f>
        <v>4.2692249545723142E-2</v>
      </c>
      <c r="BN13" s="27">
        <f>SUM(Emissions!BP24:BP25)</f>
        <v>4.2720784952005444E-2</v>
      </c>
    </row>
    <row r="14" spans="1:72" x14ac:dyDescent="0.2">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4.2381891563828093E-2</v>
      </c>
      <c r="AC14" s="27">
        <f>SUM(Emissions!AE26:AE27)</f>
        <v>4.2492064024381923E-2</v>
      </c>
      <c r="AD14" s="27">
        <f>SUM(Emissions!AF26:AF27)</f>
        <v>4.264404304035839E-2</v>
      </c>
      <c r="AE14" s="27">
        <f>SUM(Emissions!AG26:AG27)</f>
        <v>4.2829193619610274E-2</v>
      </c>
      <c r="AF14" s="27">
        <f>SUM(Emissions!AH26:AH27)</f>
        <v>4.3047251688384705E-2</v>
      </c>
      <c r="AG14" s="27">
        <f>SUM(Emissions!AI26:AI27)</f>
        <v>4.3296890030905533E-2</v>
      </c>
      <c r="AH14" s="27">
        <f>SUM(Emissions!AJ26:AJ27)</f>
        <v>4.3565554612885068E-2</v>
      </c>
      <c r="AI14" s="27">
        <f>SUM(Emissions!AK26:AK27)</f>
        <v>4.3852181920952263E-2</v>
      </c>
      <c r="AJ14" s="27">
        <f>SUM(Emissions!AL26:AL27)</f>
        <v>4.4115506745367489E-2</v>
      </c>
      <c r="AK14" s="27">
        <f>SUM(Emissions!AM26:AM27)</f>
        <v>4.4243697660951792E-2</v>
      </c>
      <c r="AL14" s="27">
        <f>SUM(Emissions!AN26:AN27)</f>
        <v>4.4381481286800709E-2</v>
      </c>
      <c r="AM14" s="27">
        <f>SUM(Emissions!AO26:AO27)</f>
        <v>4.4530542594583E-2</v>
      </c>
      <c r="AN14" s="27">
        <f>SUM(Emissions!AP26:AP27)</f>
        <v>4.46925182365846E-2</v>
      </c>
      <c r="AO14" s="27">
        <f>SUM(Emissions!AQ26:AQ27)</f>
        <v>4.486452611530499E-2</v>
      </c>
      <c r="AP14" s="27">
        <f>SUM(Emissions!AR26:AR27)</f>
        <v>4.497205818831701E-2</v>
      </c>
      <c r="AQ14" s="27">
        <f>SUM(Emissions!AS26:AS27)</f>
        <v>4.5088379415770867E-2</v>
      </c>
      <c r="AR14" s="27">
        <f>SUM(Emissions!AT26:AT27)</f>
        <v>4.5212805661889191E-2</v>
      </c>
      <c r="AS14" s="27">
        <f>SUM(Emissions!AU26:AU27)</f>
        <v>4.534806127027341E-2</v>
      </c>
      <c r="AT14" s="27">
        <f>SUM(Emissions!AV26:AV27)</f>
        <v>4.5491030490131361E-2</v>
      </c>
      <c r="AU14" s="27">
        <f>SUM(Emissions!AW26:AW27)</f>
        <v>4.5583975807031447E-2</v>
      </c>
      <c r="AV14" s="27">
        <f>SUM(Emissions!AX26:AX27)</f>
        <v>4.5686342852099562E-2</v>
      </c>
      <c r="AW14" s="27">
        <f>SUM(Emissions!AY26:AY27)</f>
        <v>4.5796548650139657E-2</v>
      </c>
      <c r="AX14" s="27">
        <f>SUM(Emissions!AZ26:AZ27)</f>
        <v>4.5915779189276515E-2</v>
      </c>
      <c r="AY14" s="27">
        <f>SUM(Emissions!BA26:BA27)</f>
        <v>4.603709147689998E-2</v>
      </c>
      <c r="AZ14" s="27">
        <f>SUM(Emissions!BB26:BB27)</f>
        <v>4.6108900843498113E-2</v>
      </c>
      <c r="BA14" s="27">
        <f>SUM(Emissions!BC26:BC27)</f>
        <v>4.618749063770225E-2</v>
      </c>
      <c r="BB14" s="27">
        <f>SUM(Emissions!BD26:BD27)</f>
        <v>4.6270745650798605E-2</v>
      </c>
      <c r="BC14" s="27">
        <f>SUM(Emissions!BE26:BE27)</f>
        <v>4.6359757707036139E-2</v>
      </c>
      <c r="BD14" s="27">
        <f>SUM(Emissions!BF26:BF27)</f>
        <v>4.6453677329398993E-2</v>
      </c>
      <c r="BE14" s="27">
        <f>SUM(Emissions!BG26:BG27)</f>
        <v>4.650375784381168E-2</v>
      </c>
      <c r="BF14" s="27">
        <f>SUM(Emissions!BH26:BH27)</f>
        <v>4.6557459407987514E-2</v>
      </c>
      <c r="BG14" s="27">
        <f>SUM(Emissions!BI26:BI27)</f>
        <v>4.6615610455026865E-2</v>
      </c>
      <c r="BH14" s="27">
        <f>SUM(Emissions!BJ26:BJ27)</f>
        <v>4.6678318090154054E-2</v>
      </c>
      <c r="BI14" s="27">
        <f>SUM(Emissions!BK26:BK27)</f>
        <v>4.6745540913925965E-2</v>
      </c>
      <c r="BJ14" s="27">
        <f>SUM(Emissions!BL26:BL27)</f>
        <v>4.6768408532978589E-2</v>
      </c>
      <c r="BK14" s="27">
        <f>SUM(Emissions!BM26:BM27)</f>
        <v>4.6788258656341709E-2</v>
      </c>
      <c r="BL14" s="27">
        <f>SUM(Emissions!BN26:BN27)</f>
        <v>4.681111771154027E-2</v>
      </c>
      <c r="BM14" s="27">
        <f>SUM(Emissions!BO26:BO27)</f>
        <v>4.6837575039796131E-2</v>
      </c>
      <c r="BN14" s="27">
        <f>SUM(Emissions!BP26:BP27)</f>
        <v>4.6867220969620725E-2</v>
      </c>
    </row>
    <row r="15" spans="1:72" x14ac:dyDescent="0.2">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4.1336182129460544E-3</v>
      </c>
      <c r="AC15" s="27">
        <f>Emissions!AE28</f>
        <v>4.1536453250924079E-3</v>
      </c>
      <c r="AD15" s="27">
        <f>Emissions!AF28</f>
        <v>4.1840370126470534E-3</v>
      </c>
      <c r="AE15" s="27">
        <f>Emissions!AG28</f>
        <v>4.1905340987284569E-3</v>
      </c>
      <c r="AF15" s="27">
        <f>Emissions!AH28</f>
        <v>4.1812329246154597E-3</v>
      </c>
      <c r="AG15" s="27">
        <f>Emissions!AI28</f>
        <v>4.1564738854214548E-3</v>
      </c>
      <c r="AH15" s="27">
        <f>Emissions!AJ28</f>
        <v>4.1427460620707141E-3</v>
      </c>
      <c r="AI15" s="27">
        <f>Emissions!AK28</f>
        <v>4.1304087921358321E-3</v>
      </c>
      <c r="AJ15" s="27">
        <f>Emissions!AL28</f>
        <v>3.9117464794758833E-3</v>
      </c>
      <c r="AK15" s="27">
        <f>Emissions!AM28</f>
        <v>3.9662100660725645E-3</v>
      </c>
      <c r="AL15" s="27">
        <f>Emissions!AN28</f>
        <v>4.0029759542347092E-3</v>
      </c>
      <c r="AM15" s="27">
        <f>Emissions!AO28</f>
        <v>4.034929903088018E-3</v>
      </c>
      <c r="AN15" s="27">
        <f>Emissions!AP28</f>
        <v>4.0740603707179208E-3</v>
      </c>
      <c r="AO15" s="27">
        <f>Emissions!AQ28</f>
        <v>4.1088191524981379E-3</v>
      </c>
      <c r="AP15" s="27">
        <f>Emissions!AR28</f>
        <v>4.1408340108354943E-3</v>
      </c>
      <c r="AQ15" s="27">
        <f>Emissions!AS28</f>
        <v>4.1700941792835473E-3</v>
      </c>
      <c r="AR15" s="27">
        <f>Emissions!AT28</f>
        <v>4.1955947055446379E-3</v>
      </c>
      <c r="AS15" s="27">
        <f>Emissions!AU28</f>
        <v>4.2332253987930647E-3</v>
      </c>
      <c r="AT15" s="27">
        <f>Emissions!AV28</f>
        <v>4.2692111275798939E-3</v>
      </c>
      <c r="AU15" s="27">
        <f>Emissions!AW28</f>
        <v>4.3131543062035933E-3</v>
      </c>
      <c r="AV15" s="27">
        <f>Emissions!AX28</f>
        <v>4.3689426306597803E-3</v>
      </c>
      <c r="AW15" s="27">
        <f>Emissions!AY28</f>
        <v>4.4301694396255923E-3</v>
      </c>
      <c r="AX15" s="27">
        <f>Emissions!AZ28</f>
        <v>4.5040980436008553E-3</v>
      </c>
      <c r="AY15" s="27">
        <f>Emissions!BA28</f>
        <v>4.5574968938879535E-3</v>
      </c>
      <c r="AZ15" s="27">
        <f>Emissions!BB28</f>
        <v>4.6111863100883922E-3</v>
      </c>
      <c r="BA15" s="27">
        <f>Emissions!BC28</f>
        <v>4.6712172844787037E-3</v>
      </c>
      <c r="BB15" s="27">
        <f>Emissions!BD28</f>
        <v>4.7281971529271986E-3</v>
      </c>
      <c r="BC15" s="27">
        <f>Emissions!BE28</f>
        <v>4.7885111366995289E-3</v>
      </c>
      <c r="BD15" s="27">
        <f>Emissions!BF28</f>
        <v>4.8488762620845097E-3</v>
      </c>
      <c r="BE15" s="27">
        <f>Emissions!BG28</f>
        <v>4.9227254913748455E-3</v>
      </c>
      <c r="BF15" s="27">
        <f>Emissions!BH28</f>
        <v>4.9927458490609099E-3</v>
      </c>
      <c r="BG15" s="27">
        <f>Emissions!BI28</f>
        <v>5.0638022559314124E-3</v>
      </c>
      <c r="BH15" s="27">
        <f>Emissions!BJ28</f>
        <v>5.1371515240319849E-3</v>
      </c>
      <c r="BI15" s="27">
        <f>Emissions!BK28</f>
        <v>5.2132674563810976E-3</v>
      </c>
      <c r="BJ15" s="27">
        <f>Emissions!BL28</f>
        <v>5.3054774767517902E-3</v>
      </c>
      <c r="BK15" s="27">
        <f>Emissions!BM28</f>
        <v>5.3653290852350754E-3</v>
      </c>
      <c r="BL15" s="27">
        <f>Emissions!BN28</f>
        <v>5.4229477307266892E-3</v>
      </c>
      <c r="BM15" s="27">
        <f>Emissions!BO28</f>
        <v>5.4817978053370176E-3</v>
      </c>
      <c r="BN15" s="27">
        <f>Emissions!BP28</f>
        <v>5.5404187134472614E-3</v>
      </c>
    </row>
    <row r="16" spans="1:72" x14ac:dyDescent="0.2">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2">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23.356999930110074</v>
      </c>
      <c r="AC17" s="27">
        <f>SUM(Emissions!AE30:AE31)</f>
        <v>23.230039099944467</v>
      </c>
      <c r="AD17" s="27">
        <f>SUM(Emissions!AF30:AF31)</f>
        <v>23.240459651013452</v>
      </c>
      <c r="AE17" s="27">
        <f>SUM(Emissions!AG30:AG31)</f>
        <v>23.027094422284396</v>
      </c>
      <c r="AF17" s="27">
        <f>SUM(Emissions!AH30:AH31)</f>
        <v>22.67861979164584</v>
      </c>
      <c r="AG17" s="27">
        <f>SUM(Emissions!AI30:AI31)</f>
        <v>22.200606495542033</v>
      </c>
      <c r="AH17" s="27">
        <f>SUM(Emissions!AJ30:AJ31)</f>
        <v>21.853515832253056</v>
      </c>
      <c r="AI17" s="27">
        <f>SUM(Emissions!AK30:AK31)</f>
        <v>21.53713803785411</v>
      </c>
      <c r="AJ17" s="27">
        <f>SUM(Emissions!AL30:AL31)</f>
        <v>19.189459006778478</v>
      </c>
      <c r="AK17" s="27">
        <f>SUM(Emissions!AM30:AM31)</f>
        <v>19.489068597625256</v>
      </c>
      <c r="AL17" s="27">
        <f>SUM(Emissions!AN30:AN31)</f>
        <v>19.616315542219478</v>
      </c>
      <c r="AM17" s="27">
        <f>SUM(Emissions!AO30:AO31)</f>
        <v>19.700117190795059</v>
      </c>
      <c r="AN17" s="27">
        <f>SUM(Emissions!AP30:AP31)</f>
        <v>19.85529075260829</v>
      </c>
      <c r="AO17" s="27">
        <f>SUM(Emissions!AQ30:AQ31)</f>
        <v>19.970865064770706</v>
      </c>
      <c r="AP17" s="27">
        <f>SUM(Emissions!AR30:AR31)</f>
        <v>20.031488078921718</v>
      </c>
      <c r="AQ17" s="27">
        <f>SUM(Emissions!AS30:AS31)</f>
        <v>20.068631459676855</v>
      </c>
      <c r="AR17" s="27">
        <f>SUM(Emissions!AT30:AT31)</f>
        <v>20.073670006958078</v>
      </c>
      <c r="AS17" s="27">
        <f>SUM(Emissions!AU30:AU31)</f>
        <v>20.190237416817492</v>
      </c>
      <c r="AT17" s="27">
        <f>SUM(Emissions!AV30:AV31)</f>
        <v>20.292058329880472</v>
      </c>
      <c r="AU17" s="27">
        <f>SUM(Emissions!AW30:AW31)</f>
        <v>20.43856007856574</v>
      </c>
      <c r="AV17" s="27">
        <f>SUM(Emissions!AX30:AX31)</f>
        <v>20.686029219336366</v>
      </c>
      <c r="AW17" s="27">
        <f>SUM(Emissions!AY30:AY31)</f>
        <v>20.975829350217751</v>
      </c>
      <c r="AX17" s="27">
        <f>SUM(Emissions!AZ30:AZ31)</f>
        <v>21.368195261560569</v>
      </c>
      <c r="AY17" s="27">
        <f>SUM(Emissions!BA30:BA31)</f>
        <v>21.580011426148598</v>
      </c>
      <c r="AZ17" s="27">
        <f>SUM(Emissions!BB30:BB31)</f>
        <v>21.76501139774658</v>
      </c>
      <c r="BA17" s="27">
        <f>SUM(Emissions!BC30:BC31)</f>
        <v>21.99750334888385</v>
      </c>
      <c r="BB17" s="27">
        <f>SUM(Emissions!BD30:BD31)</f>
        <v>22.199356416960292</v>
      </c>
      <c r="BC17" s="27">
        <f>SUM(Emissions!BE30:BE31)</f>
        <v>22.422704748558765</v>
      </c>
      <c r="BD17" s="27">
        <f>SUM(Emissions!BF30:BF31)</f>
        <v>22.640563513843396</v>
      </c>
      <c r="BE17" s="27">
        <f>SUM(Emissions!BG30:BG31)</f>
        <v>22.93387451667121</v>
      </c>
      <c r="BF17" s="27">
        <f>SUM(Emissions!BH30:BH31)</f>
        <v>23.188575988001343</v>
      </c>
      <c r="BG17" s="27">
        <f>SUM(Emissions!BI30:BI31)</f>
        <v>23.443051103976249</v>
      </c>
      <c r="BH17" s="27">
        <f>SUM(Emissions!BJ30:BJ31)</f>
        <v>23.706564105368653</v>
      </c>
      <c r="BI17" s="27">
        <f>SUM(Emissions!BK30:BK31)</f>
        <v>23.982077135332581</v>
      </c>
      <c r="BJ17" s="27">
        <f>SUM(Emissions!BL30:BL31)</f>
        <v>24.341124937609603</v>
      </c>
      <c r="BK17" s="27">
        <f>SUM(Emissions!BM30:BM31)</f>
        <v>24.452319002324199</v>
      </c>
      <c r="BL17" s="27">
        <f>SUM(Emissions!BN30:BN31)</f>
        <v>24.541131340828159</v>
      </c>
      <c r="BM17" s="27">
        <f>SUM(Emissions!BO30:BO31)</f>
        <v>24.63272259297916</v>
      </c>
      <c r="BN17" s="27">
        <f>SUM(Emissions!BP30:BP31)</f>
        <v>24.716548027207764</v>
      </c>
    </row>
    <row r="18" spans="1:66" x14ac:dyDescent="0.2">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2.9232175341370548</v>
      </c>
      <c r="AD18" s="27">
        <f>SUM(Emissions!AF32:AF35)</f>
        <v>2.9856726990921141</v>
      </c>
      <c r="AE18" s="27">
        <f>SUM(Emissions!AG32:AG35)</f>
        <v>3.0102189866459588</v>
      </c>
      <c r="AF18" s="27">
        <f>SUM(Emissions!AH32:AH35)</f>
        <v>3.0101265790703744</v>
      </c>
      <c r="AG18" s="27">
        <f>SUM(Emissions!AI32:AI35)</f>
        <v>2.9854362546719675</v>
      </c>
      <c r="AH18" s="27">
        <f>SUM(Emissions!AJ32:AJ35)</f>
        <v>2.9805084686213323</v>
      </c>
      <c r="AI18" s="27">
        <f>SUM(Emissions!AK32:AK35)</f>
        <v>2.9788681664379326</v>
      </c>
      <c r="AJ18" s="27">
        <f>SUM(Emissions!AL32:AL35)</f>
        <v>2.6145691076838586</v>
      </c>
      <c r="AK18" s="27">
        <f>SUM(Emissions!AM32:AM35)</f>
        <v>2.7189125674427839</v>
      </c>
      <c r="AL18" s="27">
        <f>SUM(Emissions!AN32:AN35)</f>
        <v>2.7932095031366098</v>
      </c>
      <c r="AM18" s="27">
        <f>SUM(Emissions!AO32:AO35)</f>
        <v>2.8600913409670783</v>
      </c>
      <c r="AN18" s="27">
        <f>SUM(Emissions!AP32:AP35)</f>
        <v>2.9408693745879781</v>
      </c>
      <c r="AO18" s="27">
        <f>SUM(Emissions!AQ32:AQ35)</f>
        <v>3.0150122545796516</v>
      </c>
      <c r="AP18" s="27">
        <f>SUM(Emissions!AR32:AR35)</f>
        <v>3.080668296398978</v>
      </c>
      <c r="AQ18" s="27">
        <f>SUM(Emissions!AS32:AS35)</f>
        <v>3.1422504031612695</v>
      </c>
      <c r="AR18" s="27">
        <f>SUM(Emissions!AT32:AT35)</f>
        <v>3.1979083742214707</v>
      </c>
      <c r="AS18" s="27">
        <f>SUM(Emissions!AU32:AU35)</f>
        <v>3.2763528794255725</v>
      </c>
      <c r="AT18" s="27">
        <f>SUM(Emissions!AV32:AV35)</f>
        <v>3.3527728491600035</v>
      </c>
      <c r="AU18" s="27">
        <f>SUM(Emissions!AW32:AW35)</f>
        <v>3.4404637943907166</v>
      </c>
      <c r="AV18" s="27">
        <f>SUM(Emissions!AX32:AX35)</f>
        <v>3.5505804509835621</v>
      </c>
      <c r="AW18" s="27">
        <f>SUM(Emissions!AY32:AY35)</f>
        <v>3.6715747444776405</v>
      </c>
      <c r="AX18" s="27">
        <f>SUM(Emissions!AZ32:AZ35)</f>
        <v>3.816847950168476</v>
      </c>
      <c r="AY18" s="27">
        <f>SUM(Emissions!BA32:BA35)</f>
        <v>3.9255687163857185</v>
      </c>
      <c r="AZ18" s="27">
        <f>SUM(Emissions!BB32:BB35)</f>
        <v>4.0312202361753098</v>
      </c>
      <c r="BA18" s="27">
        <f>SUM(Emissions!BC32:BC35)</f>
        <v>4.1492999543610765</v>
      </c>
      <c r="BB18" s="27">
        <f>SUM(Emissions!BD32:BD35)</f>
        <v>4.2625515947709305</v>
      </c>
      <c r="BC18" s="27">
        <f>SUM(Emissions!BE32:BE35)</f>
        <v>4.382768048867776</v>
      </c>
      <c r="BD18" s="27">
        <f>SUM(Emissions!BF32:BF35)</f>
        <v>4.5039218506514116</v>
      </c>
      <c r="BE18" s="27">
        <f>SUM(Emissions!BG32:BG35)</f>
        <v>4.6460635835467761</v>
      </c>
      <c r="BF18" s="27">
        <f>SUM(Emissions!BH32:BH35)</f>
        <v>4.7817620043512195</v>
      </c>
      <c r="BG18" s="27">
        <f>SUM(Emissions!BI32:BI35)</f>
        <v>4.920052499221697</v>
      </c>
      <c r="BH18" s="27">
        <f>SUM(Emissions!BJ32:BJ35)</f>
        <v>5.0632982282097352</v>
      </c>
      <c r="BI18" s="27">
        <f>SUM(Emissions!BK32:BK35)</f>
        <v>5.2124163762525528</v>
      </c>
      <c r="BJ18" s="27">
        <f>SUM(Emissions!BL32:BL35)</f>
        <v>5.38658476034822</v>
      </c>
      <c r="BK18" s="27">
        <f>SUM(Emissions!BM32:BM35)</f>
        <v>5.500955857413512</v>
      </c>
      <c r="BL18" s="27">
        <f>SUM(Emissions!BN32:BN35)</f>
        <v>5.61161636810552</v>
      </c>
      <c r="BM18" s="27">
        <f>SUM(Emissions!BO32:BO35)</f>
        <v>5.7250288918909709</v>
      </c>
      <c r="BN18" s="27">
        <f>SUM(Emissions!BP32:BP35)</f>
        <v>5.8384831650938827</v>
      </c>
    </row>
    <row r="19" spans="1:66" s="19" customFormat="1" ht="16" x14ac:dyDescent="0.2">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5.1994200766582486</v>
      </c>
      <c r="AC19" s="40">
        <f t="shared" si="11"/>
        <v>5.2527414367903065</v>
      </c>
      <c r="AD19" s="40">
        <f t="shared" si="11"/>
        <v>5.3365378743462077</v>
      </c>
      <c r="AE19" s="40">
        <f t="shared" si="11"/>
        <v>5.3665755836071112</v>
      </c>
      <c r="AF19" s="40">
        <f t="shared" si="11"/>
        <v>5.3622649672773743</v>
      </c>
      <c r="AG19" s="40">
        <f t="shared" si="11"/>
        <v>5.3238634740042308</v>
      </c>
      <c r="AH19" s="40">
        <f t="shared" si="11"/>
        <v>5.3145192594478221</v>
      </c>
      <c r="AI19" s="40">
        <f t="shared" si="11"/>
        <v>5.3105434668737495</v>
      </c>
      <c r="AJ19" s="40">
        <f t="shared" si="11"/>
        <v>4.7905394322476882</v>
      </c>
      <c r="AK19" s="40">
        <f t="shared" si="11"/>
        <v>4.9411865605058631</v>
      </c>
      <c r="AL19" s="40">
        <f t="shared" ref="AL19:BN19" si="12">SUM(AL20:AL26)</f>
        <v>5.0492893986432819</v>
      </c>
      <c r="AM19" s="40">
        <f t="shared" si="12"/>
        <v>5.1470894546257329</v>
      </c>
      <c r="AN19" s="40">
        <f t="shared" si="12"/>
        <v>5.2648859688992609</v>
      </c>
      <c r="AO19" s="40">
        <f t="shared" si="12"/>
        <v>5.3734637358553687</v>
      </c>
      <c r="AP19" s="40">
        <f t="shared" si="12"/>
        <v>5.4679180819333331</v>
      </c>
      <c r="AQ19" s="40">
        <f t="shared" si="12"/>
        <v>5.5567944476377873</v>
      </c>
      <c r="AR19" s="40">
        <f t="shared" si="12"/>
        <v>5.6374662148781791</v>
      </c>
      <c r="AS19" s="40">
        <f t="shared" si="12"/>
        <v>5.750658083568494</v>
      </c>
      <c r="AT19" s="40">
        <f t="shared" si="12"/>
        <v>5.8611456921254899</v>
      </c>
      <c r="AU19" s="40">
        <f t="shared" si="12"/>
        <v>5.9802101685920928</v>
      </c>
      <c r="AV19" s="40">
        <f t="shared" si="12"/>
        <v>6.1310155874592489</v>
      </c>
      <c r="AW19" s="40">
        <f t="shared" si="12"/>
        <v>6.2971327679343183</v>
      </c>
      <c r="AX19" s="40">
        <f t="shared" si="12"/>
        <v>6.4974096282035507</v>
      </c>
      <c r="AY19" s="40">
        <f t="shared" si="12"/>
        <v>6.6460342573559608</v>
      </c>
      <c r="AZ19" s="40">
        <f t="shared" si="12"/>
        <v>6.7886549830140037</v>
      </c>
      <c r="BA19" s="40">
        <f t="shared" si="12"/>
        <v>6.9487315605573245</v>
      </c>
      <c r="BB19" s="40">
        <f t="shared" si="12"/>
        <v>7.1019849183376209</v>
      </c>
      <c r="BC19" s="40">
        <f t="shared" si="12"/>
        <v>7.2649805500945632</v>
      </c>
      <c r="BD19" s="40">
        <f t="shared" si="12"/>
        <v>7.4292502512181002</v>
      </c>
      <c r="BE19" s="40">
        <f t="shared" si="12"/>
        <v>7.6246548912842496</v>
      </c>
      <c r="BF19" s="40">
        <f t="shared" si="12"/>
        <v>7.8110583956774757</v>
      </c>
      <c r="BG19" s="40">
        <f t="shared" si="12"/>
        <v>8.0011156347469967</v>
      </c>
      <c r="BH19" s="40">
        <f t="shared" si="12"/>
        <v>8.1981281322773416</v>
      </c>
      <c r="BI19" s="40">
        <f t="shared" si="12"/>
        <v>8.4033712720174361</v>
      </c>
      <c r="BJ19" s="40">
        <f t="shared" si="12"/>
        <v>8.6421109105714056</v>
      </c>
      <c r="BK19" s="40">
        <f t="shared" si="12"/>
        <v>8.7974252582046937</v>
      </c>
      <c r="BL19" s="40">
        <f t="shared" si="12"/>
        <v>8.9476578483512466</v>
      </c>
      <c r="BM19" s="40">
        <f t="shared" si="12"/>
        <v>9.1018278116493097</v>
      </c>
      <c r="BN19" s="40">
        <f t="shared" si="12"/>
        <v>9.2561581300939082</v>
      </c>
    </row>
    <row r="20" spans="1:66" x14ac:dyDescent="0.2">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2.6405154397771442</v>
      </c>
      <c r="AC20" s="27">
        <f>SUM(Emissions!AE36:AE41)</f>
        <v>2.6638547658757203</v>
      </c>
      <c r="AD20" s="27">
        <f>SUM(Emissions!AF36:AF41)</f>
        <v>2.7012838960025101</v>
      </c>
      <c r="AE20" s="27">
        <f>SUM(Emissions!AG36:AG41)</f>
        <v>2.7146557268578313</v>
      </c>
      <c r="AF20" s="27">
        <f>SUM(Emissions!AH36:AH41)</f>
        <v>2.7128512798971718</v>
      </c>
      <c r="AG20" s="27">
        <f>SUM(Emissions!AI36:AI41)</f>
        <v>2.6960639868509828</v>
      </c>
      <c r="AH20" s="27">
        <f>SUM(Emissions!AJ36:AJ41)</f>
        <v>2.6925532758612407</v>
      </c>
      <c r="AI20" s="27">
        <f>SUM(Emissions!AK36:AK41)</f>
        <v>2.6916404315629792</v>
      </c>
      <c r="AJ20" s="27">
        <f>SUM(Emissions!AL36:AL41)</f>
        <v>2.4596742788857222</v>
      </c>
      <c r="AK20" s="27">
        <f>SUM(Emissions!AM36:AM41)</f>
        <v>2.5305337282133693</v>
      </c>
      <c r="AL20" s="27">
        <f>SUM(Emissions!AN36:AN41)</f>
        <v>2.5824283962707844</v>
      </c>
      <c r="AM20" s="27">
        <f>SUM(Emissions!AO36:AO41)</f>
        <v>2.6297989968705249</v>
      </c>
      <c r="AN20" s="27">
        <f>SUM(Emissions!AP36:AP41)</f>
        <v>2.6862323320164907</v>
      </c>
      <c r="AO20" s="27">
        <f>SUM(Emissions!AQ36:AQ41)</f>
        <v>2.7386243682794689</v>
      </c>
      <c r="AP20" s="27">
        <f>SUM(Emissions!AR36:AR41)</f>
        <v>2.7838557177673167</v>
      </c>
      <c r="AQ20" s="27">
        <f>SUM(Emissions!AS36:AS41)</f>
        <v>2.8266675087404973</v>
      </c>
      <c r="AR20" s="27">
        <f>SUM(Emissions!AT36:AT41)</f>
        <v>2.8658769305401948</v>
      </c>
      <c r="AS20" s="27">
        <f>SUM(Emissions!AU36:AU41)</f>
        <v>2.9197749680771548</v>
      </c>
      <c r="AT20" s="27">
        <f>SUM(Emissions!AV36:AV41)</f>
        <v>2.9725447801001432</v>
      </c>
      <c r="AU20" s="27">
        <f>SUM(Emissions!AW36:AW41)</f>
        <v>3.0253633856257212</v>
      </c>
      <c r="AV20" s="27">
        <f>SUM(Emissions!AX36:AX41)</f>
        <v>3.0924474584520865</v>
      </c>
      <c r="AW20" s="27">
        <f>SUM(Emissions!AY36:AY41)</f>
        <v>3.1664005534545181</v>
      </c>
      <c r="AX20" s="27">
        <f>SUM(Emissions!AZ36:AZ41)</f>
        <v>3.2556517133834877</v>
      </c>
      <c r="AY20" s="27">
        <f>SUM(Emissions!BA36:BA41)</f>
        <v>3.3217656219825304</v>
      </c>
      <c r="AZ20" s="27">
        <f>SUM(Emissions!BB36:BB41)</f>
        <v>3.3845456664483011</v>
      </c>
      <c r="BA20" s="27">
        <f>SUM(Emissions!BC36:BC41)</f>
        <v>3.4551533992197485</v>
      </c>
      <c r="BB20" s="27">
        <f>SUM(Emissions!BD36:BD41)</f>
        <v>3.5227334006378763</v>
      </c>
      <c r="BC20" s="27">
        <f>SUM(Emissions!BE36:BE41)</f>
        <v>3.5946891004367116</v>
      </c>
      <c r="BD20" s="27">
        <f>SUM(Emissions!BF36:BF41)</f>
        <v>3.6672393495138236</v>
      </c>
      <c r="BE20" s="27">
        <f>SUM(Emissions!BG36:BG41)</f>
        <v>3.7549224601601101</v>
      </c>
      <c r="BF20" s="27">
        <f>SUM(Emissions!BH36:BH41)</f>
        <v>3.838665798223297</v>
      </c>
      <c r="BG20" s="27">
        <f>SUM(Emissions!BI36:BI41)</f>
        <v>3.9241164696337938</v>
      </c>
      <c r="BH20" s="27">
        <f>SUM(Emissions!BJ36:BJ41)</f>
        <v>4.0127496805201854</v>
      </c>
      <c r="BI20" s="27">
        <f>SUM(Emissions!BK36:BK41)</f>
        <v>4.1051372900687806</v>
      </c>
      <c r="BJ20" s="27">
        <f>SUM(Emissions!BL36:BL41)</f>
        <v>4.2119427487016328</v>
      </c>
      <c r="BK20" s="27">
        <f>SUM(Emissions!BM36:BM41)</f>
        <v>4.2816415288107557</v>
      </c>
      <c r="BL20" s="27">
        <f>SUM(Emissions!BN36:BN41)</f>
        <v>4.3491696388847148</v>
      </c>
      <c r="BM20" s="27">
        <f>SUM(Emissions!BO36:BO41)</f>
        <v>4.418551404425493</v>
      </c>
      <c r="BN20" s="27">
        <f>SUM(Emissions!BP36:BP41)</f>
        <v>4.4881053450546133</v>
      </c>
    </row>
    <row r="21" spans="1:66" x14ac:dyDescent="0.2">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0.18347883615886906</v>
      </c>
      <c r="AK21" s="27">
        <f>SUM(Emissions!AM42:AM43)</f>
        <v>0.18375825953285058</v>
      </c>
      <c r="AL21" s="27">
        <f>SUM(Emissions!AN42:AN43)</f>
        <v>0.18407407481642696</v>
      </c>
      <c r="AM21" s="27">
        <f>SUM(Emissions!AO42:AO43)</f>
        <v>0.1844303423777825</v>
      </c>
      <c r="AN21" s="27">
        <f>SUM(Emissions!AP42:AP43)</f>
        <v>0.18483111719608195</v>
      </c>
      <c r="AO21" s="27">
        <f>SUM(Emissions!AQ42:AQ43)</f>
        <v>0.18526804226728413</v>
      </c>
      <c r="AP21" s="27">
        <f>SUM(Emissions!AR42:AR43)</f>
        <v>0.18553377651301334</v>
      </c>
      <c r="AQ21" s="27">
        <f>SUM(Emissions!AS42:AS43)</f>
        <v>0.18583058638339245</v>
      </c>
      <c r="AR21" s="27">
        <f>SUM(Emissions!AT42:AT43)</f>
        <v>0.18615629459790944</v>
      </c>
      <c r="AS21" s="27">
        <f>SUM(Emissions!AU42:AU43)</f>
        <v>0.18651827542004407</v>
      </c>
      <c r="AT21" s="27">
        <f>SUM(Emissions!AV42:AV43)</f>
        <v>0.18690763496615212</v>
      </c>
      <c r="AU21" s="27">
        <f>SUM(Emissions!AW42:AW43)</f>
        <v>0.18716205452140552</v>
      </c>
      <c r="AV21" s="27">
        <f>SUM(Emissions!AX42:AX43)</f>
        <v>0.18744764160924304</v>
      </c>
      <c r="AW21" s="27">
        <f>SUM(Emissions!AY42:AY43)</f>
        <v>0.1877598339242032</v>
      </c>
      <c r="AX21" s="27">
        <f>SUM(Emissions!AZ42:AZ43)</f>
        <v>0.18810187365251319</v>
      </c>
      <c r="AY21" s="27">
        <f>SUM(Emissions!BA42:BA43)</f>
        <v>0.18845403683315698</v>
      </c>
      <c r="AZ21" s="27">
        <f>SUM(Emissions!BB42:BB43)</f>
        <v>0.18866986889949217</v>
      </c>
      <c r="BA21" s="27">
        <f>SUM(Emissions!BC42:BC43)</f>
        <v>0.18890829838939865</v>
      </c>
      <c r="BB21" s="27">
        <f>SUM(Emissions!BD42:BD43)</f>
        <v>0.18916324753434122</v>
      </c>
      <c r="BC21" s="27">
        <f>SUM(Emissions!BE42:BE43)</f>
        <v>0.1894377495129371</v>
      </c>
      <c r="BD21" s="27">
        <f>SUM(Emissions!BF42:BF43)</f>
        <v>0.18972932378804797</v>
      </c>
      <c r="BE21" s="27">
        <f>SUM(Emissions!BG42:BG43)</f>
        <v>0.1898984130868776</v>
      </c>
      <c r="BF21" s="27">
        <f>SUM(Emissions!BH42:BH43)</f>
        <v>0.1900802904900587</v>
      </c>
      <c r="BG21" s="27">
        <f>SUM(Emissions!BI42:BI43)</f>
        <v>0.19027728040746039</v>
      </c>
      <c r="BH21" s="27">
        <f>SUM(Emissions!BJ42:BJ43)</f>
        <v>0.19048965478087213</v>
      </c>
      <c r="BI21" s="27">
        <f>SUM(Emissions!BK42:BK43)</f>
        <v>0.19071726514947646</v>
      </c>
      <c r="BJ21" s="27">
        <f>SUM(Emissions!BL42:BL43)</f>
        <v>0.19081904115997772</v>
      </c>
      <c r="BK21" s="27">
        <f>SUM(Emissions!BM42:BM43)</f>
        <v>0.19091377033509385</v>
      </c>
      <c r="BL21" s="27">
        <f>SUM(Emissions!BN42:BN43)</f>
        <v>0.1910187872536421</v>
      </c>
      <c r="BM21" s="27">
        <f>SUM(Emissions!BO42:BO43)</f>
        <v>0.19113577523473432</v>
      </c>
      <c r="BN21" s="27">
        <f>SUM(Emissions!BP42:BP43)</f>
        <v>0.1912635299691286</v>
      </c>
    </row>
    <row r="22" spans="1:66" x14ac:dyDescent="0.2">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0.13069549066496228</v>
      </c>
      <c r="AF22" s="27">
        <f>SUM(Emissions!AH44:AH45)</f>
        <v>0.1313609060950319</v>
      </c>
      <c r="AG22" s="27">
        <f>SUM(Emissions!AI44:AI45)</f>
        <v>0.13212269035728819</v>
      </c>
      <c r="AH22" s="27">
        <f>SUM(Emissions!AJ44:AJ45)</f>
        <v>0.13294253416938448</v>
      </c>
      <c r="AI22" s="27">
        <f>SUM(Emissions!AK44:AK45)</f>
        <v>0.13381719216548246</v>
      </c>
      <c r="AJ22" s="27">
        <f>SUM(Emissions!AL44:AL45)</f>
        <v>0.13462074143229505</v>
      </c>
      <c r="AK22" s="27">
        <f>SUM(Emissions!AM44:AM45)</f>
        <v>0.13501192261492209</v>
      </c>
      <c r="AL22" s="27">
        <f>SUM(Emissions!AN44:AN45)</f>
        <v>0.13543237644708755</v>
      </c>
      <c r="AM22" s="27">
        <f>SUM(Emissions!AO44:AO45)</f>
        <v>0.1358872447066396</v>
      </c>
      <c r="AN22" s="27">
        <f>SUM(Emissions!AP44:AP45)</f>
        <v>0.1363815217223403</v>
      </c>
      <c r="AO22" s="27">
        <f>SUM(Emissions!AQ44:AQ45)</f>
        <v>0.13690641262519654</v>
      </c>
      <c r="AP22" s="27">
        <f>SUM(Emissions!AR44:AR45)</f>
        <v>0.13723455228547937</v>
      </c>
      <c r="AQ22" s="27">
        <f>SUM(Emissions!AS44:AS45)</f>
        <v>0.13758951250331244</v>
      </c>
      <c r="AR22" s="27">
        <f>SUM(Emissions!AT44:AT45)</f>
        <v>0.13796920560312809</v>
      </c>
      <c r="AS22" s="27">
        <f>SUM(Emissions!AU44:AU45)</f>
        <v>0.13838194505976986</v>
      </c>
      <c r="AT22" s="27">
        <f>SUM(Emissions!AV44:AV45)</f>
        <v>0.13881822299918842</v>
      </c>
      <c r="AU22" s="27">
        <f>SUM(Emissions!AW44:AW45)</f>
        <v>0.13910185042176276</v>
      </c>
      <c r="AV22" s="27">
        <f>SUM(Emissions!AX44:AX45)</f>
        <v>0.1394142287331997</v>
      </c>
      <c r="AW22" s="27">
        <f>SUM(Emissions!AY44:AY45)</f>
        <v>0.13975052740314195</v>
      </c>
      <c r="AX22" s="27">
        <f>SUM(Emissions!AZ44:AZ45)</f>
        <v>0.14011436553544815</v>
      </c>
      <c r="AY22" s="27">
        <f>SUM(Emissions!BA44:BA45)</f>
        <v>0.14048455623050193</v>
      </c>
      <c r="AZ22" s="27">
        <f>SUM(Emissions!BB44:BB45)</f>
        <v>0.14070368621191692</v>
      </c>
      <c r="BA22" s="27">
        <f>SUM(Emissions!BC44:BC45)</f>
        <v>0.14094350701746358</v>
      </c>
      <c r="BB22" s="27">
        <f>SUM(Emissions!BD44:BD45)</f>
        <v>0.14119756397878735</v>
      </c>
      <c r="BC22" s="27">
        <f>SUM(Emissions!BE44:BE45)</f>
        <v>0.141469188853829</v>
      </c>
      <c r="BD22" s="27">
        <f>SUM(Emissions!BF44:BF45)</f>
        <v>0.14175578941971406</v>
      </c>
      <c r="BE22" s="27">
        <f>SUM(Emissions!BG44:BG45)</f>
        <v>0.141908612689329</v>
      </c>
      <c r="BF22" s="27">
        <f>SUM(Emissions!BH44:BH45)</f>
        <v>0.14207248577883361</v>
      </c>
      <c r="BG22" s="27">
        <f>SUM(Emissions!BI44:BI45)</f>
        <v>0.14224993669451019</v>
      </c>
      <c r="BH22" s="27">
        <f>SUM(Emissions!BJ44:BJ45)</f>
        <v>0.14244129227346825</v>
      </c>
      <c r="BI22" s="27">
        <f>SUM(Emissions!BK44:BK45)</f>
        <v>0.14264642618317447</v>
      </c>
      <c r="BJ22" s="27">
        <f>SUM(Emissions!BL44:BL45)</f>
        <v>0.14271620790073294</v>
      </c>
      <c r="BK22" s="27">
        <f>SUM(Emissions!BM44:BM45)</f>
        <v>0.14277678157474943</v>
      </c>
      <c r="BL22" s="27">
        <f>SUM(Emissions!BN44:BN45)</f>
        <v>0.14284653715926607</v>
      </c>
      <c r="BM22" s="27">
        <f>SUM(Emissions!BO44:BO45)</f>
        <v>0.14292727305938119</v>
      </c>
      <c r="BN22" s="27">
        <f>SUM(Emissions!BP44:BP45)</f>
        <v>0.14301773914144325</v>
      </c>
    </row>
    <row r="23" spans="1:66" x14ac:dyDescent="0.2">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2">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2">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0.13486096937945152</v>
      </c>
      <c r="AD25" s="27">
        <f>SUM(Emissions!AF48:AF49)</f>
        <v>0.13492146542995687</v>
      </c>
      <c r="AE25" s="27">
        <f>SUM(Emissions!AG48:AG49)</f>
        <v>0.13368278298717368</v>
      </c>
      <c r="AF25" s="27">
        <f>SUM(Emissions!AH48:AH49)</f>
        <v>0.13165972885928912</v>
      </c>
      <c r="AG25" s="27">
        <f>SUM(Emissions!AI48:AI49)</f>
        <v>0.12888464371149957</v>
      </c>
      <c r="AH25" s="27">
        <f>SUM(Emissions!AJ48:AJ49)</f>
        <v>0.12686962414513905</v>
      </c>
      <c r="AI25" s="27">
        <f>SUM(Emissions!AK48:AK49)</f>
        <v>0.12503290678710083</v>
      </c>
      <c r="AJ25" s="27">
        <f>SUM(Emissions!AL48:AL49)</f>
        <v>0.11140355951994843</v>
      </c>
      <c r="AK25" s="27">
        <f>SUM(Emissions!AM48:AM49)</f>
        <v>0.11314292981042173</v>
      </c>
      <c r="AL25" s="27">
        <f>SUM(Emissions!AN48:AN49)</f>
        <v>0.11388165634569442</v>
      </c>
      <c r="AM25" s="27">
        <f>SUM(Emissions!AO48:AO49)</f>
        <v>0.11436816312744694</v>
      </c>
      <c r="AN25" s="27">
        <f>SUM(Emissions!AP48:AP49)</f>
        <v>0.11526901640962003</v>
      </c>
      <c r="AO25" s="27">
        <f>SUM(Emissions!AQ48:AQ49)</f>
        <v>0.11593997799115366</v>
      </c>
      <c r="AP25" s="27">
        <f>SUM(Emissions!AR48:AR49)</f>
        <v>0.11629192223110674</v>
      </c>
      <c r="AQ25" s="27">
        <f>SUM(Emissions!AS48:AS49)</f>
        <v>0.11650755649298275</v>
      </c>
      <c r="AR25" s="27">
        <f>SUM(Emissions!AT48:AT49)</f>
        <v>0.11653680755742077</v>
      </c>
      <c r="AS25" s="27">
        <f>SUM(Emissions!AU48:AU49)</f>
        <v>0.1172135345239169</v>
      </c>
      <c r="AT25" s="27">
        <f>SUM(Emissions!AV48:AV49)</f>
        <v>0.11780465135242055</v>
      </c>
      <c r="AU25" s="27">
        <f>SUM(Emissions!AW48:AW49)</f>
        <v>0.11865516080522326</v>
      </c>
      <c r="AV25" s="27">
        <f>SUM(Emissions!AX48:AX49)</f>
        <v>0.12009183200806711</v>
      </c>
      <c r="AW25" s="27">
        <f>SUM(Emissions!AY48:AY49)</f>
        <v>0.12177425391053598</v>
      </c>
      <c r="AX25" s="27">
        <f>SUM(Emissions!AZ48:AZ49)</f>
        <v>0.12405211693640027</v>
      </c>
      <c r="AY25" s="27">
        <f>SUM(Emissions!BA48:BA49)</f>
        <v>0.12528180635550448</v>
      </c>
      <c r="AZ25" s="27">
        <f>SUM(Emissions!BB48:BB49)</f>
        <v>0.12635581554668723</v>
      </c>
      <c r="BA25" s="27">
        <f>SUM(Emissions!BC48:BC49)</f>
        <v>0.12770553733442919</v>
      </c>
      <c r="BB25" s="27">
        <f>SUM(Emissions!BD48:BD49)</f>
        <v>0.12887738643532332</v>
      </c>
      <c r="BC25" s="27">
        <f>SUM(Emissions!BE48:BE49)</f>
        <v>0.13017402534234629</v>
      </c>
      <c r="BD25" s="27">
        <f>SUM(Emissions!BF48:BF49)</f>
        <v>0.13143879481379181</v>
      </c>
      <c r="BE25" s="27">
        <f>SUM(Emissions!BG48:BG49)</f>
        <v>0.13314159892879276</v>
      </c>
      <c r="BF25" s="27">
        <f>SUM(Emissions!BH48:BH49)</f>
        <v>0.13462025710832362</v>
      </c>
      <c r="BG25" s="27">
        <f>SUM(Emissions!BI48:BI49)</f>
        <v>0.13609760119180411</v>
      </c>
      <c r="BH25" s="27">
        <f>SUM(Emissions!BJ48:BJ49)</f>
        <v>0.13762741432121695</v>
      </c>
      <c r="BI25" s="27">
        <f>SUM(Emissions!BK48:BK49)</f>
        <v>0.13922689308824551</v>
      </c>
      <c r="BJ25" s="27">
        <f>SUM(Emissions!BL48:BL49)</f>
        <v>0.14131132929863299</v>
      </c>
      <c r="BK25" s="27">
        <f>SUM(Emissions!BM48:BM49)</f>
        <v>0.14195686154643228</v>
      </c>
      <c r="BL25" s="27">
        <f>SUM(Emissions!BN48:BN49)</f>
        <v>0.14247245766798716</v>
      </c>
      <c r="BM25" s="27">
        <f>SUM(Emissions!BO48:BO49)</f>
        <v>0.14300418665038872</v>
      </c>
      <c r="BN25" s="27">
        <f>SUM(Emissions!BP48:BP49)</f>
        <v>0.14349083151870276</v>
      </c>
    </row>
    <row r="26" spans="1:66" x14ac:dyDescent="0.2">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2.1141223071087354</v>
      </c>
      <c r="AC26" s="27">
        <f>SUM(Emissions!AE50:AE53)</f>
        <v>2.1444079633530229</v>
      </c>
      <c r="AD26" s="27">
        <f>SUM(Emissions!AF50:AF53)</f>
        <v>2.1900184905347517</v>
      </c>
      <c r="AE26" s="27">
        <f>SUM(Emissions!AG50:AG53)</f>
        <v>2.2070152134542438</v>
      </c>
      <c r="AF26" s="27">
        <f>SUM(Emissions!AH50:AH53)</f>
        <v>2.2054156910391569</v>
      </c>
      <c r="AG26" s="27">
        <f>SUM(Emissions!AI50:AI53)</f>
        <v>2.1852604118945709</v>
      </c>
      <c r="AH26" s="27">
        <f>SUM(Emissions!AJ50:AJ53)</f>
        <v>2.1799994398925184</v>
      </c>
      <c r="AI26" s="27">
        <f>SUM(Emissions!AK50:AK53)</f>
        <v>2.177211573374529</v>
      </c>
      <c r="AJ26" s="27">
        <f>SUM(Emissions!AL50:AL53)</f>
        <v>1.9013620162508531</v>
      </c>
      <c r="AK26" s="27">
        <f>SUM(Emissions!AM50:AM53)</f>
        <v>1.9787397203342991</v>
      </c>
      <c r="AL26" s="27">
        <f>SUM(Emissions!AN50:AN53)</f>
        <v>2.0334728947632885</v>
      </c>
      <c r="AM26" s="27">
        <f>SUM(Emissions!AO50:AO53)</f>
        <v>2.0826047075433389</v>
      </c>
      <c r="AN26" s="27">
        <f>SUM(Emissions!AP50:AP53)</f>
        <v>2.1421719815547271</v>
      </c>
      <c r="AO26" s="27">
        <f>SUM(Emissions!AQ50:AQ53)</f>
        <v>2.196724934692265</v>
      </c>
      <c r="AP26" s="27">
        <f>SUM(Emissions!AR50:AR53)</f>
        <v>2.2450021131364171</v>
      </c>
      <c r="AQ26" s="27">
        <f>SUM(Emissions!AS50:AS53)</f>
        <v>2.2901992835176022</v>
      </c>
      <c r="AR26" s="27">
        <f>SUM(Emissions!AT50:AT53)</f>
        <v>2.3309269765795255</v>
      </c>
      <c r="AS26" s="27">
        <f>SUM(Emissions!AU50:AU53)</f>
        <v>2.3887693604876081</v>
      </c>
      <c r="AT26" s="27">
        <f>SUM(Emissions!AV50:AV53)</f>
        <v>2.4450704027075854</v>
      </c>
      <c r="AU26" s="27">
        <f>SUM(Emissions!AW50:AW53)</f>
        <v>2.5099277172179804</v>
      </c>
      <c r="AV26" s="27">
        <f>SUM(Emissions!AX50:AX53)</f>
        <v>2.5916144266566521</v>
      </c>
      <c r="AW26" s="27">
        <f>SUM(Emissions!AY50:AY53)</f>
        <v>2.6814475992419187</v>
      </c>
      <c r="AX26" s="27">
        <f>SUM(Emissions!AZ50:AZ53)</f>
        <v>2.7894895586957014</v>
      </c>
      <c r="AY26" s="27">
        <f>SUM(Emissions!BA50:BA53)</f>
        <v>2.8700482359542674</v>
      </c>
      <c r="AZ26" s="27">
        <f>SUM(Emissions!BB50:BB53)</f>
        <v>2.9483799459076065</v>
      </c>
      <c r="BA26" s="27">
        <f>SUM(Emissions!BC50:BC53)</f>
        <v>3.0360208185962847</v>
      </c>
      <c r="BB26" s="27">
        <f>SUM(Emissions!BD50:BD53)</f>
        <v>3.1200133197512931</v>
      </c>
      <c r="BC26" s="27">
        <f>SUM(Emissions!BE50:BE53)</f>
        <v>3.2092104859487391</v>
      </c>
      <c r="BD26" s="27">
        <f>SUM(Emissions!BF50:BF53)</f>
        <v>3.2990869936827241</v>
      </c>
      <c r="BE26" s="27">
        <f>SUM(Emissions!BG50:BG53)</f>
        <v>3.40478380641914</v>
      </c>
      <c r="BF26" s="27">
        <f>SUM(Emissions!BH50:BH53)</f>
        <v>3.5056195640769623</v>
      </c>
      <c r="BG26" s="27">
        <f>SUM(Emissions!BI50:BI53)</f>
        <v>3.6083743468194287</v>
      </c>
      <c r="BH26" s="27">
        <f>SUM(Emissions!BJ50:BJ53)</f>
        <v>3.7148200903815982</v>
      </c>
      <c r="BI26" s="27">
        <f>SUM(Emissions!BK50:BK53)</f>
        <v>3.8256433975277582</v>
      </c>
      <c r="BJ26" s="27">
        <f>SUM(Emissions!BL50:BL53)</f>
        <v>3.9553215835104285</v>
      </c>
      <c r="BK26" s="27">
        <f>SUM(Emissions!BM50:BM53)</f>
        <v>4.0401363159376622</v>
      </c>
      <c r="BL26" s="27">
        <f>SUM(Emissions!BN50:BN53)</f>
        <v>4.1221504273856366</v>
      </c>
      <c r="BM26" s="27">
        <f>SUM(Emissions!BO50:BO53)</f>
        <v>4.206209172279312</v>
      </c>
      <c r="BN26" s="27">
        <f>SUM(Emissions!BP50:BP53)</f>
        <v>4.2902806844100194</v>
      </c>
    </row>
    <row r="27" spans="1:66" s="19" customFormat="1" ht="16" x14ac:dyDescent="0.2">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2">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2">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2">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2">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2">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2">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6" x14ac:dyDescent="0.2">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2">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2">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2">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2">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2">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2">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6" x14ac:dyDescent="0.2">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892.99961042800624</v>
      </c>
      <c r="AL41" s="41">
        <f>Emissions!AN86</f>
        <v>897.66502434733229</v>
      </c>
      <c r="AM41" s="41">
        <f>Emissions!AO86</f>
        <v>901.31677957229135</v>
      </c>
      <c r="AN41" s="41">
        <f>Emissions!AP86</f>
        <v>904.69718143729835</v>
      </c>
      <c r="AO41" s="41">
        <f>Emissions!AQ86</f>
        <v>908.47574920758507</v>
      </c>
      <c r="AP41" s="41">
        <f>Emissions!AR86</f>
        <v>912.00886230682897</v>
      </c>
      <c r="AQ41" s="41">
        <f>Emissions!AS86</f>
        <v>915.15522281701794</v>
      </c>
      <c r="AR41" s="41">
        <f>Emissions!AT86</f>
        <v>918.14911339193043</v>
      </c>
      <c r="AS41" s="41">
        <f>Emissions!AU86</f>
        <v>920.93862378014114</v>
      </c>
      <c r="AT41" s="41">
        <f>Emissions!AV86</f>
        <v>924.38117404713842</v>
      </c>
      <c r="AU41" s="41">
        <f>Emissions!AW86</f>
        <v>927.72886456057699</v>
      </c>
      <c r="AV41" s="41">
        <f>Emissions!AX86</f>
        <v>931.30044289181558</v>
      </c>
      <c r="AW41" s="41">
        <f>Emissions!AY86</f>
        <v>935.47463981104102</v>
      </c>
      <c r="AX41" s="41">
        <f>Emissions!AZ86</f>
        <v>939.89945345474598</v>
      </c>
      <c r="AY41" s="41">
        <f>Emissions!BA86</f>
        <v>944.93069992096457</v>
      </c>
      <c r="AZ41" s="41">
        <f>Emissions!BB86</f>
        <v>948.88651159106837</v>
      </c>
      <c r="BA41" s="41">
        <f>Emissions!BC86</f>
        <v>952.65045566979234</v>
      </c>
      <c r="BB41" s="41">
        <f>Emissions!BD86</f>
        <v>956.69732285696261</v>
      </c>
      <c r="BC41" s="41">
        <f>Emissions!BE86</f>
        <v>960.56505395961551</v>
      </c>
      <c r="BD41" s="41">
        <f>Emissions!BF86</f>
        <v>964.56260681029062</v>
      </c>
      <c r="BE41" s="41">
        <f>Emissions!BG86</f>
        <v>968.53102991020114</v>
      </c>
      <c r="BF41" s="41">
        <f>Emissions!BH86</f>
        <v>972.91815093223238</v>
      </c>
      <c r="BG41" s="41">
        <f>Emissions!BI86</f>
        <v>977.08221160435949</v>
      </c>
      <c r="BH41" s="41">
        <f>Emissions!BJ86</f>
        <v>981.24968371542741</v>
      </c>
      <c r="BI41" s="41">
        <f>Emissions!BK86</f>
        <v>985.47496417545995</v>
      </c>
      <c r="BJ41" s="41">
        <f>Emissions!BL86</f>
        <v>989.77519860882489</v>
      </c>
      <c r="BK41" s="41">
        <f>Emissions!BM86</f>
        <v>994.53641231240658</v>
      </c>
      <c r="BL41" s="41">
        <f>Emissions!BN86</f>
        <v>997.87560728554854</v>
      </c>
      <c r="BM41" s="41">
        <f>Emissions!BO86</f>
        <v>1001.0952288876074</v>
      </c>
      <c r="BN41" s="41">
        <f>Emissions!BP86</f>
        <v>1004.3409499737036</v>
      </c>
    </row>
    <row r="42" spans="1:66" s="19" customFormat="1" ht="16" x14ac:dyDescent="0.2">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469.9309125855201</v>
      </c>
      <c r="AL42" s="41">
        <f>Emissions!AN87</f>
        <v>469.81336359291407</v>
      </c>
      <c r="AM42" s="41">
        <f>Emissions!AO87</f>
        <v>469.7213545760593</v>
      </c>
      <c r="AN42" s="41">
        <f>Emissions!AP87</f>
        <v>469.63618253329815</v>
      </c>
      <c r="AO42" s="41">
        <f>Emissions!AQ87</f>
        <v>469.54097836865776</v>
      </c>
      <c r="AP42" s="41">
        <f>Emissions!AR87</f>
        <v>469.45195863905593</v>
      </c>
      <c r="AQ42" s="41">
        <f>Emissions!AS87</f>
        <v>469.37268346331723</v>
      </c>
      <c r="AR42" s="41">
        <f>Emissions!AT87</f>
        <v>469.29724989469105</v>
      </c>
      <c r="AS42" s="41">
        <f>Emissions!AU87</f>
        <v>469.22696585523204</v>
      </c>
      <c r="AT42" s="41">
        <f>Emissions!AV87</f>
        <v>469.14022793167828</v>
      </c>
      <c r="AU42" s="41">
        <f>Emissions!AW87</f>
        <v>469.05588007868687</v>
      </c>
      <c r="AV42" s="41">
        <f>Emissions!AX87</f>
        <v>468.96589118550173</v>
      </c>
      <c r="AW42" s="41">
        <f>Emissions!AY87</f>
        <v>468.86071881467279</v>
      </c>
      <c r="AX42" s="41">
        <f>Emissions!AZ87</f>
        <v>468.74923194656606</v>
      </c>
      <c r="AY42" s="41">
        <f>Emissions!BA87</f>
        <v>468.62246549799733</v>
      </c>
      <c r="AZ42" s="41">
        <f>Emissions!BB87</f>
        <v>468.5227955255574</v>
      </c>
      <c r="BA42" s="41">
        <f>Emissions!BC87</f>
        <v>468.42795981701568</v>
      </c>
      <c r="BB42" s="41">
        <f>Emissions!BD87</f>
        <v>468.325995624923</v>
      </c>
      <c r="BC42" s="41">
        <f>Emissions!BE87</f>
        <v>468.22854491580057</v>
      </c>
      <c r="BD42" s="41">
        <f>Emissions!BF87</f>
        <v>468.12782323952234</v>
      </c>
      <c r="BE42" s="41">
        <f>Emissions!BG87</f>
        <v>468.02783551159615</v>
      </c>
      <c r="BF42" s="41">
        <f>Emissions!BH87</f>
        <v>467.91729834051165</v>
      </c>
      <c r="BG42" s="41">
        <f>Emissions!BI87</f>
        <v>467.81238136087751</v>
      </c>
      <c r="BH42" s="41">
        <f>Emissions!BJ87</f>
        <v>467.70737842719552</v>
      </c>
      <c r="BI42" s="41">
        <f>Emissions!BK87</f>
        <v>467.60091896397466</v>
      </c>
      <c r="BJ42" s="41">
        <f>Emissions!BL87</f>
        <v>467.49257097291689</v>
      </c>
      <c r="BK42" s="41">
        <f>Emissions!BM87</f>
        <v>467.37260822489156</v>
      </c>
      <c r="BL42" s="41">
        <f>Emissions!BN87</f>
        <v>467.28847442411939</v>
      </c>
      <c r="BM42" s="41">
        <f>Emissions!BO87</f>
        <v>467.20735337410349</v>
      </c>
      <c r="BN42" s="41">
        <f>Emissions!BP87</f>
        <v>467.12557472583177</v>
      </c>
    </row>
    <row r="43" spans="1:66" s="19" customFormat="1" ht="16" x14ac:dyDescent="0.2">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55.328082895998861</v>
      </c>
      <c r="AC43" s="41">
        <f t="shared" si="24"/>
        <v>55.141377146941785</v>
      </c>
      <c r="AD43" s="41">
        <f t="shared" si="24"/>
        <v>55.133536751110526</v>
      </c>
      <c r="AE43" s="41">
        <f t="shared" si="24"/>
        <v>54.82749609462973</v>
      </c>
      <c r="AF43" s="41">
        <f t="shared" si="24"/>
        <v>54.339148116939342</v>
      </c>
      <c r="AG43" s="41">
        <f t="shared" si="24"/>
        <v>53.680284142654159</v>
      </c>
      <c r="AH43" s="41">
        <f t="shared" si="24"/>
        <v>53.185580517007523</v>
      </c>
      <c r="AI43" s="41">
        <f t="shared" si="24"/>
        <v>52.728403644181718</v>
      </c>
      <c r="AJ43" s="41">
        <f t="shared" si="24"/>
        <v>49.68230124427874</v>
      </c>
      <c r="AK43" s="41">
        <f t="shared" si="24"/>
        <v>50.191129867989488</v>
      </c>
      <c r="AL43" s="41">
        <f t="shared" si="24"/>
        <v>50.518200671181972</v>
      </c>
      <c r="AM43" s="41">
        <f t="shared" si="24"/>
        <v>50.787156988716589</v>
      </c>
      <c r="AN43" s="41">
        <f t="shared" si="24"/>
        <v>51.147575111103926</v>
      </c>
      <c r="AO43" s="41">
        <f t="shared" si="24"/>
        <v>51.458463248477642</v>
      </c>
      <c r="AP43" s="41">
        <f t="shared" si="24"/>
        <v>51.677147668964608</v>
      </c>
      <c r="AQ43" s="41">
        <f t="shared" si="24"/>
        <v>51.864329260200222</v>
      </c>
      <c r="AR43" s="41">
        <f t="shared" si="24"/>
        <v>52.009124529771618</v>
      </c>
      <c r="AS43" s="41">
        <f t="shared" si="24"/>
        <v>52.299284194077316</v>
      </c>
      <c r="AT43" s="41">
        <f t="shared" si="24"/>
        <v>52.572411746816648</v>
      </c>
      <c r="AU43" s="41">
        <f t="shared" si="24"/>
        <v>52.684857652108292</v>
      </c>
      <c r="AV43" s="41">
        <f t="shared" si="24"/>
        <v>52.923360297252998</v>
      </c>
      <c r="AW43" s="41">
        <f t="shared" si="24"/>
        <v>53.210907904496132</v>
      </c>
      <c r="AX43" s="41">
        <f t="shared" si="24"/>
        <v>53.623260728731566</v>
      </c>
      <c r="AY43" s="41">
        <f t="shared" si="24"/>
        <v>53.795959139839795</v>
      </c>
      <c r="AZ43" s="41">
        <f t="shared" si="24"/>
        <v>53.909642200907257</v>
      </c>
      <c r="BA43" s="41">
        <f t="shared" si="24"/>
        <v>54.076013828760708</v>
      </c>
      <c r="BB43" s="41">
        <f t="shared" si="24"/>
        <v>54.196564209057954</v>
      </c>
      <c r="BC43" s="41">
        <f t="shared" si="24"/>
        <v>54.335966873320366</v>
      </c>
      <c r="BD43" s="41">
        <f t="shared" si="24"/>
        <v>54.460725458320248</v>
      </c>
      <c r="BE43" s="41">
        <f t="shared" si="24"/>
        <v>54.783204981738272</v>
      </c>
      <c r="BF43" s="41">
        <f t="shared" si="24"/>
        <v>55.054944594370596</v>
      </c>
      <c r="BG43" s="41">
        <f t="shared" si="24"/>
        <v>55.322013136702914</v>
      </c>
      <c r="BH43" s="41">
        <f t="shared" si="24"/>
        <v>55.596325007511709</v>
      </c>
      <c r="BI43" s="41">
        <f t="shared" si="24"/>
        <v>55.88147623794513</v>
      </c>
      <c r="BJ43" s="41">
        <f t="shared" si="24"/>
        <v>56.252271453253002</v>
      </c>
      <c r="BK43" s="41">
        <f t="shared" si="24"/>
        <v>56.316046565225264</v>
      </c>
      <c r="BL43" s="41">
        <f t="shared" si="24"/>
        <v>56.34562729489992</v>
      </c>
      <c r="BM43" s="41">
        <f t="shared" si="24"/>
        <v>56.375148233486556</v>
      </c>
      <c r="BN43" s="41">
        <f t="shared" si="24"/>
        <v>56.392101078713097</v>
      </c>
    </row>
    <row r="44" spans="1:66" x14ac:dyDescent="0.2">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6.60388696259374</v>
      </c>
      <c r="AL44" s="22">
        <f>Emissions!AN88</f>
        <v>6.6020342469478921</v>
      </c>
      <c r="AM44" s="22">
        <f>Emissions!AO88</f>
        <v>6.6005840725031204</v>
      </c>
      <c r="AN44" s="22">
        <f>Emissions!AP88</f>
        <v>6.5992416571177221</v>
      </c>
      <c r="AO44" s="22">
        <f>Emissions!AQ88</f>
        <v>6.5977411232427086</v>
      </c>
      <c r="AP44" s="22">
        <f>Emissions!AR88</f>
        <v>6.5963380636148372</v>
      </c>
      <c r="AQ44" s="22">
        <f>Emissions!AS88</f>
        <v>6.5950885900535399</v>
      </c>
      <c r="AR44" s="22">
        <f>Emissions!AT88</f>
        <v>6.593899664910774</v>
      </c>
      <c r="AS44" s="22">
        <f>Emissions!AU88</f>
        <v>6.5927919026350441</v>
      </c>
      <c r="AT44" s="22">
        <f>Emissions!AV88</f>
        <v>6.5914248070564794</v>
      </c>
      <c r="AU44" s="22">
        <f>Emissions!AW88</f>
        <v>6.5900953819081538</v>
      </c>
      <c r="AV44" s="22">
        <f>Emissions!AX88</f>
        <v>6.5886770470789005</v>
      </c>
      <c r="AW44" s="22">
        <f>Emissions!AY88</f>
        <v>6.5870194021035937</v>
      </c>
      <c r="AX44" s="22">
        <f>Emissions!AZ88</f>
        <v>6.5852622329414547</v>
      </c>
      <c r="AY44" s="22">
        <f>Emissions!BA88</f>
        <v>6.5832642389355076</v>
      </c>
      <c r="AZ44" s="22">
        <f>Emissions!BB88</f>
        <v>6.5816933184770097</v>
      </c>
      <c r="BA44" s="22">
        <f>Emissions!BC88</f>
        <v>6.5801985919199808</v>
      </c>
      <c r="BB44" s="22">
        <f>Emissions!BD88</f>
        <v>6.5785915117586082</v>
      </c>
      <c r="BC44" s="22">
        <f>Emissions!BE88</f>
        <v>6.5770555695996213</v>
      </c>
      <c r="BD44" s="22">
        <f>Emissions!BF88</f>
        <v>6.5754680730045454</v>
      </c>
      <c r="BE44" s="22">
        <f>Emissions!BG88</f>
        <v>6.5738921443316158</v>
      </c>
      <c r="BF44" s="22">
        <f>Emissions!BH88</f>
        <v>6.5721499435540869</v>
      </c>
      <c r="BG44" s="22">
        <f>Emissions!BI88</f>
        <v>6.5704963238558332</v>
      </c>
      <c r="BH44" s="22">
        <f>Emissions!BJ88</f>
        <v>6.5688413494168394</v>
      </c>
      <c r="BI44" s="22">
        <f>Emissions!BK88</f>
        <v>6.5671634182939496</v>
      </c>
      <c r="BJ44" s="22">
        <f>Emissions!BL88</f>
        <v>6.5654557216665381</v>
      </c>
      <c r="BK44" s="22">
        <f>Emissions!BM88</f>
        <v>6.5635649622881891</v>
      </c>
      <c r="BL44" s="22">
        <f>Emissions!BN88</f>
        <v>6.5622389108641883</v>
      </c>
      <c r="BM44" s="22">
        <f>Emissions!BO88</f>
        <v>6.560960344070546</v>
      </c>
      <c r="BN44" s="22">
        <f>Emissions!BP88</f>
        <v>6.5596714127254918</v>
      </c>
    </row>
    <row r="45" spans="1:66" x14ac:dyDescent="0.2">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6.0531159936458012</v>
      </c>
      <c r="AD45" s="22">
        <f>Emissions!AF89+SUM(Emissions!AF91:AF106)</f>
        <v>6.0879780513059973</v>
      </c>
      <c r="AE45" s="22">
        <f>Emissions!AG89+SUM(Emissions!AG91:AG106)</f>
        <v>6.0713021029410523</v>
      </c>
      <c r="AF45" s="22">
        <f>Emissions!AH89+SUM(Emissions!AH91:AH106)</f>
        <v>6.0227924876945922</v>
      </c>
      <c r="AG45" s="22">
        <f>Emissions!AI89+SUM(Emissions!AI91:AI106)</f>
        <v>5.9435526503046594</v>
      </c>
      <c r="AH45" s="22">
        <f>Emissions!AJ89+SUM(Emissions!AJ91:AJ106)</f>
        <v>5.8924508429088132</v>
      </c>
      <c r="AI45" s="22">
        <f>Emissions!AK89+SUM(Emissions!AK91:AK106)</f>
        <v>5.8469995385277027</v>
      </c>
      <c r="AJ45" s="22">
        <f>Emissions!AL89+SUM(Emissions!AL91:AL106)</f>
        <v>5.3342931181830346</v>
      </c>
      <c r="AK45" s="22">
        <f>Emissions!AM89+SUM(Emissions!AM91:AM106)</f>
        <v>5.4490893392799196</v>
      </c>
      <c r="AL45" s="22">
        <f>Emissions!AN89+SUM(Emissions!AN91:AN106)</f>
        <v>5.5247602941361853</v>
      </c>
      <c r="AM45" s="22">
        <f>Emissions!AO89+SUM(Emissions!AO91:AO106)</f>
        <v>5.5907118093718342</v>
      </c>
      <c r="AN45" s="22">
        <f>Emissions!AP89+SUM(Emissions!AP91:AP106)</f>
        <v>5.6739647205635286</v>
      </c>
      <c r="AO45" s="22">
        <f>Emissions!AQ89+SUM(Emissions!AQ91:AQ106)</f>
        <v>5.7484339788254388</v>
      </c>
      <c r="AP45" s="22">
        <f>Emissions!AR89+SUM(Emissions!AR91:AR106)</f>
        <v>5.8083988451646995</v>
      </c>
      <c r="AQ45" s="22">
        <f>Emissions!AS89+SUM(Emissions!AS91:AS106)</f>
        <v>5.8630486379630122</v>
      </c>
      <c r="AR45" s="22">
        <f>Emissions!AT89+SUM(Emissions!AT91:AT106)</f>
        <v>5.9101655833783067</v>
      </c>
      <c r="AS45" s="22">
        <f>Emissions!AU89+SUM(Emissions!AU91:AU106)</f>
        <v>5.9850693640944588</v>
      </c>
      <c r="AT45" s="22">
        <f>Emissions!AV89+SUM(Emissions!AV91:AV106)</f>
        <v>6.0570129949240012</v>
      </c>
      <c r="AU45" s="22">
        <f>Emissions!AW89+SUM(Emissions!AW91:AW106)</f>
        <v>6.1184442042657619</v>
      </c>
      <c r="AV45" s="22">
        <f>Emissions!AX89+SUM(Emissions!AX91:AX106)</f>
        <v>6.2054240070035682</v>
      </c>
      <c r="AW45" s="22">
        <f>Emissions!AY89+SUM(Emissions!AY91:AY106)</f>
        <v>6.303501792027169</v>
      </c>
      <c r="AX45" s="22">
        <f>Emissions!AZ89+SUM(Emissions!AZ91:AZ106)</f>
        <v>6.4280664717170346</v>
      </c>
      <c r="AY45" s="22">
        <f>Emissions!BA89+SUM(Emissions!BA91:BA106)</f>
        <v>6.5075391197629244</v>
      </c>
      <c r="AZ45" s="22">
        <f>Emissions!BB89+SUM(Emissions!BB91:BB106)</f>
        <v>6.5792999756813577</v>
      </c>
      <c r="BA45" s="22">
        <f>Emissions!BC89+SUM(Emissions!BC91:BC106)</f>
        <v>6.6636275112427628</v>
      </c>
      <c r="BB45" s="22">
        <f>Emissions!BD89+SUM(Emissions!BD91:BD106)</f>
        <v>6.7406074085088381</v>
      </c>
      <c r="BC45" s="22">
        <f>Emissions!BE89+SUM(Emissions!BE91:BE106)</f>
        <v>6.8236235472537965</v>
      </c>
      <c r="BD45" s="22">
        <f>Emissions!BF89+SUM(Emissions!BF91:BF106)</f>
        <v>6.9057752969120934</v>
      </c>
      <c r="BE45" s="22">
        <f>Emissions!BG89+SUM(Emissions!BG91:BG106)</f>
        <v>7.0198176746410397</v>
      </c>
      <c r="BF45" s="22">
        <f>Emissions!BH89+SUM(Emissions!BH91:BH106)</f>
        <v>7.1250594529401781</v>
      </c>
      <c r="BG45" s="22">
        <f>Emissions!BI89+SUM(Emissions!BI91:BI106)</f>
        <v>7.2314837565421168</v>
      </c>
      <c r="BH45" s="22">
        <f>Emissions!BJ89+SUM(Emissions!BJ91:BJ106)</f>
        <v>7.3415891452974762</v>
      </c>
      <c r="BI45" s="22">
        <f>Emissions!BK89+SUM(Emissions!BK91:BK106)</f>
        <v>7.4562540931071384</v>
      </c>
      <c r="BJ45" s="22">
        <f>Emissions!BL89+SUM(Emissions!BL91:BL106)</f>
        <v>7.5936509644679386</v>
      </c>
      <c r="BK45" s="22">
        <f>Emissions!BM89+SUM(Emissions!BM91:BM106)</f>
        <v>7.6658136224252846</v>
      </c>
      <c r="BL45" s="22">
        <f>Emissions!BN89+SUM(Emissions!BN91:BN106)</f>
        <v>7.7328779749972645</v>
      </c>
      <c r="BM45" s="22">
        <f>Emissions!BO89+SUM(Emissions!BO91:BO106)</f>
        <v>7.8016527680663019</v>
      </c>
      <c r="BN45" s="22">
        <f>Emissions!BP89+SUM(Emissions!BP91:BP106)</f>
        <v>7.8692855898162524</v>
      </c>
    </row>
    <row r="46" spans="1:66" x14ac:dyDescent="0.2">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2.968676648093143</v>
      </c>
      <c r="AL46" s="22">
        <f>Emissions!AN90</f>
        <v>2.9825082583829583</v>
      </c>
      <c r="AM46" s="22">
        <f>Emissions!AO90</f>
        <v>2.9933346622173946</v>
      </c>
      <c r="AN46" s="22">
        <f>Emissions!AP90</f>
        <v>3.0033565813928953</v>
      </c>
      <c r="AO46" s="22">
        <f>Emissions!AQ90</f>
        <v>3.0145589479472883</v>
      </c>
      <c r="AP46" s="22">
        <f>Emissions!AR90</f>
        <v>3.0250336120057435</v>
      </c>
      <c r="AQ46" s="22">
        <f>Emissions!AS90</f>
        <v>3.0343616658849326</v>
      </c>
      <c r="AR46" s="22">
        <f>Emissions!AT90</f>
        <v>3.0432376902631781</v>
      </c>
      <c r="AS46" s="22">
        <f>Emissions!AU90</f>
        <v>3.0515077861767024</v>
      </c>
      <c r="AT46" s="22">
        <f>Emissions!AV90</f>
        <v>3.0617139574874526</v>
      </c>
      <c r="AU46" s="22">
        <f>Emissions!AW90</f>
        <v>3.0716388969147959</v>
      </c>
      <c r="AV46" s="22">
        <f>Emissions!AX90</f>
        <v>3.0822275993217993</v>
      </c>
      <c r="AW46" s="22">
        <f>Emissions!AY90</f>
        <v>3.0946028925022198</v>
      </c>
      <c r="AX46" s="22">
        <f>Emissions!AZ90</f>
        <v>3.1077211921821801</v>
      </c>
      <c r="AY46" s="22">
        <f>Emissions!BA90</f>
        <v>3.122637390743785</v>
      </c>
      <c r="AZ46" s="22">
        <f>Emissions!BB90</f>
        <v>3.1343652344778912</v>
      </c>
      <c r="BA46" s="22">
        <f>Emissions!BC90</f>
        <v>3.1455242459932262</v>
      </c>
      <c r="BB46" s="22">
        <f>Emissions!BD90</f>
        <v>3.1575220431438074</v>
      </c>
      <c r="BC46" s="22">
        <f>Emissions!BE90</f>
        <v>3.1689887533313184</v>
      </c>
      <c r="BD46" s="22">
        <f>Emissions!BF90</f>
        <v>3.1808403476591942</v>
      </c>
      <c r="BE46" s="22">
        <f>Emissions!BG90</f>
        <v>3.1926055806550666</v>
      </c>
      <c r="BF46" s="22">
        <f>Emissions!BH90</f>
        <v>3.2056121325538434</v>
      </c>
      <c r="BG46" s="22">
        <f>Emissions!BI90</f>
        <v>3.217957374677253</v>
      </c>
      <c r="BH46" s="22">
        <f>Emissions!BJ90</f>
        <v>3.2303127307358399</v>
      </c>
      <c r="BI46" s="22">
        <f>Emissions!BK90</f>
        <v>3.24283947192085</v>
      </c>
      <c r="BJ46" s="22">
        <f>Emissions!BL90</f>
        <v>3.2555884300766866</v>
      </c>
      <c r="BK46" s="22">
        <f>Emissions!BM90</f>
        <v>3.2697040591705311</v>
      </c>
      <c r="BL46" s="22">
        <f>Emissions!BN90</f>
        <v>3.2796038117645905</v>
      </c>
      <c r="BM46" s="22">
        <f>Emissions!BO90</f>
        <v>3.2891490637080194</v>
      </c>
      <c r="BN46" s="22">
        <f>Emissions!BP90</f>
        <v>3.2987716931142437</v>
      </c>
    </row>
    <row r="47" spans="1:66" x14ac:dyDescent="0.2">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35.397528140833245</v>
      </c>
      <c r="AC47" s="22">
        <f>SUM(Emissions!AE107:AE122)</f>
        <v>35.200133147246405</v>
      </c>
      <c r="AD47" s="22">
        <f>SUM(Emissions!AF107:AF122)</f>
        <v>35.148510767293082</v>
      </c>
      <c r="AE47" s="22">
        <f>SUM(Emissions!AG107:AG122)</f>
        <v>34.84870552267401</v>
      </c>
      <c r="AF47" s="22">
        <f>SUM(Emissions!AH107:AH122)</f>
        <v>34.40144689834716</v>
      </c>
      <c r="AG47" s="22">
        <f>SUM(Emissions!AI107:AI122)</f>
        <v>33.816363392780282</v>
      </c>
      <c r="AH47" s="22">
        <f>SUM(Emissions!AJ107:AJ122)</f>
        <v>33.369259985013684</v>
      </c>
      <c r="AI47" s="22">
        <f>SUM(Emissions!AK107:AK122)</f>
        <v>32.952568766590424</v>
      </c>
      <c r="AJ47" s="22">
        <f>SUM(Emissions!AL107:AL122)</f>
        <v>30.41401381575114</v>
      </c>
      <c r="AK47" s="22">
        <f>SUM(Emissions!AM107:AM122)</f>
        <v>30.832332180011957</v>
      </c>
      <c r="AL47" s="22">
        <f>SUM(Emissions!AN107:AN122)</f>
        <v>31.070621277995464</v>
      </c>
      <c r="AM47" s="22">
        <f>SUM(Emissions!AO107:AO122)</f>
        <v>31.26311799519603</v>
      </c>
      <c r="AN47" s="22">
        <f>SUM(Emissions!AP107:AP122)</f>
        <v>31.530471846892823</v>
      </c>
      <c r="AO47" s="22">
        <f>SUM(Emissions!AQ107:AQ122)</f>
        <v>31.756057037616507</v>
      </c>
      <c r="AP47" s="22">
        <f>SUM(Emissions!AR107:AR122)</f>
        <v>31.904573131624886</v>
      </c>
      <c r="AQ47" s="22">
        <f>SUM(Emissions!AS107:AS122)</f>
        <v>32.027894494035564</v>
      </c>
      <c r="AR47" s="22">
        <f>SUM(Emissions!AT107:AT122)</f>
        <v>32.116753863247446</v>
      </c>
      <c r="AS47" s="22">
        <f>SUM(Emissions!AU107:AU122)</f>
        <v>32.323715557490452</v>
      </c>
      <c r="AT47" s="22">
        <f>SUM(Emissions!AV107:AV122)</f>
        <v>32.514928547959315</v>
      </c>
      <c r="AU47" s="22">
        <f>SUM(Emissions!AW107:AW122)</f>
        <v>32.556215873921445</v>
      </c>
      <c r="AV47" s="22">
        <f>SUM(Emissions!AX107:AX122)</f>
        <v>32.697436493041856</v>
      </c>
      <c r="AW47" s="22">
        <f>SUM(Emissions!AY107:AY122)</f>
        <v>32.875056811347534</v>
      </c>
      <c r="AX47" s="22">
        <f>SUM(Emissions!AZ107:AZ122)</f>
        <v>33.150351969666531</v>
      </c>
      <c r="AY47" s="22">
        <f>SUM(Emissions!BA107:BA122)</f>
        <v>33.229527672464485</v>
      </c>
      <c r="AZ47" s="22">
        <f>SUM(Emissions!BB107:BB122)</f>
        <v>33.260161098629162</v>
      </c>
      <c r="BA47" s="22">
        <f>SUM(Emissions!BC107:BC122)</f>
        <v>33.331409050254159</v>
      </c>
      <c r="BB47" s="22">
        <f>SUM(Emissions!BD107:BD122)</f>
        <v>33.363456960587378</v>
      </c>
      <c r="BC47" s="22">
        <f>SUM(Emissions!BE107:BE122)</f>
        <v>33.408780862367564</v>
      </c>
      <c r="BD47" s="22">
        <f>SUM(Emissions!BF107:BF122)</f>
        <v>33.439991744267616</v>
      </c>
      <c r="BE47" s="22">
        <f>SUM(Emissions!BG107:BG122)</f>
        <v>33.637107729925006</v>
      </c>
      <c r="BF47" s="22">
        <f>SUM(Emissions!BH107:BH122)</f>
        <v>33.791209357428201</v>
      </c>
      <c r="BG47" s="22">
        <f>SUM(Emissions!BI107:BI122)</f>
        <v>33.940030118024687</v>
      </c>
      <c r="BH47" s="22">
        <f>SUM(Emissions!BJ107:BJ122)</f>
        <v>34.092404362749789</v>
      </c>
      <c r="BI47" s="22">
        <f>SUM(Emissions!BK107:BK122)</f>
        <v>34.250909979602689</v>
      </c>
      <c r="BJ47" s="22">
        <f>SUM(Emissions!BL107:BL122)</f>
        <v>34.472135206312593</v>
      </c>
      <c r="BK47" s="22">
        <f>SUM(Emissions!BM107:BM122)</f>
        <v>34.450390934903275</v>
      </c>
      <c r="BL47" s="22">
        <f>SUM(Emissions!BN107:BN122)</f>
        <v>34.403201755127149</v>
      </c>
      <c r="BM47" s="22">
        <f>SUM(Emissions!BO107:BO122)</f>
        <v>34.354549359786219</v>
      </c>
      <c r="BN47" s="22">
        <f>SUM(Emissions!BP107:BP122)</f>
        <v>34.294403829492907</v>
      </c>
    </row>
    <row r="48" spans="1:66" x14ac:dyDescent="0.2">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6" x14ac:dyDescent="0.2">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6.5718769479322932</v>
      </c>
      <c r="AF49" s="41">
        <f t="shared" si="33"/>
        <v>6.5185214490709154</v>
      </c>
      <c r="AG49" s="41">
        <f t="shared" si="33"/>
        <v>6.4445703159865921</v>
      </c>
      <c r="AH49" s="41">
        <f t="shared" si="33"/>
        <v>6.3913491075327142</v>
      </c>
      <c r="AI49" s="41">
        <f t="shared" si="33"/>
        <v>6.3428476696520812</v>
      </c>
      <c r="AJ49" s="41">
        <f t="shared" si="33"/>
        <v>5.9713553481364752</v>
      </c>
      <c r="AK49" s="41">
        <f t="shared" si="33"/>
        <v>6.0413557157602291</v>
      </c>
      <c r="AL49" s="41">
        <f t="shared" si="33"/>
        <v>6.0851823234044717</v>
      </c>
      <c r="AM49" s="41">
        <f t="shared" si="33"/>
        <v>6.1222603856171851</v>
      </c>
      <c r="AN49" s="41">
        <f t="shared" si="33"/>
        <v>6.1711151666202877</v>
      </c>
      <c r="AO49" s="41">
        <f t="shared" si="33"/>
        <v>6.2139126840377035</v>
      </c>
      <c r="AP49" s="41">
        <f t="shared" si="33"/>
        <v>6.2446705230167616</v>
      </c>
      <c r="AQ49" s="41">
        <f t="shared" si="33"/>
        <v>6.2717764121121995</v>
      </c>
      <c r="AR49" s="41">
        <f t="shared" si="33"/>
        <v>6.2937826998697419</v>
      </c>
      <c r="AS49" s="41">
        <f t="shared" si="33"/>
        <v>6.3343373133060359</v>
      </c>
      <c r="AT49" s="41">
        <f t="shared" si="33"/>
        <v>6.3727890041399275</v>
      </c>
      <c r="AU49" s="41">
        <f t="shared" si="33"/>
        <v>6.3931053713100434</v>
      </c>
      <c r="AV49" s="41">
        <f t="shared" si="33"/>
        <v>6.4296291763996711</v>
      </c>
      <c r="AW49" s="41">
        <f t="shared" si="33"/>
        <v>6.4725889732212476</v>
      </c>
      <c r="AX49" s="41">
        <f t="shared" si="33"/>
        <v>6.531749520628229</v>
      </c>
      <c r="AY49" s="41">
        <f t="shared" si="33"/>
        <v>6.5607125818960323</v>
      </c>
      <c r="AZ49" s="41">
        <f t="shared" si="33"/>
        <v>6.5822358133848882</v>
      </c>
      <c r="BA49" s="41">
        <f t="shared" si="33"/>
        <v>6.6108962160939511</v>
      </c>
      <c r="BB49" s="41">
        <f t="shared" si="33"/>
        <v>6.633997369237667</v>
      </c>
      <c r="BC49" s="41">
        <f t="shared" si="33"/>
        <v>6.659941806070699</v>
      </c>
      <c r="BD49" s="41">
        <f t="shared" si="33"/>
        <v>6.684363866247657</v>
      </c>
      <c r="BE49" s="41">
        <f t="shared" si="33"/>
        <v>6.7322793505222096</v>
      </c>
      <c r="BF49" s="41">
        <f t="shared" si="33"/>
        <v>6.7739002680859954</v>
      </c>
      <c r="BG49" s="41">
        <f t="shared" si="33"/>
        <v>6.8153353966346977</v>
      </c>
      <c r="BH49" s="41">
        <f t="shared" si="33"/>
        <v>6.858075549366232</v>
      </c>
      <c r="BI49" s="41">
        <f t="shared" si="33"/>
        <v>6.902589401541257</v>
      </c>
      <c r="BJ49" s="41">
        <f t="shared" si="33"/>
        <v>6.9581346957931993</v>
      </c>
      <c r="BK49" s="41">
        <f t="shared" si="33"/>
        <v>6.9739257860434583</v>
      </c>
      <c r="BL49" s="41">
        <f t="shared" si="33"/>
        <v>6.9859278045190383</v>
      </c>
      <c r="BM49" s="41">
        <f t="shared" si="33"/>
        <v>6.9982418966776585</v>
      </c>
      <c r="BN49" s="41">
        <f t="shared" si="33"/>
        <v>7.0091923821903031</v>
      </c>
    </row>
    <row r="50" spans="1:72" x14ac:dyDescent="0.2">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6.2219605366729409</v>
      </c>
      <c r="AF50" s="22">
        <f>SUM(Emissions!AH135:AH138)</f>
        <v>6.1699888782464072</v>
      </c>
      <c r="AG50" s="22">
        <f>SUM(Emissions!AI135:AI138)</f>
        <v>6.0985599508144936</v>
      </c>
      <c r="AH50" s="22">
        <f>SUM(Emissions!AJ135:AJ138)</f>
        <v>6.0469682343875704</v>
      </c>
      <c r="AI50" s="22">
        <f>SUM(Emissions!AK135:AK138)</f>
        <v>5.9998429802554343</v>
      </c>
      <c r="AJ50" s="22">
        <f>SUM(Emissions!AL135:AL138)</f>
        <v>5.6458394370829543</v>
      </c>
      <c r="AK50" s="22">
        <f>SUM(Emissions!AM135:AM138)</f>
        <v>5.7128535873823534</v>
      </c>
      <c r="AL50" s="22">
        <f>SUM(Emissions!AN135:AN138)</f>
        <v>5.7535529499843054</v>
      </c>
      <c r="AM50" s="22">
        <f>SUM(Emissions!AO135:AO138)</f>
        <v>5.7879428451236512</v>
      </c>
      <c r="AN50" s="22">
        <f>SUM(Emissions!AP135:AP138)</f>
        <v>5.8335403364081495</v>
      </c>
      <c r="AO50" s="22">
        <f>SUM(Emissions!AQ135:AQ138)</f>
        <v>5.873342844185979</v>
      </c>
      <c r="AP50" s="22">
        <f>SUM(Emissions!AR135:AR138)</f>
        <v>5.9016311995927202</v>
      </c>
      <c r="AQ50" s="22">
        <f>SUM(Emissions!AS135:AS138)</f>
        <v>5.9264905628420461</v>
      </c>
      <c r="AR50" s="22">
        <f>SUM(Emissions!AT135:AT138)</f>
        <v>5.9465258146901405</v>
      </c>
      <c r="AS50" s="22">
        <f>SUM(Emissions!AU135:AU138)</f>
        <v>5.9841716665933253</v>
      </c>
      <c r="AT50" s="22">
        <f>SUM(Emissions!AV135:AV138)</f>
        <v>6.0197498764198469</v>
      </c>
      <c r="AU50" s="22">
        <f>SUM(Emissions!AW135:AW138)</f>
        <v>6.0375651508932489</v>
      </c>
      <c r="AV50" s="22">
        <f>SUM(Emissions!AX135:AX138)</f>
        <v>6.0706835198340947</v>
      </c>
      <c r="AW50" s="22">
        <f>SUM(Emissions!AY135:AY138)</f>
        <v>6.1097933165561171</v>
      </c>
      <c r="AX50" s="22">
        <f>SUM(Emissions!AZ135:AZ138)</f>
        <v>6.1641644130679136</v>
      </c>
      <c r="AY50" s="22">
        <f>SUM(Emissions!BA135:BA138)</f>
        <v>6.189831624548308</v>
      </c>
      <c r="AZ50" s="22">
        <f>SUM(Emissions!BB135:BB138)</f>
        <v>6.208435143733066</v>
      </c>
      <c r="BA50" s="22">
        <f>SUM(Emissions!BC135:BC138)</f>
        <v>6.2337619231052077</v>
      </c>
      <c r="BB50" s="22">
        <f>SUM(Emissions!BD135:BD138)</f>
        <v>6.2537539866476424</v>
      </c>
      <c r="BC50" s="22">
        <f>SUM(Emissions!BE135:BE138)</f>
        <v>6.2763994197762614</v>
      </c>
      <c r="BD50" s="22">
        <f>SUM(Emissions!BF135:BF138)</f>
        <v>6.2975390092208761</v>
      </c>
      <c r="BE50" s="22">
        <f>SUM(Emissions!BG135:BG138)</f>
        <v>6.3410747777928904</v>
      </c>
      <c r="BF50" s="22">
        <f>SUM(Emissions!BH135:BH138)</f>
        <v>6.3785767427464055</v>
      </c>
      <c r="BG50" s="22">
        <f>SUM(Emissions!BI135:BI138)</f>
        <v>6.4158749538428346</v>
      </c>
      <c r="BH50" s="22">
        <f>SUM(Emissions!BJ135:BJ138)</f>
        <v>6.4543508424921123</v>
      </c>
      <c r="BI50" s="22">
        <f>SUM(Emissions!BK135:BK138)</f>
        <v>6.4944372085806421</v>
      </c>
      <c r="BJ50" s="22">
        <f>SUM(Emissions!BL135:BL138)</f>
        <v>6.5447630931541632</v>
      </c>
      <c r="BK50" s="22">
        <f>SUM(Emissions!BM135:BM138)</f>
        <v>6.557538168615018</v>
      </c>
      <c r="BL50" s="22">
        <f>SUM(Emissions!BN135:BN138)</f>
        <v>6.5668456205492252</v>
      </c>
      <c r="BM50" s="22">
        <f>SUM(Emissions!BO135:BO138)</f>
        <v>6.5764183754049892</v>
      </c>
      <c r="BN50" s="22">
        <f>SUM(Emissions!BP135:BP138)</f>
        <v>6.5846642501027475</v>
      </c>
    </row>
    <row r="51" spans="1:72" x14ac:dyDescent="0.2">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0.34852931696715733</v>
      </c>
      <c r="AD51" s="22">
        <f>SUM(Emissions!AF139:AF154)</f>
        <v>0.35008158455819982</v>
      </c>
      <c r="AE51" s="22">
        <f>SUM(Emissions!AG139:AG154)</f>
        <v>0.34991641125935213</v>
      </c>
      <c r="AF51" s="22">
        <f>SUM(Emissions!AH139:AH154)</f>
        <v>0.34853257082450828</v>
      </c>
      <c r="AG51" s="22">
        <f>SUM(Emissions!AI139:AI154)</f>
        <v>0.34601036517209849</v>
      </c>
      <c r="AH51" s="22">
        <f>SUM(Emissions!AJ139:AJ154)</f>
        <v>0.34438087314514421</v>
      </c>
      <c r="AI51" s="22">
        <f>SUM(Emissions!AK139:AK154)</f>
        <v>0.34300468939664713</v>
      </c>
      <c r="AJ51" s="22">
        <f>SUM(Emissions!AL139:AL154)</f>
        <v>0.32551591105352079</v>
      </c>
      <c r="AK51" s="22">
        <f>SUM(Emissions!AM139:AM154)</f>
        <v>0.32850212837787529</v>
      </c>
      <c r="AL51" s="22">
        <f>SUM(Emissions!AN139:AN154)</f>
        <v>0.33162937342016602</v>
      </c>
      <c r="AM51" s="22">
        <f>SUM(Emissions!AO139:AO154)</f>
        <v>0.33431754049353352</v>
      </c>
      <c r="AN51" s="22">
        <f>SUM(Emissions!AP139:AP154)</f>
        <v>0.33757483021213786</v>
      </c>
      <c r="AO51" s="22">
        <f>SUM(Emissions!AQ139:AQ154)</f>
        <v>0.3405698398517249</v>
      </c>
      <c r="AP51" s="22">
        <f>SUM(Emissions!AR139:AR154)</f>
        <v>0.34303932342404109</v>
      </c>
      <c r="AQ51" s="22">
        <f>SUM(Emissions!AS139:AS154)</f>
        <v>0.34528584927015338</v>
      </c>
      <c r="AR51" s="22">
        <f>SUM(Emissions!AT139:AT154)</f>
        <v>0.34725688517960135</v>
      </c>
      <c r="AS51" s="22">
        <f>SUM(Emissions!AU139:AU154)</f>
        <v>0.35016564671271094</v>
      </c>
      <c r="AT51" s="22">
        <f>SUM(Emissions!AV139:AV154)</f>
        <v>0.35303912772008073</v>
      </c>
      <c r="AU51" s="22">
        <f>SUM(Emissions!AW139:AW154)</f>
        <v>0.35554022041679484</v>
      </c>
      <c r="AV51" s="22">
        <f>SUM(Emissions!AX139:AX154)</f>
        <v>0.35894565656557648</v>
      </c>
      <c r="AW51" s="22">
        <f>SUM(Emissions!AY139:AY154)</f>
        <v>0.36279565666513031</v>
      </c>
      <c r="AX51" s="22">
        <f>SUM(Emissions!AZ139:AZ154)</f>
        <v>0.36758510756031559</v>
      </c>
      <c r="AY51" s="22">
        <f>SUM(Emissions!BA139:BA154)</f>
        <v>0.37088095734772442</v>
      </c>
      <c r="AZ51" s="22">
        <f>SUM(Emissions!BB139:BB154)</f>
        <v>0.3738006696518224</v>
      </c>
      <c r="BA51" s="22">
        <f>SUM(Emissions!BC139:BC154)</f>
        <v>0.37713429298874313</v>
      </c>
      <c r="BB51" s="22">
        <f>SUM(Emissions!BD139:BD154)</f>
        <v>0.38024338259002438</v>
      </c>
      <c r="BC51" s="22">
        <f>SUM(Emissions!BE139:BE154)</f>
        <v>0.38354238629443721</v>
      </c>
      <c r="BD51" s="22">
        <f>SUM(Emissions!BF139:BF154)</f>
        <v>0.38682485702678104</v>
      </c>
      <c r="BE51" s="22">
        <f>SUM(Emissions!BG139:BG154)</f>
        <v>0.39120457272931947</v>
      </c>
      <c r="BF51" s="22">
        <f>SUM(Emissions!BH139:BH154)</f>
        <v>0.39532352533959014</v>
      </c>
      <c r="BG51" s="22">
        <f>SUM(Emissions!BI139:BI154)</f>
        <v>0.39946044279186266</v>
      </c>
      <c r="BH51" s="22">
        <f>SUM(Emissions!BJ139:BJ154)</f>
        <v>0.40372470687411938</v>
      </c>
      <c r="BI51" s="22">
        <f>SUM(Emissions!BK139:BK154)</f>
        <v>0.40815219296061522</v>
      </c>
      <c r="BJ51" s="22">
        <f>SUM(Emissions!BL139:BL154)</f>
        <v>0.41337160263903638</v>
      </c>
      <c r="BK51" s="22">
        <f>SUM(Emissions!BM139:BM154)</f>
        <v>0.4163876174284401</v>
      </c>
      <c r="BL51" s="22">
        <f>SUM(Emissions!BN139:BN154)</f>
        <v>0.41908218396981312</v>
      </c>
      <c r="BM51" s="22">
        <f>SUM(Emissions!BO139:BO154)</f>
        <v>0.42182352127266964</v>
      </c>
      <c r="BN51" s="22">
        <f>SUM(Emissions!BP139:BP154)</f>
        <v>0.42452813208755552</v>
      </c>
    </row>
    <row r="52" spans="1:72" s="19" customFormat="1" ht="16" x14ac:dyDescent="0.2">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1.5114628716679741</v>
      </c>
      <c r="AD52" s="41">
        <f t="shared" si="38"/>
        <v>1.5337636748745853</v>
      </c>
      <c r="AE52" s="41">
        <f t="shared" si="38"/>
        <v>1.5436359301289113</v>
      </c>
      <c r="AF52" s="41">
        <f t="shared" si="38"/>
        <v>1.5455830647924342</v>
      </c>
      <c r="AG52" s="41">
        <f t="shared" si="38"/>
        <v>1.5396059638680233</v>
      </c>
      <c r="AH52" s="41">
        <f t="shared" si="38"/>
        <v>1.5406069398014894</v>
      </c>
      <c r="AI52" s="41">
        <f t="shared" si="38"/>
        <v>1.5429841908916506</v>
      </c>
      <c r="AJ52" s="41">
        <f t="shared" si="38"/>
        <v>1.422252842344089</v>
      </c>
      <c r="AK52" s="41">
        <f t="shared" si="38"/>
        <v>1.4588849590689708</v>
      </c>
      <c r="AL52" s="41">
        <f t="shared" si="38"/>
        <v>1.4854626242378632</v>
      </c>
      <c r="AM52" s="41">
        <f t="shared" si="38"/>
        <v>1.509675320078407</v>
      </c>
      <c r="AN52" s="41">
        <f t="shared" si="38"/>
        <v>1.5387628062554422</v>
      </c>
      <c r="AO52" s="41">
        <f t="shared" si="38"/>
        <v>1.565736328532455</v>
      </c>
      <c r="AP52" s="41">
        <f t="shared" si="38"/>
        <v>1.5891598220769458</v>
      </c>
      <c r="AQ52" s="41">
        <f t="shared" si="38"/>
        <v>1.6113229451110653</v>
      </c>
      <c r="AR52" s="41">
        <f t="shared" si="38"/>
        <v>1.6315913559873314</v>
      </c>
      <c r="AS52" s="41">
        <f t="shared" si="38"/>
        <v>1.6597239657494496</v>
      </c>
      <c r="AT52" s="41">
        <f t="shared" si="38"/>
        <v>1.6872797653049201</v>
      </c>
      <c r="AU52" s="41">
        <f t="shared" si="38"/>
        <v>1.7182891202340624</v>
      </c>
      <c r="AV52" s="41">
        <f t="shared" si="38"/>
        <v>1.7570513303797819</v>
      </c>
      <c r="AW52" s="41">
        <f t="shared" si="38"/>
        <v>1.7996392480202794</v>
      </c>
      <c r="AX52" s="41">
        <f t="shared" si="38"/>
        <v>1.8506148656755534</v>
      </c>
      <c r="AY52" s="41">
        <f t="shared" si="38"/>
        <v>1.8892745283769461</v>
      </c>
      <c r="AZ52" s="41">
        <f t="shared" si="38"/>
        <v>1.9264070271452056</v>
      </c>
      <c r="BA52" s="41">
        <f t="shared" si="38"/>
        <v>1.9678882723558593</v>
      </c>
      <c r="BB52" s="41">
        <f t="shared" si="38"/>
        <v>2.007841656625744</v>
      </c>
      <c r="BC52" s="41">
        <f t="shared" si="38"/>
        <v>2.0502843131171447</v>
      </c>
      <c r="BD52" s="41">
        <f t="shared" si="38"/>
        <v>2.0931631548274026</v>
      </c>
      <c r="BE52" s="41">
        <f t="shared" si="38"/>
        <v>2.1426123825045189</v>
      </c>
      <c r="BF52" s="41">
        <f t="shared" si="38"/>
        <v>2.189966347270238</v>
      </c>
      <c r="BG52" s="41">
        <f t="shared" si="38"/>
        <v>2.2383059061006976</v>
      </c>
      <c r="BH52" s="41">
        <f t="shared" si="38"/>
        <v>2.2884382503151128</v>
      </c>
      <c r="BI52" s="41">
        <f t="shared" si="38"/>
        <v>2.3406780605967947</v>
      </c>
      <c r="BJ52" s="41">
        <f t="shared" si="38"/>
        <v>2.4010156527283106</v>
      </c>
      <c r="BK52" s="41">
        <f t="shared" si="38"/>
        <v>2.4410291892958855</v>
      </c>
      <c r="BL52" s="41">
        <f t="shared" si="38"/>
        <v>2.4798678900485709</v>
      </c>
      <c r="BM52" s="41">
        <f t="shared" si="38"/>
        <v>2.5197398799081352</v>
      </c>
      <c r="BN52" s="41">
        <f t="shared" si="38"/>
        <v>2.5597188980550643</v>
      </c>
    </row>
    <row r="53" spans="1:72" x14ac:dyDescent="0.2">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1.1381916980106412</v>
      </c>
      <c r="AD53" s="22">
        <f>SUM(Emissions!AF156:AF171)</f>
        <v>1.1560242056612529</v>
      </c>
      <c r="AE53" s="22">
        <f>SUM(Emissions!AG156:AG171)</f>
        <v>1.1644338155648368</v>
      </c>
      <c r="AF53" s="22">
        <f>SUM(Emissions!AH156:AH171)</f>
        <v>1.1668147538350468</v>
      </c>
      <c r="AG53" s="22">
        <f>SUM(Emissions!AI156:AI171)</f>
        <v>1.1631491557292368</v>
      </c>
      <c r="AH53" s="22">
        <f>SUM(Emissions!AJ156:AJ171)</f>
        <v>1.164779548726063</v>
      </c>
      <c r="AI53" s="22">
        <f>SUM(Emissions!AK156:AK171)</f>
        <v>1.1674495942945493</v>
      </c>
      <c r="AJ53" s="22">
        <f>SUM(Emissions!AL156:AL171)</f>
        <v>1.0761236171422923</v>
      </c>
      <c r="AK53" s="22">
        <f>SUM(Emissions!AM156:AM171)</f>
        <v>1.104453608963246</v>
      </c>
      <c r="AL53" s="22">
        <f>SUM(Emissions!AN156:AN171)</f>
        <v>1.1251195902914528</v>
      </c>
      <c r="AM53" s="22">
        <f>SUM(Emissions!AO156:AO171)</f>
        <v>1.1439896311238014</v>
      </c>
      <c r="AN53" s="22">
        <f>SUM(Emissions!AP156:AP171)</f>
        <v>1.1665988130261182</v>
      </c>
      <c r="AO53" s="22">
        <f>SUM(Emissions!AQ156:AQ171)</f>
        <v>1.1876041820930889</v>
      </c>
      <c r="AP53" s="22">
        <f>SUM(Emissions!AR156:AR171)</f>
        <v>1.2059319387903964</v>
      </c>
      <c r="AQ53" s="22">
        <f>SUM(Emissions!AS156:AS171)</f>
        <v>1.2233042096089204</v>
      </c>
      <c r="AR53" s="22">
        <f>SUM(Emissions!AT156:AT171)</f>
        <v>1.239233655394562</v>
      </c>
      <c r="AS53" s="22">
        <f>SUM(Emissions!AU156:AU171)</f>
        <v>1.2611993677695867</v>
      </c>
      <c r="AT53" s="22">
        <f>SUM(Emissions!AV156:AV171)</f>
        <v>1.282735625650627</v>
      </c>
      <c r="AU53" s="22">
        <f>SUM(Emissions!AW156:AW171)</f>
        <v>1.3073372642627858</v>
      </c>
      <c r="AV53" s="22">
        <f>SUM(Emissions!AX156:AX171)</f>
        <v>1.3379213523083164</v>
      </c>
      <c r="AW53" s="22">
        <f>SUM(Emissions!AY156:AY171)</f>
        <v>1.3714823514047674</v>
      </c>
      <c r="AX53" s="22">
        <f>SUM(Emissions!AZ156:AZ171)</f>
        <v>1.4115354851349253</v>
      </c>
      <c r="AY53" s="22">
        <f>SUM(Emissions!BA156:BA171)</f>
        <v>1.4421574763291181</v>
      </c>
      <c r="AZ53" s="22">
        <f>SUM(Emissions!BB156:BB171)</f>
        <v>1.4716580590618142</v>
      </c>
      <c r="BA53" s="22">
        <f>SUM(Emissions!BC156:BC171)</f>
        <v>1.5045438485723652</v>
      </c>
      <c r="BB53" s="22">
        <f>SUM(Emissions!BD156:BD171)</f>
        <v>1.5362882888215859</v>
      </c>
      <c r="BC53" s="22">
        <f>SUM(Emissions!BE156:BE171)</f>
        <v>1.5699895907859134</v>
      </c>
      <c r="BD53" s="22">
        <f>SUM(Emissions!BF156:BF171)</f>
        <v>1.6040653746778539</v>
      </c>
      <c r="BE53" s="22">
        <f>SUM(Emissions!BG156:BG171)</f>
        <v>1.6430402094947785</v>
      </c>
      <c r="BF53" s="22">
        <f>SUM(Emissions!BH156:BH171)</f>
        <v>1.6804284844666579</v>
      </c>
      <c r="BG53" s="22">
        <f>SUM(Emissions!BI156:BI171)</f>
        <v>1.7186110831357069</v>
      </c>
      <c r="BH53" s="22">
        <f>SUM(Emissions!BJ156:BJ171)</f>
        <v>1.7582137601968606</v>
      </c>
      <c r="BI53" s="22">
        <f>SUM(Emissions!BK156:BK171)</f>
        <v>1.7994820763481507</v>
      </c>
      <c r="BJ53" s="22">
        <f>SUM(Emissions!BL156:BL171)</f>
        <v>1.847078351860576</v>
      </c>
      <c r="BK53" s="22">
        <f>SUM(Emissions!BM156:BM171)</f>
        <v>1.8789571827241729</v>
      </c>
      <c r="BL53" s="22">
        <f>SUM(Emissions!BN156:BN171)</f>
        <v>1.9099489075574065</v>
      </c>
      <c r="BM53" s="22">
        <f>SUM(Emissions!BO156:BO171)</f>
        <v>1.9417656837231279</v>
      </c>
      <c r="BN53" s="22">
        <f>SUM(Emissions!BP156:BP171)</f>
        <v>1.9736892246448989</v>
      </c>
    </row>
    <row r="54" spans="1:72" x14ac:dyDescent="0.2">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v>
      </c>
      <c r="AC54" s="22">
        <f>SUM(Emissions!AE172:AE187)</f>
        <v>0.37327117365733298</v>
      </c>
      <c r="AD54" s="22">
        <f>SUM(Emissions!AF172:AF187)</f>
        <v>0.37773946921333246</v>
      </c>
      <c r="AE54" s="22">
        <f>SUM(Emissions!AG172:AG187)</f>
        <v>0.37920211456407454</v>
      </c>
      <c r="AF54" s="22">
        <f>SUM(Emissions!AH172:AH187)</f>
        <v>0.3787683109573875</v>
      </c>
      <c r="AG54" s="22">
        <f>SUM(Emissions!AI172:AI187)</f>
        <v>0.3764568081387864</v>
      </c>
      <c r="AH54" s="22">
        <f>SUM(Emissions!AJ172:AJ187)</f>
        <v>0.37582739107542651</v>
      </c>
      <c r="AI54" s="22">
        <f>SUM(Emissions!AK172:AK187)</f>
        <v>0.37553459659710137</v>
      </c>
      <c r="AJ54" s="22">
        <f>SUM(Emissions!AL172:AL187)</f>
        <v>0.34612922520179656</v>
      </c>
      <c r="AK54" s="22">
        <f>SUM(Emissions!AM172:AM187)</f>
        <v>0.35443135010572491</v>
      </c>
      <c r="AL54" s="22">
        <f>SUM(Emissions!AN172:AN187)</f>
        <v>0.36034303394641054</v>
      </c>
      <c r="AM54" s="22">
        <f>SUM(Emissions!AO172:AO187)</f>
        <v>0.36568568895460557</v>
      </c>
      <c r="AN54" s="22">
        <f>SUM(Emissions!AP172:AP187)</f>
        <v>0.37216399322932403</v>
      </c>
      <c r="AO54" s="22">
        <f>SUM(Emissions!AQ172:AQ187)</f>
        <v>0.3781321464393661</v>
      </c>
      <c r="AP54" s="22">
        <f>SUM(Emissions!AR172:AR187)</f>
        <v>0.3832278832865495</v>
      </c>
      <c r="AQ54" s="22">
        <f>SUM(Emissions!AS172:AS187)</f>
        <v>0.38801873550214505</v>
      </c>
      <c r="AR54" s="22">
        <f>SUM(Emissions!AT172:AT187)</f>
        <v>0.39235770059276953</v>
      </c>
      <c r="AS54" s="22">
        <f>SUM(Emissions!AU172:AU187)</f>
        <v>0.39852459797986278</v>
      </c>
      <c r="AT54" s="22">
        <f>SUM(Emissions!AV172:AV187)</f>
        <v>0.40454413965429309</v>
      </c>
      <c r="AU54" s="22">
        <f>SUM(Emissions!AW172:AW187)</f>
        <v>0.41095185597127659</v>
      </c>
      <c r="AV54" s="22">
        <f>SUM(Emissions!AX172:AX187)</f>
        <v>0.41912997807146557</v>
      </c>
      <c r="AW54" s="22">
        <f>SUM(Emissions!AY172:AY187)</f>
        <v>0.42815689661551209</v>
      </c>
      <c r="AX54" s="22">
        <f>SUM(Emissions!AZ172:AZ187)</f>
        <v>0.43907938054062812</v>
      </c>
      <c r="AY54" s="22">
        <f>SUM(Emissions!BA172:BA187)</f>
        <v>0.44711705204782815</v>
      </c>
      <c r="AZ54" s="22">
        <f>SUM(Emissions!BB172:BB187)</f>
        <v>0.45474896808339133</v>
      </c>
      <c r="BA54" s="22">
        <f>SUM(Emissions!BC172:BC187)</f>
        <v>0.463344423783494</v>
      </c>
      <c r="BB54" s="22">
        <f>SUM(Emissions!BD172:BD187)</f>
        <v>0.4715533678041583</v>
      </c>
      <c r="BC54" s="22">
        <f>SUM(Emissions!BE172:BE187)</f>
        <v>0.48029472233123127</v>
      </c>
      <c r="BD54" s="22">
        <f>SUM(Emissions!BF172:BF187)</f>
        <v>0.48909778014954863</v>
      </c>
      <c r="BE54" s="22">
        <f>SUM(Emissions!BG172:BG187)</f>
        <v>0.49957217300974055</v>
      </c>
      <c r="BF54" s="22">
        <f>SUM(Emissions!BH172:BH187)</f>
        <v>0.50953786280358004</v>
      </c>
      <c r="BG54" s="22">
        <f>SUM(Emissions!BI172:BI187)</f>
        <v>0.51969482296499059</v>
      </c>
      <c r="BH54" s="22">
        <f>SUM(Emissions!BJ172:BJ187)</f>
        <v>0.53022449011825235</v>
      </c>
      <c r="BI54" s="22">
        <f>SUM(Emissions!BK172:BK187)</f>
        <v>0.54119598424864424</v>
      </c>
      <c r="BJ54" s="22">
        <f>SUM(Emissions!BL172:BL187)</f>
        <v>0.55393730086773452</v>
      </c>
      <c r="BK54" s="22">
        <f>SUM(Emissions!BM172:BM187)</f>
        <v>0.56207200657171263</v>
      </c>
      <c r="BL54" s="22">
        <f>SUM(Emissions!BN172:BN187)</f>
        <v>0.56991898249116435</v>
      </c>
      <c r="BM54" s="22">
        <f>SUM(Emissions!BO172:BO187)</f>
        <v>0.57797419618500734</v>
      </c>
      <c r="BN54" s="22">
        <f>SUM(Emissions!BP172:BP187)</f>
        <v>0.5860296734101651</v>
      </c>
    </row>
    <row r="57" spans="1:72" s="19" customFormat="1" ht="16" x14ac:dyDescent="0.2">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2">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24596.567437021022</v>
      </c>
      <c r="AC58" s="22">
        <f t="shared" si="42"/>
        <v>24497.747310072355</v>
      </c>
      <c r="AD58" s="22">
        <f t="shared" si="42"/>
        <v>24503.520525013522</v>
      </c>
      <c r="AE58" s="22">
        <f t="shared" si="42"/>
        <v>24330.600675717971</v>
      </c>
      <c r="AF58" s="22">
        <f t="shared" si="42"/>
        <v>24050.505209418399</v>
      </c>
      <c r="AG58" s="22">
        <f t="shared" si="42"/>
        <v>23669.383405227258</v>
      </c>
      <c r="AH58" s="22">
        <f t="shared" si="42"/>
        <v>23387.298701141393</v>
      </c>
      <c r="AI58" s="22">
        <f t="shared" si="42"/>
        <v>23126.61405950896</v>
      </c>
      <c r="AJ58" s="22">
        <f t="shared" si="42"/>
        <v>21313.144688128854</v>
      </c>
      <c r="AK58" s="22">
        <f t="shared" si="42"/>
        <v>21643.62492091993</v>
      </c>
      <c r="AL58" s="22">
        <f t="shared" ref="AL58:BN58" si="43">AL4*CH4GWP</f>
        <v>21842.958136389145</v>
      </c>
      <c r="AM58" s="22">
        <f t="shared" si="43"/>
        <v>22009.194240731045</v>
      </c>
      <c r="AN58" s="22">
        <f t="shared" si="43"/>
        <v>22231.074707470554</v>
      </c>
      <c r="AO58" s="22">
        <f t="shared" si="43"/>
        <v>22422.850167511733</v>
      </c>
      <c r="AP58" s="22">
        <f t="shared" si="43"/>
        <v>22559.899729891837</v>
      </c>
      <c r="AQ58" s="22">
        <f t="shared" si="43"/>
        <v>22678.789804693661</v>
      </c>
      <c r="AR58" s="22">
        <f t="shared" si="43"/>
        <v>22772.564291623203</v>
      </c>
      <c r="AS58" s="22">
        <f t="shared" si="43"/>
        <v>22954.561330846169</v>
      </c>
      <c r="AT58" s="22">
        <f t="shared" si="43"/>
        <v>23125.578897891348</v>
      </c>
      <c r="AU58" s="22">
        <f t="shared" si="43"/>
        <v>23204.761754545805</v>
      </c>
      <c r="AV58" s="22">
        <f t="shared" si="43"/>
        <v>23360.460548427258</v>
      </c>
      <c r="AW58" s="22">
        <f t="shared" si="43"/>
        <v>23545.70515377089</v>
      </c>
      <c r="AX58" s="22">
        <f t="shared" si="43"/>
        <v>23807.124650761561</v>
      </c>
      <c r="AY58" s="22">
        <f t="shared" si="43"/>
        <v>23923.169451213398</v>
      </c>
      <c r="AZ58" s="22">
        <f t="shared" si="43"/>
        <v>24005.969030672688</v>
      </c>
      <c r="BA58" s="22">
        <f t="shared" si="43"/>
        <v>24121.902266535981</v>
      </c>
      <c r="BB58" s="22">
        <f t="shared" si="43"/>
        <v>24210.355152899174</v>
      </c>
      <c r="BC58" s="22">
        <f t="shared" si="43"/>
        <v>24311.449018618248</v>
      </c>
      <c r="BD58" s="22">
        <f t="shared" si="43"/>
        <v>24404.324527169487</v>
      </c>
      <c r="BE58" s="22">
        <f t="shared" si="43"/>
        <v>24615.408993379664</v>
      </c>
      <c r="BF58" s="22">
        <f t="shared" si="43"/>
        <v>24795.702904811915</v>
      </c>
      <c r="BG58" s="22">
        <f t="shared" si="43"/>
        <v>24974.386073971655</v>
      </c>
      <c r="BH58" s="22">
        <f t="shared" si="43"/>
        <v>25158.443800992005</v>
      </c>
      <c r="BI58" s="22">
        <f t="shared" si="43"/>
        <v>25350.056020455428</v>
      </c>
      <c r="BJ58" s="22">
        <f t="shared" si="43"/>
        <v>25595.524180483277</v>
      </c>
      <c r="BK58" s="22">
        <f t="shared" si="43"/>
        <v>25652.270580970602</v>
      </c>
      <c r="BL58" s="22">
        <f t="shared" si="43"/>
        <v>25690.931860069006</v>
      </c>
      <c r="BM58" s="22">
        <f t="shared" si="43"/>
        <v>25730.493648525517</v>
      </c>
      <c r="BN58" s="22">
        <f t="shared" si="43"/>
        <v>25763.015085078572</v>
      </c>
    </row>
    <row r="59" spans="1:72" x14ac:dyDescent="0.2">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773.63084917870208</v>
      </c>
      <c r="AC59" s="22">
        <f t="shared" si="45"/>
        <v>773.31500928313358</v>
      </c>
      <c r="AD59" s="22">
        <f t="shared" si="45"/>
        <v>776.88026181002795</v>
      </c>
      <c r="AE59" s="22">
        <f t="shared" si="45"/>
        <v>774.22773270072685</v>
      </c>
      <c r="AF59" s="22">
        <f t="shared" si="45"/>
        <v>767.77846974201964</v>
      </c>
      <c r="AG59" s="22">
        <f t="shared" si="45"/>
        <v>757.64147058917911</v>
      </c>
      <c r="AH59" s="22">
        <f t="shared" si="45"/>
        <v>751.15754383054082</v>
      </c>
      <c r="AI59" s="22">
        <f t="shared" si="45"/>
        <v>745.51317364056126</v>
      </c>
      <c r="AJ59" s="22">
        <f t="shared" si="45"/>
        <v>681.46155894576009</v>
      </c>
      <c r="AK59" s="22">
        <f t="shared" si="45"/>
        <v>692.86732538795809</v>
      </c>
      <c r="AL59" s="22">
        <f t="shared" ref="AL59:BN59" si="46">AL11*CH4GWP</f>
        <v>699.39212063733851</v>
      </c>
      <c r="AM59" s="22">
        <f t="shared" si="46"/>
        <v>704.72508415997606</v>
      </c>
      <c r="AN59" s="22">
        <f t="shared" si="46"/>
        <v>712.20843035591349</v>
      </c>
      <c r="AO59" s="22">
        <f t="shared" si="46"/>
        <v>718.6108501769346</v>
      </c>
      <c r="AP59" s="22">
        <f t="shared" si="46"/>
        <v>723.31700906424885</v>
      </c>
      <c r="AQ59" s="22">
        <f t="shared" si="46"/>
        <v>727.38525584131366</v>
      </c>
      <c r="AR59" s="22">
        <f t="shared" si="46"/>
        <v>730.55056909954737</v>
      </c>
      <c r="AS59" s="22">
        <f t="shared" si="46"/>
        <v>737.09601000578937</v>
      </c>
      <c r="AT59" s="22">
        <f t="shared" si="46"/>
        <v>743.27474666916328</v>
      </c>
      <c r="AU59" s="22">
        <f t="shared" si="46"/>
        <v>750.76962733079017</v>
      </c>
      <c r="AV59" s="22">
        <f t="shared" si="46"/>
        <v>761.41228249937808</v>
      </c>
      <c r="AW59" s="22">
        <f t="shared" si="46"/>
        <v>773.46132112230077</v>
      </c>
      <c r="AX59" s="22">
        <f t="shared" si="46"/>
        <v>788.77982516687086</v>
      </c>
      <c r="AY59" s="22">
        <f t="shared" si="46"/>
        <v>798.7129418251194</v>
      </c>
      <c r="AZ59" s="22">
        <f t="shared" si="46"/>
        <v>807.81842627326637</v>
      </c>
      <c r="BA59" s="22">
        <f t="shared" si="46"/>
        <v>818.50597003561677</v>
      </c>
      <c r="BB59" s="22">
        <f t="shared" si="46"/>
        <v>828.36349907766919</v>
      </c>
      <c r="BC59" s="22">
        <f t="shared" si="46"/>
        <v>839.01333282960752</v>
      </c>
      <c r="BD59" s="22">
        <f t="shared" si="46"/>
        <v>849.61875419758996</v>
      </c>
      <c r="BE59" s="22">
        <f t="shared" si="46"/>
        <v>862.62218720907708</v>
      </c>
      <c r="BF59" s="22">
        <f t="shared" si="46"/>
        <v>874.55314588033423</v>
      </c>
      <c r="BG59" s="22">
        <f t="shared" si="46"/>
        <v>886.623525331211</v>
      </c>
      <c r="BH59" s="22">
        <f t="shared" si="46"/>
        <v>899.13457200336393</v>
      </c>
      <c r="BI59" s="22">
        <f t="shared" si="46"/>
        <v>912.19038098779788</v>
      </c>
      <c r="BJ59" s="22">
        <f t="shared" si="46"/>
        <v>928.01344026915001</v>
      </c>
      <c r="BK59" s="22">
        <f t="shared" si="46"/>
        <v>935.94959641100047</v>
      </c>
      <c r="BL59" s="22">
        <f t="shared" si="46"/>
        <v>943.26918911865266</v>
      </c>
      <c r="BM59" s="22">
        <f t="shared" si="46"/>
        <v>950.79335853373641</v>
      </c>
      <c r="BN59" s="22">
        <f t="shared" si="46"/>
        <v>958.1774515005684</v>
      </c>
    </row>
    <row r="60" spans="1:72" x14ac:dyDescent="0.2">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1611.8202237640571</v>
      </c>
      <c r="AC60" s="22">
        <f t="shared" si="48"/>
        <v>1628.349845404995</v>
      </c>
      <c r="AD60" s="22">
        <f t="shared" si="48"/>
        <v>1654.3267410473245</v>
      </c>
      <c r="AE60" s="22">
        <f t="shared" si="48"/>
        <v>1663.6384309182044</v>
      </c>
      <c r="AF60" s="22">
        <f t="shared" si="48"/>
        <v>1662.3021398559861</v>
      </c>
      <c r="AG60" s="22">
        <f t="shared" si="48"/>
        <v>1650.3976769413116</v>
      </c>
      <c r="AH60" s="22">
        <f t="shared" si="48"/>
        <v>1647.5009704288248</v>
      </c>
      <c r="AI60" s="22">
        <f t="shared" si="48"/>
        <v>1646.2684747308624</v>
      </c>
      <c r="AJ60" s="22">
        <f t="shared" si="48"/>
        <v>1485.0672239967832</v>
      </c>
      <c r="AK60" s="22">
        <f t="shared" si="48"/>
        <v>1531.7678337568175</v>
      </c>
      <c r="AL60" s="22">
        <f t="shared" ref="AL60:BN60" si="49">AL19*N2OGWP</f>
        <v>1565.2797135794174</v>
      </c>
      <c r="AM60" s="22">
        <f t="shared" si="49"/>
        <v>1595.5977309339771</v>
      </c>
      <c r="AN60" s="22">
        <f t="shared" si="49"/>
        <v>1632.1146503587709</v>
      </c>
      <c r="AO60" s="22">
        <f t="shared" si="49"/>
        <v>1665.7737581151644</v>
      </c>
      <c r="AP60" s="22">
        <f t="shared" si="49"/>
        <v>1695.0546053993332</v>
      </c>
      <c r="AQ60" s="22">
        <f t="shared" si="49"/>
        <v>1722.606278767714</v>
      </c>
      <c r="AR60" s="22">
        <f t="shared" si="49"/>
        <v>1747.6145266122355</v>
      </c>
      <c r="AS60" s="22">
        <f t="shared" si="49"/>
        <v>1782.7040059062331</v>
      </c>
      <c r="AT60" s="22">
        <f t="shared" si="49"/>
        <v>1816.9551645589017</v>
      </c>
      <c r="AU60" s="22">
        <f t="shared" si="49"/>
        <v>1853.8651522635487</v>
      </c>
      <c r="AV60" s="22">
        <f t="shared" si="49"/>
        <v>1900.6148321123671</v>
      </c>
      <c r="AW60" s="22">
        <f t="shared" si="49"/>
        <v>1952.1111580596387</v>
      </c>
      <c r="AX60" s="22">
        <f t="shared" si="49"/>
        <v>2014.1969847431008</v>
      </c>
      <c r="AY60" s="22">
        <f t="shared" si="49"/>
        <v>2060.2706197803477</v>
      </c>
      <c r="AZ60" s="22">
        <f t="shared" si="49"/>
        <v>2104.4830447343411</v>
      </c>
      <c r="BA60" s="22">
        <f t="shared" si="49"/>
        <v>2154.1067837727705</v>
      </c>
      <c r="BB60" s="22">
        <f t="shared" si="49"/>
        <v>2201.6153246846625</v>
      </c>
      <c r="BC60" s="22">
        <f t="shared" si="49"/>
        <v>2252.1439705293146</v>
      </c>
      <c r="BD60" s="22">
        <f t="shared" si="49"/>
        <v>2303.0675778776113</v>
      </c>
      <c r="BE60" s="22">
        <f t="shared" si="49"/>
        <v>2363.6430162981173</v>
      </c>
      <c r="BF60" s="22">
        <f t="shared" si="49"/>
        <v>2421.4281026600174</v>
      </c>
      <c r="BG60" s="22">
        <f t="shared" si="49"/>
        <v>2480.3458467715691</v>
      </c>
      <c r="BH60" s="22">
        <f t="shared" si="49"/>
        <v>2541.419721005976</v>
      </c>
      <c r="BI60" s="22">
        <f t="shared" si="49"/>
        <v>2605.045094325405</v>
      </c>
      <c r="BJ60" s="22">
        <f t="shared" si="49"/>
        <v>2679.0543822771356</v>
      </c>
      <c r="BK60" s="22">
        <f t="shared" si="49"/>
        <v>2727.2018300434552</v>
      </c>
      <c r="BL60" s="22">
        <f t="shared" si="49"/>
        <v>2773.7739329888864</v>
      </c>
      <c r="BM60" s="22">
        <f t="shared" si="49"/>
        <v>2821.5666216112859</v>
      </c>
      <c r="BN60" s="22">
        <f t="shared" si="49"/>
        <v>2869.4090203291116</v>
      </c>
    </row>
    <row r="61" spans="1:72" x14ac:dyDescent="0.2">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2">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2">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892.99961042800624</v>
      </c>
      <c r="AL63" s="22">
        <f t="shared" si="57"/>
        <v>897.66502434733229</v>
      </c>
      <c r="AM63" s="22">
        <f t="shared" si="57"/>
        <v>901.31677957229135</v>
      </c>
      <c r="AN63" s="22">
        <f t="shared" si="57"/>
        <v>904.69718143729835</v>
      </c>
      <c r="AO63" s="22">
        <f t="shared" si="57"/>
        <v>908.47574920758507</v>
      </c>
      <c r="AP63" s="22">
        <f t="shared" si="57"/>
        <v>912.00886230682897</v>
      </c>
      <c r="AQ63" s="22">
        <f t="shared" si="57"/>
        <v>915.15522281701794</v>
      </c>
      <c r="AR63" s="22">
        <f t="shared" si="57"/>
        <v>918.14911339193043</v>
      </c>
      <c r="AS63" s="22">
        <f t="shared" si="57"/>
        <v>920.93862378014114</v>
      </c>
      <c r="AT63" s="22">
        <f t="shared" si="57"/>
        <v>924.38117404713842</v>
      </c>
      <c r="AU63" s="22">
        <f t="shared" si="57"/>
        <v>927.72886456057699</v>
      </c>
      <c r="AV63" s="22">
        <f t="shared" si="57"/>
        <v>931.30044289181558</v>
      </c>
      <c r="AW63" s="22">
        <f t="shared" si="57"/>
        <v>935.47463981104102</v>
      </c>
      <c r="AX63" s="22">
        <f t="shared" si="57"/>
        <v>939.89945345474598</v>
      </c>
      <c r="AY63" s="22">
        <f t="shared" si="57"/>
        <v>944.93069992096457</v>
      </c>
      <c r="AZ63" s="22">
        <f t="shared" si="57"/>
        <v>948.88651159106837</v>
      </c>
      <c r="BA63" s="22">
        <f t="shared" si="57"/>
        <v>952.65045566979234</v>
      </c>
      <c r="BB63" s="22">
        <f t="shared" si="57"/>
        <v>956.69732285696261</v>
      </c>
      <c r="BC63" s="22">
        <f t="shared" si="57"/>
        <v>960.56505395961551</v>
      </c>
      <c r="BD63" s="22">
        <f t="shared" si="57"/>
        <v>964.56260681029062</v>
      </c>
      <c r="BE63" s="22">
        <f t="shared" si="57"/>
        <v>968.53102991020114</v>
      </c>
      <c r="BF63" s="22">
        <f t="shared" si="57"/>
        <v>972.91815093223238</v>
      </c>
      <c r="BG63" s="22">
        <f t="shared" si="57"/>
        <v>977.08221160435949</v>
      </c>
      <c r="BH63" s="22">
        <f t="shared" si="57"/>
        <v>981.24968371542741</v>
      </c>
      <c r="BI63" s="22">
        <f t="shared" si="57"/>
        <v>985.47496417545995</v>
      </c>
      <c r="BJ63" s="22">
        <f t="shared" si="57"/>
        <v>989.77519860882489</v>
      </c>
      <c r="BK63" s="22">
        <f t="shared" si="57"/>
        <v>994.53641231240658</v>
      </c>
      <c r="BL63" s="22">
        <f t="shared" si="57"/>
        <v>997.87560728554854</v>
      </c>
      <c r="BM63" s="22">
        <f t="shared" si="57"/>
        <v>1001.0952288876074</v>
      </c>
      <c r="BN63" s="22">
        <f t="shared" si="57"/>
        <v>1004.3409499737036</v>
      </c>
    </row>
    <row r="64" spans="1:72" x14ac:dyDescent="0.2">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469.9309125855201</v>
      </c>
      <c r="AL64" s="22">
        <f t="shared" si="58"/>
        <v>469.81336359291407</v>
      </c>
      <c r="AM64" s="22">
        <f t="shared" si="58"/>
        <v>469.7213545760593</v>
      </c>
      <c r="AN64" s="22">
        <f t="shared" si="58"/>
        <v>469.63618253329815</v>
      </c>
      <c r="AO64" s="22">
        <f t="shared" si="58"/>
        <v>469.54097836865776</v>
      </c>
      <c r="AP64" s="22">
        <f t="shared" si="58"/>
        <v>469.45195863905593</v>
      </c>
      <c r="AQ64" s="22">
        <f t="shared" si="58"/>
        <v>469.37268346331723</v>
      </c>
      <c r="AR64" s="22">
        <f t="shared" si="58"/>
        <v>469.29724989469105</v>
      </c>
      <c r="AS64" s="22">
        <f t="shared" si="58"/>
        <v>469.22696585523204</v>
      </c>
      <c r="AT64" s="22">
        <f t="shared" si="58"/>
        <v>469.14022793167828</v>
      </c>
      <c r="AU64" s="22">
        <f t="shared" si="58"/>
        <v>469.05588007868687</v>
      </c>
      <c r="AV64" s="22">
        <f t="shared" si="58"/>
        <v>468.96589118550173</v>
      </c>
      <c r="AW64" s="22">
        <f t="shared" si="58"/>
        <v>468.86071881467279</v>
      </c>
      <c r="AX64" s="22">
        <f t="shared" si="58"/>
        <v>468.74923194656606</v>
      </c>
      <c r="AY64" s="22">
        <f t="shared" si="58"/>
        <v>468.62246549799733</v>
      </c>
      <c r="AZ64" s="22">
        <f t="shared" si="58"/>
        <v>468.5227955255574</v>
      </c>
      <c r="BA64" s="22">
        <f t="shared" si="58"/>
        <v>468.42795981701568</v>
      </c>
      <c r="BB64" s="22">
        <f t="shared" si="58"/>
        <v>468.325995624923</v>
      </c>
      <c r="BC64" s="22">
        <f t="shared" si="58"/>
        <v>468.22854491580057</v>
      </c>
      <c r="BD64" s="22">
        <f t="shared" si="58"/>
        <v>468.12782323952234</v>
      </c>
      <c r="BE64" s="22">
        <f t="shared" si="58"/>
        <v>468.02783551159615</v>
      </c>
      <c r="BF64" s="22">
        <f t="shared" si="58"/>
        <v>467.91729834051165</v>
      </c>
      <c r="BG64" s="22">
        <f t="shared" si="58"/>
        <v>467.81238136087751</v>
      </c>
      <c r="BH64" s="22">
        <f t="shared" si="58"/>
        <v>467.70737842719552</v>
      </c>
      <c r="BI64" s="22">
        <f t="shared" si="58"/>
        <v>467.60091896397466</v>
      </c>
      <c r="BJ64" s="22">
        <f t="shared" si="58"/>
        <v>467.49257097291689</v>
      </c>
      <c r="BK64" s="22">
        <f t="shared" si="58"/>
        <v>467.37260822489156</v>
      </c>
      <c r="BL64" s="22">
        <f t="shared" si="58"/>
        <v>467.28847442411939</v>
      </c>
      <c r="BM64" s="22">
        <f t="shared" si="58"/>
        <v>467.20735337410349</v>
      </c>
      <c r="BN64" s="22">
        <f t="shared" si="58"/>
        <v>467.12557472583177</v>
      </c>
    </row>
    <row r="65" spans="1:72" x14ac:dyDescent="0.2">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17151.705697759648</v>
      </c>
      <c r="AC65" s="22">
        <f t="shared" si="59"/>
        <v>17093.826915551952</v>
      </c>
      <c r="AD65" s="22">
        <f t="shared" si="59"/>
        <v>17091.396392844264</v>
      </c>
      <c r="AE65" s="22">
        <f t="shared" si="59"/>
        <v>16996.523789335217</v>
      </c>
      <c r="AF65" s="22">
        <f t="shared" si="59"/>
        <v>16845.135916251194</v>
      </c>
      <c r="AG65" s="22">
        <f t="shared" si="59"/>
        <v>16640.888084222788</v>
      </c>
      <c r="AH65" s="22">
        <f t="shared" si="59"/>
        <v>16487.529960272332</v>
      </c>
      <c r="AI65" s="22">
        <f t="shared" si="59"/>
        <v>16345.805129696333</v>
      </c>
      <c r="AJ65" s="22">
        <f t="shared" si="59"/>
        <v>15401.51338572641</v>
      </c>
      <c r="AK65" s="22">
        <f t="shared" si="59"/>
        <v>15559.250259076742</v>
      </c>
      <c r="AL65" s="22">
        <f t="shared" ref="AL65:BN65" si="60">AL43*N2OGWP</f>
        <v>15660.642208066411</v>
      </c>
      <c r="AM65" s="22">
        <f t="shared" si="60"/>
        <v>15744.018666502143</v>
      </c>
      <c r="AN65" s="22">
        <f t="shared" si="60"/>
        <v>15855.748284442217</v>
      </c>
      <c r="AO65" s="22">
        <f t="shared" si="60"/>
        <v>15952.123607028068</v>
      </c>
      <c r="AP65" s="22">
        <f t="shared" si="60"/>
        <v>16019.915777379028</v>
      </c>
      <c r="AQ65" s="22">
        <f t="shared" si="60"/>
        <v>16077.942070662069</v>
      </c>
      <c r="AR65" s="22">
        <f t="shared" si="60"/>
        <v>16122.828604229202</v>
      </c>
      <c r="AS65" s="22">
        <f t="shared" si="60"/>
        <v>16212.778100163969</v>
      </c>
      <c r="AT65" s="22">
        <f t="shared" si="60"/>
        <v>16297.447641513161</v>
      </c>
      <c r="AU65" s="22">
        <f t="shared" si="60"/>
        <v>16332.305872153571</v>
      </c>
      <c r="AV65" s="22">
        <f t="shared" si="60"/>
        <v>16406.241692148429</v>
      </c>
      <c r="AW65" s="22">
        <f t="shared" si="60"/>
        <v>16495.381450393801</v>
      </c>
      <c r="AX65" s="22">
        <f t="shared" si="60"/>
        <v>16623.210825906786</v>
      </c>
      <c r="AY65" s="22">
        <f t="shared" si="60"/>
        <v>16676.747333350337</v>
      </c>
      <c r="AZ65" s="22">
        <f t="shared" si="60"/>
        <v>16711.989082281249</v>
      </c>
      <c r="BA65" s="22">
        <f t="shared" si="60"/>
        <v>16763.564286915818</v>
      </c>
      <c r="BB65" s="22">
        <f t="shared" si="60"/>
        <v>16800.934904807964</v>
      </c>
      <c r="BC65" s="22">
        <f t="shared" si="60"/>
        <v>16844.149730729314</v>
      </c>
      <c r="BD65" s="22">
        <f t="shared" si="60"/>
        <v>16882.824892079276</v>
      </c>
      <c r="BE65" s="22">
        <f t="shared" si="60"/>
        <v>16982.793544338863</v>
      </c>
      <c r="BF65" s="22">
        <f t="shared" si="60"/>
        <v>17067.032824254886</v>
      </c>
      <c r="BG65" s="22">
        <f t="shared" si="60"/>
        <v>17149.824072377902</v>
      </c>
      <c r="BH65" s="22">
        <f t="shared" si="60"/>
        <v>17234.86075232863</v>
      </c>
      <c r="BI65" s="22">
        <f t="shared" si="60"/>
        <v>17323.257633762991</v>
      </c>
      <c r="BJ65" s="22">
        <f t="shared" si="60"/>
        <v>17438.204150508431</v>
      </c>
      <c r="BK65" s="22">
        <f t="shared" si="60"/>
        <v>17457.974435219832</v>
      </c>
      <c r="BL65" s="22">
        <f t="shared" si="60"/>
        <v>17467.144461418975</v>
      </c>
      <c r="BM65" s="22">
        <f t="shared" si="60"/>
        <v>17476.295952380831</v>
      </c>
      <c r="BN65" s="22">
        <f t="shared" si="60"/>
        <v>17481.551334401061</v>
      </c>
    </row>
    <row r="66" spans="1:72" x14ac:dyDescent="0.2">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2037.2818538590109</v>
      </c>
      <c r="AF66" s="22">
        <f t="shared" si="62"/>
        <v>2020.7416492119837</v>
      </c>
      <c r="AG66" s="22">
        <f t="shared" si="62"/>
        <v>1997.8167979558436</v>
      </c>
      <c r="AH66" s="22">
        <f t="shared" si="62"/>
        <v>1981.3182233351415</v>
      </c>
      <c r="AI66" s="22">
        <f t="shared" si="62"/>
        <v>1966.2827775921453</v>
      </c>
      <c r="AJ66" s="22">
        <f t="shared" si="62"/>
        <v>1851.1201579223073</v>
      </c>
      <c r="AK66" s="22">
        <f t="shared" si="62"/>
        <v>1872.820271885671</v>
      </c>
      <c r="AL66" s="22">
        <f t="shared" ref="AL66:BN66" si="63">AL49*N2OGWP</f>
        <v>1886.4065202553863</v>
      </c>
      <c r="AM66" s="22">
        <f t="shared" si="63"/>
        <v>1897.9007195413274</v>
      </c>
      <c r="AN66" s="22">
        <f t="shared" si="63"/>
        <v>1913.0457016522892</v>
      </c>
      <c r="AO66" s="22">
        <f t="shared" si="63"/>
        <v>1926.312932051688</v>
      </c>
      <c r="AP66" s="22">
        <f t="shared" si="63"/>
        <v>1935.847862135196</v>
      </c>
      <c r="AQ66" s="22">
        <f t="shared" si="63"/>
        <v>1944.2506877547819</v>
      </c>
      <c r="AR66" s="22">
        <f t="shared" si="63"/>
        <v>1951.07263695962</v>
      </c>
      <c r="AS66" s="22">
        <f t="shared" si="63"/>
        <v>1963.6445671248712</v>
      </c>
      <c r="AT66" s="22">
        <f t="shared" si="63"/>
        <v>1975.5645912833775</v>
      </c>
      <c r="AU66" s="22">
        <f t="shared" si="63"/>
        <v>1981.8626651061134</v>
      </c>
      <c r="AV66" s="22">
        <f t="shared" si="63"/>
        <v>1993.185044683898</v>
      </c>
      <c r="AW66" s="22">
        <f t="shared" si="63"/>
        <v>2006.5025816985867</v>
      </c>
      <c r="AX66" s="22">
        <f t="shared" si="63"/>
        <v>2024.8423513947509</v>
      </c>
      <c r="AY66" s="22">
        <f t="shared" si="63"/>
        <v>2033.8209003877701</v>
      </c>
      <c r="AZ66" s="22">
        <f t="shared" si="63"/>
        <v>2040.4931021493153</v>
      </c>
      <c r="BA66" s="22">
        <f t="shared" si="63"/>
        <v>2049.377826989125</v>
      </c>
      <c r="BB66" s="22">
        <f t="shared" si="63"/>
        <v>2056.539184463677</v>
      </c>
      <c r="BC66" s="22">
        <f t="shared" si="63"/>
        <v>2064.5819598819166</v>
      </c>
      <c r="BD66" s="22">
        <f t="shared" si="63"/>
        <v>2072.1527985367738</v>
      </c>
      <c r="BE66" s="22">
        <f t="shared" si="63"/>
        <v>2087.0065986618852</v>
      </c>
      <c r="BF66" s="22">
        <f t="shared" si="63"/>
        <v>2099.9090831066587</v>
      </c>
      <c r="BG66" s="22">
        <f t="shared" si="63"/>
        <v>2112.7539729567561</v>
      </c>
      <c r="BH66" s="22">
        <f t="shared" si="63"/>
        <v>2126.003420303532</v>
      </c>
      <c r="BI66" s="22">
        <f t="shared" si="63"/>
        <v>2139.8027144777898</v>
      </c>
      <c r="BJ66" s="22">
        <f t="shared" si="63"/>
        <v>2157.0217556958919</v>
      </c>
      <c r="BK66" s="22">
        <f t="shared" si="63"/>
        <v>2161.916993673472</v>
      </c>
      <c r="BL66" s="22">
        <f t="shared" si="63"/>
        <v>2165.6376194009017</v>
      </c>
      <c r="BM66" s="22">
        <f t="shared" si="63"/>
        <v>2169.4549879700739</v>
      </c>
      <c r="BN66" s="22">
        <f t="shared" si="63"/>
        <v>2172.8496384789942</v>
      </c>
    </row>
    <row r="67" spans="1:72" x14ac:dyDescent="0.2">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468.55349021707195</v>
      </c>
      <c r="AD67" s="22">
        <f t="shared" si="65"/>
        <v>475.46673921112142</v>
      </c>
      <c r="AE67" s="22">
        <f t="shared" si="65"/>
        <v>478.52713833996251</v>
      </c>
      <c r="AF67" s="22">
        <f t="shared" si="65"/>
        <v>479.1307500856546</v>
      </c>
      <c r="AG67" s="22">
        <f t="shared" si="65"/>
        <v>477.27784879908722</v>
      </c>
      <c r="AH67" s="22">
        <f t="shared" si="65"/>
        <v>477.58815133846173</v>
      </c>
      <c r="AI67" s="22">
        <f t="shared" si="65"/>
        <v>478.3250991764117</v>
      </c>
      <c r="AJ67" s="22">
        <f t="shared" si="65"/>
        <v>440.89838112666757</v>
      </c>
      <c r="AK67" s="22">
        <f t="shared" si="65"/>
        <v>452.25433731138094</v>
      </c>
      <c r="AL67" s="22">
        <f t="shared" ref="AL67:BN67" si="66">AL52*N2OGWP</f>
        <v>460.49341351373761</v>
      </c>
      <c r="AM67" s="22">
        <f t="shared" si="66"/>
        <v>467.99934922430617</v>
      </c>
      <c r="AN67" s="22">
        <f t="shared" si="66"/>
        <v>477.01646993918706</v>
      </c>
      <c r="AO67" s="22">
        <f t="shared" si="66"/>
        <v>485.37826184506105</v>
      </c>
      <c r="AP67" s="22">
        <f t="shared" si="66"/>
        <v>492.63954484385323</v>
      </c>
      <c r="AQ67" s="22">
        <f t="shared" si="66"/>
        <v>499.51011298443024</v>
      </c>
      <c r="AR67" s="22">
        <f t="shared" si="66"/>
        <v>505.79332035607274</v>
      </c>
      <c r="AS67" s="22">
        <f t="shared" si="66"/>
        <v>514.51442938232935</v>
      </c>
      <c r="AT67" s="22">
        <f t="shared" si="66"/>
        <v>523.05672724452518</v>
      </c>
      <c r="AU67" s="22">
        <f t="shared" si="66"/>
        <v>532.66962727255941</v>
      </c>
      <c r="AV67" s="22">
        <f t="shared" si="66"/>
        <v>544.68591241773242</v>
      </c>
      <c r="AW67" s="22">
        <f t="shared" si="66"/>
        <v>557.88816688628663</v>
      </c>
      <c r="AX67" s="22">
        <f t="shared" si="66"/>
        <v>573.69060835942162</v>
      </c>
      <c r="AY67" s="22">
        <f t="shared" si="66"/>
        <v>585.67510379685325</v>
      </c>
      <c r="AZ67" s="22">
        <f t="shared" si="66"/>
        <v>597.18617841501373</v>
      </c>
      <c r="BA67" s="22">
        <f t="shared" si="66"/>
        <v>610.04536443031634</v>
      </c>
      <c r="BB67" s="22">
        <f t="shared" si="66"/>
        <v>622.43091355398064</v>
      </c>
      <c r="BC67" s="22">
        <f t="shared" si="66"/>
        <v>635.58813706631486</v>
      </c>
      <c r="BD67" s="22">
        <f t="shared" si="66"/>
        <v>648.88057799649482</v>
      </c>
      <c r="BE67" s="22">
        <f t="shared" si="66"/>
        <v>664.2098385764009</v>
      </c>
      <c r="BF67" s="22">
        <f t="shared" si="66"/>
        <v>678.88956765377372</v>
      </c>
      <c r="BG67" s="22">
        <f t="shared" si="66"/>
        <v>693.87483089121622</v>
      </c>
      <c r="BH67" s="22">
        <f t="shared" si="66"/>
        <v>709.41585759768498</v>
      </c>
      <c r="BI67" s="22">
        <f t="shared" si="66"/>
        <v>725.61019878500633</v>
      </c>
      <c r="BJ67" s="22">
        <f t="shared" si="66"/>
        <v>744.31485234577633</v>
      </c>
      <c r="BK67" s="22">
        <f t="shared" si="66"/>
        <v>756.71904868172453</v>
      </c>
      <c r="BL67" s="22">
        <f t="shared" si="66"/>
        <v>768.75904591505696</v>
      </c>
      <c r="BM67" s="22">
        <f t="shared" si="66"/>
        <v>781.11936277152188</v>
      </c>
      <c r="BN67" s="22">
        <f t="shared" si="66"/>
        <v>793.51285839706986</v>
      </c>
    </row>
    <row r="69" spans="1:72" x14ac:dyDescent="0.2">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6" x14ac:dyDescent="0.2">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2">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26982.018509963782</v>
      </c>
      <c r="AC71" s="22">
        <f t="shared" si="67"/>
        <v>26899.412164760484</v>
      </c>
      <c r="AD71" s="22">
        <f t="shared" si="67"/>
        <v>26934.727527870873</v>
      </c>
      <c r="AE71" s="22">
        <f t="shared" si="67"/>
        <v>26768.466839336899</v>
      </c>
      <c r="AF71" s="22">
        <f t="shared" si="67"/>
        <v>26480.585819016407</v>
      </c>
      <c r="AG71" s="22">
        <f t="shared" si="67"/>
        <v>26077.422552757751</v>
      </c>
      <c r="AH71" s="22">
        <f t="shared" ref="AH71:BN71" si="68">SUM(AH58:AH60)</f>
        <v>25785.957215400758</v>
      </c>
      <c r="AI71" s="22">
        <f t="shared" si="68"/>
        <v>25518.395707880383</v>
      </c>
      <c r="AJ71" s="22">
        <f t="shared" si="68"/>
        <v>23479.673471071397</v>
      </c>
      <c r="AK71" s="22">
        <f t="shared" si="68"/>
        <v>23868.260080064705</v>
      </c>
      <c r="AL71" s="22">
        <f t="shared" si="68"/>
        <v>24107.6299706059</v>
      </c>
      <c r="AM71" s="22">
        <f t="shared" si="68"/>
        <v>24309.517055824996</v>
      </c>
      <c r="AN71" s="22">
        <f t="shared" si="68"/>
        <v>24575.397788185237</v>
      </c>
      <c r="AO71" s="22">
        <f t="shared" si="68"/>
        <v>24807.23477580383</v>
      </c>
      <c r="AP71" s="22">
        <f t="shared" si="68"/>
        <v>24978.27134435542</v>
      </c>
      <c r="AQ71" s="22">
        <f t="shared" si="68"/>
        <v>25128.781339302688</v>
      </c>
      <c r="AR71" s="22">
        <f t="shared" si="68"/>
        <v>25250.729387334988</v>
      </c>
      <c r="AS71" s="22">
        <f t="shared" si="68"/>
        <v>25474.361346758193</v>
      </c>
      <c r="AT71" s="22">
        <f t="shared" si="68"/>
        <v>25685.808809119411</v>
      </c>
      <c r="AU71" s="22">
        <f t="shared" si="68"/>
        <v>25809.396534140142</v>
      </c>
      <c r="AV71" s="22">
        <f t="shared" si="68"/>
        <v>26022.487663039003</v>
      </c>
      <c r="AW71" s="22">
        <f t="shared" si="68"/>
        <v>26271.277632952828</v>
      </c>
      <c r="AX71" s="22">
        <f t="shared" si="68"/>
        <v>26610.101460671533</v>
      </c>
      <c r="AY71" s="22">
        <f t="shared" si="68"/>
        <v>26782.153012818868</v>
      </c>
      <c r="AZ71" s="22">
        <f t="shared" si="68"/>
        <v>26918.270501680294</v>
      </c>
      <c r="BA71" s="22">
        <f t="shared" si="68"/>
        <v>27094.51502034437</v>
      </c>
      <c r="BB71" s="22">
        <f t="shared" si="68"/>
        <v>27240.333976661506</v>
      </c>
      <c r="BC71" s="22">
        <f t="shared" si="68"/>
        <v>27402.606321977171</v>
      </c>
      <c r="BD71" s="22">
        <f t="shared" si="68"/>
        <v>27557.010859244685</v>
      </c>
      <c r="BE71" s="22">
        <f t="shared" si="68"/>
        <v>27841.674196886855</v>
      </c>
      <c r="BF71" s="22">
        <f t="shared" si="68"/>
        <v>28091.684153352267</v>
      </c>
      <c r="BG71" s="22">
        <f t="shared" si="68"/>
        <v>28341.355446074434</v>
      </c>
      <c r="BH71" s="22">
        <f t="shared" si="68"/>
        <v>28598.998094001345</v>
      </c>
      <c r="BI71" s="22">
        <f t="shared" si="68"/>
        <v>28867.29149576863</v>
      </c>
      <c r="BJ71" s="22">
        <f t="shared" si="68"/>
        <v>29202.592003029564</v>
      </c>
      <c r="BK71" s="22">
        <f t="shared" si="68"/>
        <v>29315.422007425055</v>
      </c>
      <c r="BL71" s="22">
        <f t="shared" si="68"/>
        <v>29407.974982176544</v>
      </c>
      <c r="BM71" s="22">
        <f t="shared" si="68"/>
        <v>29502.853628670542</v>
      </c>
      <c r="BN71" s="22">
        <f t="shared" si="68"/>
        <v>29590.601556908252</v>
      </c>
    </row>
    <row r="72" spans="1:72" x14ac:dyDescent="0.2">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22916.931601602213</v>
      </c>
      <c r="AD72" s="22">
        <f t="shared" si="69"/>
        <v>22902.965793483334</v>
      </c>
      <c r="AE72" s="22">
        <f t="shared" si="69"/>
        <v>22783.717172728906</v>
      </c>
      <c r="AF72" s="22">
        <f t="shared" si="69"/>
        <v>22638.455195046372</v>
      </c>
      <c r="AG72" s="22">
        <f t="shared" si="69"/>
        <v>22428.717383211704</v>
      </c>
      <c r="AH72" s="22">
        <f t="shared" ref="AH72:BN72" si="70">SUM(AH61:AH67)</f>
        <v>22266.130401341314</v>
      </c>
      <c r="AI72" s="22">
        <f t="shared" si="70"/>
        <v>22119.9220695435</v>
      </c>
      <c r="AJ72" s="22">
        <f t="shared" si="70"/>
        <v>21032.929380221634</v>
      </c>
      <c r="AK72" s="22">
        <f t="shared" si="70"/>
        <v>21222.431756616657</v>
      </c>
      <c r="AL72" s="22">
        <f t="shared" si="70"/>
        <v>21358.556366966222</v>
      </c>
      <c r="AM72" s="22">
        <f t="shared" si="70"/>
        <v>21472.85217846767</v>
      </c>
      <c r="AN72" s="22">
        <f t="shared" si="70"/>
        <v>21620.398600916931</v>
      </c>
      <c r="AO72" s="22">
        <f t="shared" si="70"/>
        <v>21750.445781274804</v>
      </c>
      <c r="AP72" s="22">
        <f t="shared" si="70"/>
        <v>21846.837729938808</v>
      </c>
      <c r="AQ72" s="22">
        <f t="shared" si="70"/>
        <v>21931.563974177563</v>
      </c>
      <c r="AR72" s="22">
        <f t="shared" si="70"/>
        <v>22000.833593188563</v>
      </c>
      <c r="AS72" s="22">
        <f t="shared" si="70"/>
        <v>22123.154826524693</v>
      </c>
      <c r="AT72" s="22">
        <f t="shared" si="70"/>
        <v>22240.001974099134</v>
      </c>
      <c r="AU72" s="22">
        <f t="shared" si="70"/>
        <v>22302.04872377609</v>
      </c>
      <c r="AV72" s="22">
        <f t="shared" si="70"/>
        <v>22410.81900045729</v>
      </c>
      <c r="AW72" s="22">
        <f t="shared" si="70"/>
        <v>22538.561777259634</v>
      </c>
      <c r="AX72" s="22">
        <f t="shared" si="70"/>
        <v>22712.860893242847</v>
      </c>
      <c r="AY72" s="22">
        <f t="shared" si="70"/>
        <v>22800.279127659833</v>
      </c>
      <c r="AZ72" s="22">
        <f t="shared" si="70"/>
        <v>22865.57449719344</v>
      </c>
      <c r="BA72" s="22">
        <f t="shared" si="70"/>
        <v>22950.576923578639</v>
      </c>
      <c r="BB72" s="22">
        <f t="shared" si="70"/>
        <v>23019.45355358941</v>
      </c>
      <c r="BC72" s="22">
        <f t="shared" si="70"/>
        <v>23095.13416403321</v>
      </c>
      <c r="BD72" s="22">
        <f t="shared" si="70"/>
        <v>23166.064941340952</v>
      </c>
      <c r="BE72" s="22">
        <f t="shared" si="70"/>
        <v>23307.580594875886</v>
      </c>
      <c r="BF72" s="22">
        <f t="shared" si="70"/>
        <v>23431.17417736334</v>
      </c>
      <c r="BG72" s="22">
        <f t="shared" si="70"/>
        <v>23553.350227464736</v>
      </c>
      <c r="BH72" s="22">
        <f t="shared" si="70"/>
        <v>23678.735355844441</v>
      </c>
      <c r="BI72" s="22">
        <f t="shared" si="70"/>
        <v>23808.740198835541</v>
      </c>
      <c r="BJ72" s="22">
        <f t="shared" si="70"/>
        <v>23971.297802000503</v>
      </c>
      <c r="BK72" s="22">
        <f t="shared" si="70"/>
        <v>24020.504277179334</v>
      </c>
      <c r="BL72" s="22">
        <f t="shared" si="70"/>
        <v>24056.185492709956</v>
      </c>
      <c r="BM72" s="22">
        <f t="shared" si="70"/>
        <v>24092.148674847838</v>
      </c>
      <c r="BN72" s="22">
        <f t="shared" si="70"/>
        <v>24123.851650638702</v>
      </c>
    </row>
    <row r="73" spans="1:72" x14ac:dyDescent="0.2">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49879.47357031166</v>
      </c>
      <c r="AC73" s="22">
        <f t="shared" si="71"/>
        <v>49816.343766362697</v>
      </c>
      <c r="AD73" s="22">
        <f t="shared" si="71"/>
        <v>49837.693321354207</v>
      </c>
      <c r="AE73" s="22">
        <f t="shared" si="71"/>
        <v>49552.184012065802</v>
      </c>
      <c r="AF73" s="22">
        <f t="shared" si="71"/>
        <v>49119.041014062779</v>
      </c>
      <c r="AG73" s="22">
        <f t="shared" si="71"/>
        <v>48506.139935969455</v>
      </c>
      <c r="AH73" s="22">
        <f t="shared" ref="AH73:BN73" si="72">SUM(AH71:AH72)</f>
        <v>48052.087616742072</v>
      </c>
      <c r="AI73" s="22">
        <f t="shared" si="72"/>
        <v>47638.317777423887</v>
      </c>
      <c r="AJ73" s="22">
        <f t="shared" si="72"/>
        <v>44512.602851293035</v>
      </c>
      <c r="AK73" s="22">
        <f t="shared" si="72"/>
        <v>45090.691836681362</v>
      </c>
      <c r="AL73" s="22">
        <f t="shared" si="72"/>
        <v>45466.186337572122</v>
      </c>
      <c r="AM73" s="22">
        <f t="shared" si="72"/>
        <v>45782.369234292666</v>
      </c>
      <c r="AN73" s="22">
        <f t="shared" si="72"/>
        <v>46195.796389102165</v>
      </c>
      <c r="AO73" s="22">
        <f t="shared" si="72"/>
        <v>46557.680557078638</v>
      </c>
      <c r="AP73" s="22">
        <f t="shared" si="72"/>
        <v>46825.109074294232</v>
      </c>
      <c r="AQ73" s="22">
        <f t="shared" si="72"/>
        <v>47060.345313480255</v>
      </c>
      <c r="AR73" s="22">
        <f t="shared" si="72"/>
        <v>47251.562980523551</v>
      </c>
      <c r="AS73" s="22">
        <f t="shared" si="72"/>
        <v>47597.516173282886</v>
      </c>
      <c r="AT73" s="22">
        <f t="shared" si="72"/>
        <v>47925.810783218549</v>
      </c>
      <c r="AU73" s="22">
        <f t="shared" si="72"/>
        <v>48111.445257916232</v>
      </c>
      <c r="AV73" s="22">
        <f t="shared" si="72"/>
        <v>48433.306663496289</v>
      </c>
      <c r="AW73" s="22">
        <f t="shared" si="72"/>
        <v>48809.839410212458</v>
      </c>
      <c r="AX73" s="22">
        <f t="shared" si="72"/>
        <v>49322.962353914379</v>
      </c>
      <c r="AY73" s="22">
        <f t="shared" si="72"/>
        <v>49582.432140478704</v>
      </c>
      <c r="AZ73" s="22">
        <f t="shared" si="72"/>
        <v>49783.844998873734</v>
      </c>
      <c r="BA73" s="22">
        <f t="shared" si="72"/>
        <v>50045.091943923006</v>
      </c>
      <c r="BB73" s="22">
        <f t="shared" si="72"/>
        <v>50259.78753025092</v>
      </c>
      <c r="BC73" s="22">
        <f t="shared" si="72"/>
        <v>50497.740486010385</v>
      </c>
      <c r="BD73" s="22">
        <f t="shared" si="72"/>
        <v>50723.075800585633</v>
      </c>
      <c r="BE73" s="22">
        <f t="shared" si="72"/>
        <v>51149.254791762738</v>
      </c>
      <c r="BF73" s="22">
        <f t="shared" si="72"/>
        <v>51522.858330715608</v>
      </c>
      <c r="BG73" s="22">
        <f t="shared" si="72"/>
        <v>51894.705673539167</v>
      </c>
      <c r="BH73" s="22">
        <f t="shared" si="72"/>
        <v>52277.733449845786</v>
      </c>
      <c r="BI73" s="22">
        <f t="shared" si="72"/>
        <v>52676.031694604171</v>
      </c>
      <c r="BJ73" s="22">
        <f t="shared" si="72"/>
        <v>53173.889805030063</v>
      </c>
      <c r="BK73" s="22">
        <f t="shared" si="72"/>
        <v>53335.926284604386</v>
      </c>
      <c r="BL73" s="22">
        <f t="shared" si="72"/>
        <v>53464.160474886499</v>
      </c>
      <c r="BM73" s="22">
        <f t="shared" si="72"/>
        <v>53595.002303518384</v>
      </c>
      <c r="BN73" s="22">
        <f t="shared" si="72"/>
        <v>53714.453207546954</v>
      </c>
    </row>
    <row r="74" spans="1:72" x14ac:dyDescent="0.2">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2">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2">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2">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2">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2">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2">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-6.1935604806494085E-2</v>
      </c>
      <c r="AC80" s="49">
        <f t="shared" si="74"/>
        <v>-0.10492356125464204</v>
      </c>
      <c r="AD80" s="49">
        <f t="shared" si="74"/>
        <v>-0.10668176726843372</v>
      </c>
      <c r="AE80" s="49">
        <f t="shared" si="74"/>
        <v>-9.4260181583125921E-2</v>
      </c>
      <c r="AF80" s="49">
        <f t="shared" si="74"/>
        <v>-5.0716322987690181E-2</v>
      </c>
      <c r="AG80" s="49">
        <f t="shared" si="74"/>
        <v>-6.1361999160036741E-2</v>
      </c>
    </row>
    <row r="113" spans="1:72" s="19" customFormat="1" ht="16" x14ac:dyDescent="0.2">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2">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2">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2">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2">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2">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2">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2">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2">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2">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2">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2">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2">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2">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2">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baseColWidth="10" defaultColWidth="8.83203125" defaultRowHeight="15" x14ac:dyDescent="0.2"/>
  <cols>
    <col min="1" max="1" width="12.33203125" style="90" customWidth="1"/>
    <col min="2" max="2" width="53.83203125" customWidth="1"/>
    <col min="3" max="3" width="12.5" customWidth="1"/>
    <col min="4" max="4" width="14" customWidth="1"/>
    <col min="5" max="5" width="12.5" customWidth="1"/>
    <col min="6" max="6" width="15.1640625" customWidth="1"/>
    <col min="7" max="7" width="12.8320312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9" x14ac:dyDescent="0.25">
      <c r="B1" s="1" t="s">
        <v>940</v>
      </c>
      <c r="C1" s="90">
        <f>DriversCGE!E87</f>
        <v>4</v>
      </c>
    </row>
    <row r="2" spans="1:8" x14ac:dyDescent="0.2">
      <c r="B2" s="87"/>
    </row>
    <row r="3" spans="1:8" s="99" customFormat="1" ht="21.75" customHeight="1" x14ac:dyDescent="0.2">
      <c r="A3" s="98"/>
      <c r="B3" s="98" t="s">
        <v>1002</v>
      </c>
      <c r="C3" s="98"/>
      <c r="D3" s="98"/>
      <c r="E3" s="98"/>
      <c r="F3" s="98"/>
      <c r="G3" s="98"/>
      <c r="H3" s="98"/>
    </row>
    <row r="4" spans="1:8" s="44" customFormat="1" x14ac:dyDescent="0.2">
      <c r="A4" s="91" t="s">
        <v>1404</v>
      </c>
      <c r="B4" s="36" t="s">
        <v>1384</v>
      </c>
      <c r="C4" s="36"/>
    </row>
    <row r="5" spans="1:8" x14ac:dyDescent="0.2">
      <c r="A5" s="90">
        <v>1</v>
      </c>
      <c r="B5" t="s">
        <v>1003</v>
      </c>
      <c r="C5" s="105" t="str">
        <f>IF($C$1-2&gt;A5,"On","Off")</f>
        <v>On</v>
      </c>
      <c r="F5" t="s">
        <v>1385</v>
      </c>
    </row>
    <row r="6" spans="1:8" x14ac:dyDescent="0.2">
      <c r="A6" s="90">
        <v>1</v>
      </c>
      <c r="B6" t="s">
        <v>945</v>
      </c>
      <c r="C6" s="105" t="str">
        <f t="shared" ref="C6:C14" si="0">IF($C$1-2&gt;A6,"On","Off")</f>
        <v>On</v>
      </c>
    </row>
    <row r="7" spans="1:8" x14ac:dyDescent="0.2">
      <c r="A7" s="90">
        <v>1</v>
      </c>
      <c r="B7" t="s">
        <v>1337</v>
      </c>
      <c r="C7" s="105" t="str">
        <f t="shared" si="0"/>
        <v>On</v>
      </c>
    </row>
    <row r="8" spans="1:8" x14ac:dyDescent="0.2">
      <c r="A8" s="90">
        <v>1</v>
      </c>
      <c r="B8" t="s">
        <v>987</v>
      </c>
      <c r="C8" s="105" t="str">
        <f t="shared" si="0"/>
        <v>On</v>
      </c>
    </row>
    <row r="9" spans="1:8" x14ac:dyDescent="0.2">
      <c r="A9" s="90">
        <v>1</v>
      </c>
      <c r="B9" t="s">
        <v>988</v>
      </c>
      <c r="C9" s="105" t="str">
        <f t="shared" si="0"/>
        <v>On</v>
      </c>
    </row>
    <row r="10" spans="1:8" x14ac:dyDescent="0.2">
      <c r="A10" s="90">
        <v>1</v>
      </c>
      <c r="B10" t="s">
        <v>991</v>
      </c>
      <c r="C10" s="105" t="str">
        <f t="shared" si="0"/>
        <v>On</v>
      </c>
    </row>
    <row r="11" spans="1:8" x14ac:dyDescent="0.2">
      <c r="A11" s="90">
        <v>1</v>
      </c>
      <c r="B11" s="103" t="s">
        <v>989</v>
      </c>
      <c r="C11" s="105" t="str">
        <f t="shared" si="0"/>
        <v>On</v>
      </c>
      <c r="F11" t="s">
        <v>1386</v>
      </c>
    </row>
    <row r="12" spans="1:8" ht="64.5" customHeight="1" x14ac:dyDescent="0.2">
      <c r="A12" s="90">
        <v>2</v>
      </c>
      <c r="B12" t="s">
        <v>993</v>
      </c>
      <c r="C12" s="105" t="str">
        <f>IF($C$1-2&gt;A12,"PB","Off")</f>
        <v>Off</v>
      </c>
      <c r="D12" s="135" t="s">
        <v>1382</v>
      </c>
      <c r="E12" s="136"/>
    </row>
    <row r="13" spans="1:8" x14ac:dyDescent="0.2">
      <c r="A13" s="90">
        <v>2</v>
      </c>
      <c r="B13" s="103" t="s">
        <v>994</v>
      </c>
      <c r="C13" s="105" t="str">
        <f t="shared" si="0"/>
        <v>Off</v>
      </c>
      <c r="F13" t="s">
        <v>1387</v>
      </c>
    </row>
    <row r="14" spans="1:8" x14ac:dyDescent="0.2">
      <c r="A14" s="90">
        <v>2</v>
      </c>
      <c r="B14" t="s">
        <v>1383</v>
      </c>
      <c r="C14" s="105" t="str">
        <f t="shared" si="0"/>
        <v>Off</v>
      </c>
    </row>
    <row r="15" spans="1:8" x14ac:dyDescent="0.2">
      <c r="B15" s="87"/>
    </row>
    <row r="16" spans="1:8" s="99" customFormat="1" ht="29.25" customHeight="1" x14ac:dyDescent="0.2">
      <c r="A16" s="98"/>
      <c r="B16" s="98" t="s">
        <v>1374</v>
      </c>
      <c r="C16" s="98">
        <v>2020</v>
      </c>
      <c r="D16" s="98">
        <v>2030</v>
      </c>
      <c r="E16" s="98">
        <v>2040</v>
      </c>
      <c r="F16" s="98">
        <v>2050</v>
      </c>
    </row>
    <row r="17" spans="1:8" s="107" customFormat="1" x14ac:dyDescent="0.2">
      <c r="A17" s="106"/>
      <c r="B17" s="107" t="s">
        <v>1003</v>
      </c>
      <c r="H17" s="108"/>
    </row>
    <row r="18" spans="1:8" x14ac:dyDescent="0.2">
      <c r="A18" s="90" t="s">
        <v>947</v>
      </c>
      <c r="B18" t="s">
        <v>948</v>
      </c>
      <c r="C18">
        <v>3</v>
      </c>
      <c r="D18">
        <v>4</v>
      </c>
      <c r="E18">
        <v>4</v>
      </c>
      <c r="F18">
        <v>4</v>
      </c>
      <c r="H18" s="92"/>
    </row>
    <row r="19" spans="1:8" x14ac:dyDescent="0.2">
      <c r="A19" s="90" t="s">
        <v>947</v>
      </c>
      <c r="B19" t="s">
        <v>950</v>
      </c>
      <c r="C19">
        <v>2</v>
      </c>
      <c r="D19">
        <v>4</v>
      </c>
      <c r="E19">
        <v>4</v>
      </c>
      <c r="F19">
        <v>4</v>
      </c>
      <c r="H19" s="92"/>
    </row>
    <row r="20" spans="1:8" x14ac:dyDescent="0.2">
      <c r="A20" s="90" t="s">
        <v>947</v>
      </c>
      <c r="B20" t="s">
        <v>949</v>
      </c>
      <c r="C20">
        <v>3</v>
      </c>
      <c r="D20">
        <v>4</v>
      </c>
      <c r="E20">
        <v>4</v>
      </c>
      <c r="F20">
        <v>4</v>
      </c>
      <c r="H20" s="92"/>
    </row>
    <row r="21" spans="1:8" x14ac:dyDescent="0.2">
      <c r="A21" s="90" t="s">
        <v>947</v>
      </c>
      <c r="B21" t="s">
        <v>1013</v>
      </c>
      <c r="C21">
        <v>0</v>
      </c>
      <c r="D21">
        <v>80</v>
      </c>
      <c r="E21">
        <v>100</v>
      </c>
      <c r="F21">
        <v>100</v>
      </c>
      <c r="H21" s="92"/>
    </row>
    <row r="22" spans="1:8" x14ac:dyDescent="0.2">
      <c r="A22" s="90" t="s">
        <v>947</v>
      </c>
      <c r="B22" t="s">
        <v>1015</v>
      </c>
      <c r="C22">
        <v>0</v>
      </c>
      <c r="D22">
        <v>50</v>
      </c>
      <c r="E22">
        <v>80</v>
      </c>
      <c r="F22">
        <v>100</v>
      </c>
      <c r="H22" s="92"/>
    </row>
    <row r="23" spans="1:8" x14ac:dyDescent="0.2">
      <c r="A23" s="90" t="s">
        <v>947</v>
      </c>
      <c r="B23" t="s">
        <v>1014</v>
      </c>
      <c r="C23">
        <v>0</v>
      </c>
      <c r="D23">
        <v>80</v>
      </c>
      <c r="E23">
        <v>100</v>
      </c>
      <c r="F23">
        <v>100</v>
      </c>
      <c r="H23" s="92"/>
    </row>
    <row r="25" spans="1:8" s="107" customFormat="1" x14ac:dyDescent="0.2">
      <c r="A25" s="106"/>
      <c r="B25" s="107" t="s">
        <v>945</v>
      </c>
      <c r="H25" s="108"/>
    </row>
    <row r="26" spans="1:8" x14ac:dyDescent="0.2">
      <c r="A26" s="90" t="s">
        <v>947</v>
      </c>
      <c r="B26" t="s">
        <v>1339</v>
      </c>
      <c r="C26">
        <v>0</v>
      </c>
      <c r="D26">
        <v>20</v>
      </c>
      <c r="E26">
        <v>20</v>
      </c>
      <c r="F26">
        <v>20</v>
      </c>
      <c r="H26" s="92"/>
    </row>
    <row r="27" spans="1:8" x14ac:dyDescent="0.2">
      <c r="A27" s="90" t="s">
        <v>947</v>
      </c>
      <c r="B27" t="s">
        <v>1343</v>
      </c>
      <c r="C27">
        <v>0</v>
      </c>
      <c r="D27">
        <v>20</v>
      </c>
      <c r="E27">
        <v>20</v>
      </c>
      <c r="F27">
        <v>20</v>
      </c>
      <c r="H27" s="92"/>
    </row>
    <row r="28" spans="1:8" x14ac:dyDescent="0.2">
      <c r="A28" s="90" t="s">
        <v>947</v>
      </c>
      <c r="B28" t="s">
        <v>1017</v>
      </c>
      <c r="C28">
        <v>0</v>
      </c>
      <c r="D28">
        <v>70</v>
      </c>
      <c r="E28">
        <v>100</v>
      </c>
      <c r="F28">
        <v>100</v>
      </c>
      <c r="H28" s="92" t="s">
        <v>1388</v>
      </c>
    </row>
    <row r="29" spans="1:8" x14ac:dyDescent="0.2">
      <c r="A29" s="90" t="s">
        <v>947</v>
      </c>
      <c r="B29" t="s">
        <v>1014</v>
      </c>
      <c r="C29">
        <v>0</v>
      </c>
      <c r="D29">
        <v>70</v>
      </c>
      <c r="E29">
        <v>100</v>
      </c>
      <c r="F29">
        <v>100</v>
      </c>
    </row>
    <row r="31" spans="1:8" s="107" customFormat="1" x14ac:dyDescent="0.2">
      <c r="A31" s="106"/>
      <c r="B31" s="107" t="s">
        <v>1337</v>
      </c>
      <c r="H31" s="108"/>
    </row>
    <row r="32" spans="1:8" x14ac:dyDescent="0.2">
      <c r="B32" t="s">
        <v>1339</v>
      </c>
      <c r="C32">
        <v>0</v>
      </c>
      <c r="D32">
        <v>10</v>
      </c>
      <c r="E32">
        <v>15</v>
      </c>
      <c r="F32">
        <v>20</v>
      </c>
    </row>
    <row r="33" spans="1:8" x14ac:dyDescent="0.2">
      <c r="B33" t="s">
        <v>1340</v>
      </c>
      <c r="C33">
        <v>0</v>
      </c>
      <c r="D33">
        <v>10</v>
      </c>
      <c r="E33">
        <v>15</v>
      </c>
      <c r="F33">
        <v>20</v>
      </c>
    </row>
    <row r="34" spans="1:8" x14ac:dyDescent="0.2">
      <c r="B34" t="s">
        <v>1341</v>
      </c>
      <c r="C34">
        <v>0</v>
      </c>
      <c r="D34">
        <v>10</v>
      </c>
      <c r="E34">
        <v>15</v>
      </c>
      <c r="F34">
        <v>20</v>
      </c>
    </row>
    <row r="35" spans="1:8" x14ac:dyDescent="0.2">
      <c r="B35" t="s">
        <v>1342</v>
      </c>
      <c r="C35">
        <v>0</v>
      </c>
      <c r="D35">
        <v>10</v>
      </c>
      <c r="E35">
        <v>15</v>
      </c>
      <c r="F35">
        <v>20</v>
      </c>
    </row>
    <row r="36" spans="1:8" x14ac:dyDescent="0.2">
      <c r="B36" t="s">
        <v>1343</v>
      </c>
      <c r="C36">
        <v>0</v>
      </c>
      <c r="D36">
        <v>10</v>
      </c>
      <c r="E36">
        <v>15</v>
      </c>
      <c r="F36">
        <v>20</v>
      </c>
    </row>
    <row r="37" spans="1:8" x14ac:dyDescent="0.2">
      <c r="B37" t="s">
        <v>1362</v>
      </c>
      <c r="C37">
        <v>0</v>
      </c>
      <c r="D37">
        <v>2</v>
      </c>
      <c r="E37">
        <v>3.5</v>
      </c>
      <c r="F37">
        <v>5</v>
      </c>
    </row>
    <row r="38" spans="1:8" x14ac:dyDescent="0.2">
      <c r="B38" t="s">
        <v>1364</v>
      </c>
      <c r="C38">
        <v>0</v>
      </c>
      <c r="D38">
        <v>2</v>
      </c>
      <c r="E38">
        <v>3.5</v>
      </c>
      <c r="F38">
        <v>5</v>
      </c>
    </row>
    <row r="39" spans="1:8" x14ac:dyDescent="0.2">
      <c r="B39" t="s">
        <v>1017</v>
      </c>
      <c r="C39">
        <v>0</v>
      </c>
      <c r="D39">
        <v>40</v>
      </c>
      <c r="E39">
        <v>60</v>
      </c>
      <c r="F39">
        <v>80</v>
      </c>
    </row>
    <row r="40" spans="1:8" x14ac:dyDescent="0.2">
      <c r="B40" t="s">
        <v>1352</v>
      </c>
      <c r="C40">
        <v>0</v>
      </c>
      <c r="D40">
        <v>40</v>
      </c>
      <c r="E40">
        <v>60</v>
      </c>
      <c r="F40">
        <v>80</v>
      </c>
    </row>
    <row r="41" spans="1:8" x14ac:dyDescent="0.2">
      <c r="B41" t="s">
        <v>1046</v>
      </c>
      <c r="C41">
        <v>0</v>
      </c>
      <c r="D41">
        <v>40</v>
      </c>
      <c r="E41">
        <v>60</v>
      </c>
      <c r="F41">
        <v>80</v>
      </c>
    </row>
    <row r="42" spans="1:8" x14ac:dyDescent="0.2">
      <c r="B42" t="s">
        <v>1015</v>
      </c>
      <c r="C42">
        <v>0</v>
      </c>
      <c r="D42">
        <v>40</v>
      </c>
      <c r="E42">
        <v>60</v>
      </c>
      <c r="F42">
        <v>80</v>
      </c>
    </row>
    <row r="43" spans="1:8" x14ac:dyDescent="0.2">
      <c r="B43" t="s">
        <v>1047</v>
      </c>
      <c r="C43">
        <v>0</v>
      </c>
      <c r="D43">
        <v>40</v>
      </c>
      <c r="E43">
        <v>60</v>
      </c>
      <c r="F43">
        <v>80</v>
      </c>
    </row>
    <row r="45" spans="1:8" s="107" customFormat="1" x14ac:dyDescent="0.2">
      <c r="A45" s="106"/>
      <c r="B45" s="107" t="s">
        <v>987</v>
      </c>
      <c r="H45" s="108"/>
    </row>
    <row r="46" spans="1:8" x14ac:dyDescent="0.2">
      <c r="B46" t="s">
        <v>1041</v>
      </c>
      <c r="C46">
        <v>70</v>
      </c>
      <c r="D46">
        <v>80</v>
      </c>
      <c r="E46">
        <v>85</v>
      </c>
      <c r="F46">
        <v>85</v>
      </c>
    </row>
    <row r="47" spans="1:8" x14ac:dyDescent="0.2">
      <c r="B47" t="s">
        <v>1034</v>
      </c>
      <c r="C47">
        <v>70</v>
      </c>
      <c r="D47">
        <v>80</v>
      </c>
      <c r="E47">
        <v>80</v>
      </c>
      <c r="F47">
        <v>80</v>
      </c>
    </row>
    <row r="48" spans="1:8" x14ac:dyDescent="0.2">
      <c r="B48" t="s">
        <v>1042</v>
      </c>
      <c r="C48">
        <v>60</v>
      </c>
      <c r="D48">
        <v>70</v>
      </c>
      <c r="E48">
        <v>70</v>
      </c>
      <c r="F48">
        <v>70</v>
      </c>
    </row>
    <row r="49" spans="2:8" x14ac:dyDescent="0.2">
      <c r="B49" t="s">
        <v>1035</v>
      </c>
      <c r="C49">
        <v>60</v>
      </c>
      <c r="D49">
        <v>70</v>
      </c>
      <c r="E49">
        <v>70</v>
      </c>
      <c r="F49">
        <v>70</v>
      </c>
    </row>
    <row r="50" spans="2:8" x14ac:dyDescent="0.2">
      <c r="B50" t="s">
        <v>1043</v>
      </c>
      <c r="C50">
        <v>75</v>
      </c>
      <c r="D50">
        <v>80</v>
      </c>
      <c r="E50">
        <v>85</v>
      </c>
      <c r="F50">
        <v>85</v>
      </c>
    </row>
    <row r="51" spans="2:8" x14ac:dyDescent="0.2">
      <c r="B51" t="s">
        <v>1036</v>
      </c>
      <c r="C51">
        <v>50</v>
      </c>
      <c r="D51">
        <v>60</v>
      </c>
      <c r="E51">
        <v>60</v>
      </c>
      <c r="F51">
        <v>60</v>
      </c>
    </row>
    <row r="52" spans="2:8" x14ac:dyDescent="0.2">
      <c r="B52" t="s">
        <v>1037</v>
      </c>
      <c r="C52">
        <v>60</v>
      </c>
      <c r="D52">
        <v>70</v>
      </c>
      <c r="E52">
        <v>70</v>
      </c>
      <c r="F52">
        <v>70</v>
      </c>
    </row>
    <row r="53" spans="2:8" x14ac:dyDescent="0.2">
      <c r="B53" t="s">
        <v>1038</v>
      </c>
      <c r="C53">
        <v>50</v>
      </c>
      <c r="D53">
        <v>60</v>
      </c>
      <c r="E53">
        <v>60</v>
      </c>
      <c r="F53">
        <v>60</v>
      </c>
    </row>
    <row r="54" spans="2:8" x14ac:dyDescent="0.2">
      <c r="B54" t="s">
        <v>1039</v>
      </c>
      <c r="C54">
        <v>60</v>
      </c>
      <c r="D54">
        <v>70</v>
      </c>
      <c r="E54">
        <v>70</v>
      </c>
      <c r="F54">
        <v>70</v>
      </c>
    </row>
    <row r="55" spans="2:8" x14ac:dyDescent="0.2">
      <c r="B55" t="s">
        <v>1040</v>
      </c>
      <c r="C55">
        <v>50</v>
      </c>
      <c r="D55">
        <v>60</v>
      </c>
      <c r="E55">
        <v>60</v>
      </c>
      <c r="F55">
        <v>60</v>
      </c>
    </row>
    <row r="56" spans="2:8" x14ac:dyDescent="0.2">
      <c r="B56" t="s">
        <v>1017</v>
      </c>
      <c r="C56">
        <v>0</v>
      </c>
      <c r="D56">
        <v>85</v>
      </c>
      <c r="E56">
        <v>85</v>
      </c>
      <c r="F56">
        <v>85</v>
      </c>
      <c r="H56" s="92"/>
    </row>
    <row r="57" spans="2:8" x14ac:dyDescent="0.2">
      <c r="B57" t="s">
        <v>1045</v>
      </c>
      <c r="C57">
        <v>0</v>
      </c>
      <c r="D57">
        <v>85</v>
      </c>
      <c r="E57">
        <v>85</v>
      </c>
      <c r="F57">
        <v>85</v>
      </c>
    </row>
    <row r="58" spans="2:8" x14ac:dyDescent="0.2">
      <c r="B58" t="s">
        <v>1046</v>
      </c>
      <c r="C58">
        <v>0</v>
      </c>
      <c r="D58">
        <v>60</v>
      </c>
      <c r="E58">
        <v>60</v>
      </c>
      <c r="F58">
        <v>60</v>
      </c>
    </row>
    <row r="59" spans="2:8" x14ac:dyDescent="0.2">
      <c r="B59" t="s">
        <v>1015</v>
      </c>
      <c r="C59">
        <v>0</v>
      </c>
      <c r="D59">
        <v>60</v>
      </c>
      <c r="E59">
        <v>60</v>
      </c>
      <c r="F59">
        <v>60</v>
      </c>
    </row>
    <row r="60" spans="2:8" x14ac:dyDescent="0.2">
      <c r="B60" t="s">
        <v>1048</v>
      </c>
      <c r="C60">
        <v>0</v>
      </c>
      <c r="D60">
        <v>60</v>
      </c>
      <c r="E60">
        <v>60</v>
      </c>
      <c r="F60">
        <v>60</v>
      </c>
    </row>
    <row r="61" spans="2:8" x14ac:dyDescent="0.2">
      <c r="B61" t="s">
        <v>1047</v>
      </c>
      <c r="C61">
        <v>0</v>
      </c>
      <c r="D61">
        <v>85</v>
      </c>
      <c r="E61">
        <v>85</v>
      </c>
      <c r="F61">
        <v>85</v>
      </c>
    </row>
    <row r="62" spans="2:8" x14ac:dyDescent="0.2">
      <c r="B62" t="s">
        <v>1016</v>
      </c>
      <c r="C62">
        <v>0</v>
      </c>
      <c r="D62">
        <v>60</v>
      </c>
      <c r="E62">
        <v>60</v>
      </c>
      <c r="F62">
        <v>60</v>
      </c>
    </row>
    <row r="63" spans="2:8" x14ac:dyDescent="0.2">
      <c r="B63" t="s">
        <v>1049</v>
      </c>
      <c r="C63">
        <v>0</v>
      </c>
      <c r="D63">
        <v>40</v>
      </c>
      <c r="E63">
        <v>40</v>
      </c>
      <c r="F63">
        <v>40</v>
      </c>
    </row>
    <row r="64" spans="2:8" x14ac:dyDescent="0.2">
      <c r="B64" t="s">
        <v>1051</v>
      </c>
      <c r="C64">
        <v>0</v>
      </c>
      <c r="D64">
        <v>0</v>
      </c>
      <c r="E64">
        <v>40</v>
      </c>
      <c r="F64">
        <v>40</v>
      </c>
    </row>
    <row r="65" spans="1:8" x14ac:dyDescent="0.2">
      <c r="B65" t="s">
        <v>1050</v>
      </c>
      <c r="C65">
        <v>0</v>
      </c>
      <c r="D65">
        <v>0</v>
      </c>
      <c r="E65">
        <v>20</v>
      </c>
      <c r="F65">
        <v>20</v>
      </c>
    </row>
    <row r="67" spans="1:8" s="107" customFormat="1" x14ac:dyDescent="0.2">
      <c r="A67" s="106"/>
      <c r="B67" s="107" t="s">
        <v>988</v>
      </c>
      <c r="H67" s="108"/>
    </row>
    <row r="68" spans="1:8" x14ac:dyDescent="0.2">
      <c r="B68" t="s">
        <v>1114</v>
      </c>
      <c r="C68">
        <v>0</v>
      </c>
      <c r="D68">
        <v>50</v>
      </c>
      <c r="E68">
        <v>100</v>
      </c>
      <c r="F68">
        <v>100</v>
      </c>
    </row>
    <row r="69" spans="1:8" x14ac:dyDescent="0.2">
      <c r="B69" t="s">
        <v>1115</v>
      </c>
      <c r="C69">
        <v>0</v>
      </c>
      <c r="D69">
        <v>50</v>
      </c>
      <c r="E69">
        <v>100</v>
      </c>
      <c r="F69">
        <v>100</v>
      </c>
    </row>
    <row r="70" spans="1:8" x14ac:dyDescent="0.2">
      <c r="B70" t="s">
        <v>1124</v>
      </c>
      <c r="C70">
        <v>0</v>
      </c>
      <c r="D70">
        <v>50</v>
      </c>
      <c r="E70">
        <v>100</v>
      </c>
      <c r="F70">
        <v>100</v>
      </c>
    </row>
    <row r="72" spans="1:8" s="107" customFormat="1" x14ac:dyDescent="0.2">
      <c r="A72" s="106"/>
      <c r="B72" s="107" t="s">
        <v>991</v>
      </c>
      <c r="H72" s="108"/>
    </row>
    <row r="73" spans="1:8" x14ac:dyDescent="0.2">
      <c r="B73" t="s">
        <v>1217</v>
      </c>
      <c r="C73">
        <v>0</v>
      </c>
      <c r="D73">
        <v>80</v>
      </c>
      <c r="E73">
        <v>100</v>
      </c>
      <c r="F73">
        <v>100</v>
      </c>
    </row>
    <row r="74" spans="1:8" x14ac:dyDescent="0.2">
      <c r="B74" t="s">
        <v>1218</v>
      </c>
      <c r="C74">
        <v>0</v>
      </c>
      <c r="D74">
        <v>0</v>
      </c>
      <c r="E74">
        <v>0</v>
      </c>
      <c r="F74">
        <v>0</v>
      </c>
    </row>
    <row r="75" spans="1:8" x14ac:dyDescent="0.2">
      <c r="B75" t="s">
        <v>1235</v>
      </c>
      <c r="C75">
        <v>0</v>
      </c>
      <c r="D75">
        <v>30</v>
      </c>
      <c r="E75">
        <v>40</v>
      </c>
      <c r="F75">
        <v>50</v>
      </c>
    </row>
    <row r="77" spans="1:8" s="107" customFormat="1" x14ac:dyDescent="0.2">
      <c r="A77" s="106"/>
      <c r="B77" s="107" t="s">
        <v>1376</v>
      </c>
      <c r="H77" s="108"/>
    </row>
    <row r="78" spans="1:8" x14ac:dyDescent="0.2">
      <c r="B78" t="s">
        <v>1367</v>
      </c>
      <c r="C78">
        <v>0</v>
      </c>
      <c r="D78">
        <v>15</v>
      </c>
      <c r="E78">
        <v>25</v>
      </c>
      <c r="F78">
        <v>30</v>
      </c>
    </row>
    <row r="79" spans="1:8" x14ac:dyDescent="0.2">
      <c r="B79" t="s">
        <v>1368</v>
      </c>
      <c r="C79">
        <v>0</v>
      </c>
      <c r="D79">
        <f>D78/3</f>
        <v>5</v>
      </c>
      <c r="E79" s="85">
        <f>E78/3</f>
        <v>8.3333333333333339</v>
      </c>
      <c r="F79">
        <f>F78/3</f>
        <v>10</v>
      </c>
    </row>
    <row r="80" spans="1:8" x14ac:dyDescent="0.2">
      <c r="B80" t="s">
        <v>1369</v>
      </c>
      <c r="C80">
        <v>0</v>
      </c>
      <c r="D80">
        <f>(D78-D79)+(0.05*(D78-D79))</f>
        <v>10.5</v>
      </c>
      <c r="E80">
        <f t="shared" ref="E80:F80" si="1">(E78-E79)+(0.05*(E78-E79))</f>
        <v>17.499999999999996</v>
      </c>
      <c r="F80">
        <f t="shared" si="1"/>
        <v>21</v>
      </c>
    </row>
    <row r="82" spans="1:8" s="107" customFormat="1" x14ac:dyDescent="0.2">
      <c r="A82" s="106"/>
      <c r="B82" s="107" t="s">
        <v>1377</v>
      </c>
      <c r="H82" s="108"/>
    </row>
    <row r="83" spans="1:8" x14ac:dyDescent="0.2">
      <c r="B83" t="s">
        <v>1367</v>
      </c>
      <c r="C83">
        <f>C78</f>
        <v>0</v>
      </c>
      <c r="D83">
        <f t="shared" ref="D83:F83" si="2">D78</f>
        <v>15</v>
      </c>
      <c r="E83">
        <f t="shared" si="2"/>
        <v>25</v>
      </c>
      <c r="F83">
        <f t="shared" si="2"/>
        <v>30</v>
      </c>
    </row>
    <row r="85" spans="1:8" s="107" customFormat="1" x14ac:dyDescent="0.2">
      <c r="A85" s="106"/>
      <c r="B85" s="107" t="s">
        <v>994</v>
      </c>
      <c r="H85" s="108"/>
    </row>
    <row r="88" spans="1:8" s="107" customFormat="1" x14ac:dyDescent="0.2">
      <c r="A88" s="106"/>
      <c r="B88" s="107" t="s">
        <v>1256</v>
      </c>
      <c r="H88" s="108"/>
    </row>
    <row r="89" spans="1:8" x14ac:dyDescent="0.2">
      <c r="B89" t="s">
        <v>1257</v>
      </c>
      <c r="C89">
        <v>0</v>
      </c>
      <c r="D89">
        <v>0.5</v>
      </c>
      <c r="E89">
        <v>0.8</v>
      </c>
      <c r="F89">
        <v>1</v>
      </c>
    </row>
    <row r="90" spans="1:8" x14ac:dyDescent="0.2">
      <c r="B90" t="s">
        <v>1258</v>
      </c>
      <c r="C90">
        <v>0</v>
      </c>
      <c r="D90">
        <v>0.2</v>
      </c>
      <c r="E90">
        <v>0.3</v>
      </c>
      <c r="F90">
        <v>0.4</v>
      </c>
    </row>
    <row r="91" spans="1:8" x14ac:dyDescent="0.2">
      <c r="B91" t="s">
        <v>1259</v>
      </c>
      <c r="C91">
        <v>0</v>
      </c>
      <c r="D91">
        <v>0.2</v>
      </c>
      <c r="E91">
        <v>0.3</v>
      </c>
      <c r="F91">
        <v>0.4</v>
      </c>
    </row>
    <row r="92" spans="1:8" x14ac:dyDescent="0.2">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baseColWidth="10" defaultColWidth="8.83203125" defaultRowHeight="15" outlineLevelCol="1" x14ac:dyDescent="0.2"/>
  <cols>
    <col min="1" max="1" width="23.6640625" customWidth="1"/>
    <col min="2" max="2" width="37.1640625" customWidth="1"/>
    <col min="3" max="3" width="27.6640625" customWidth="1"/>
    <col min="4" max="4" width="27.5" customWidth="1"/>
    <col min="5" max="5" width="48" customWidth="1"/>
    <col min="6" max="6" width="11.5" customWidth="1"/>
    <col min="7" max="7" width="13.33203125" customWidth="1"/>
    <col min="8" max="27" width="10.6640625" customWidth="1" outlineLevel="1"/>
    <col min="28" max="68" width="10.6640625" customWidth="1"/>
    <col min="69" max="69" width="10.1640625" customWidth="1"/>
    <col min="71" max="71" width="14.1640625" customWidth="1"/>
    <col min="72" max="72" width="27.6640625" customWidth="1"/>
  </cols>
  <sheetData>
    <row r="1" spans="1:72" ht="19" x14ac:dyDescent="0.25">
      <c r="A1" s="1" t="s">
        <v>142</v>
      </c>
      <c r="AI1" s="11"/>
      <c r="AJ1" s="11"/>
    </row>
    <row r="2" spans="1:72" x14ac:dyDescent="0.2">
      <c r="AD2" s="104" t="str">
        <f>IF(AND('Net zero activities &amp; levers'!$C$8="Off",'Net zero activities &amp; levers'!$C$14="Off",'Net zero activities &amp; levers'!$C$7="Off",'Net zero activities &amp; levers'!$C$12="Off"),"Off","On")</f>
        <v>On</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34442.175400286913</v>
      </c>
      <c r="AU4" s="81">
        <f t="shared" si="0"/>
        <v>38277.840139802545</v>
      </c>
      <c r="AV4" s="81">
        <f t="shared" si="0"/>
        <v>41173.016777355224</v>
      </c>
      <c r="AW4" s="81">
        <f>AW11-AV11</f>
        <v>26903.721050743014</v>
      </c>
      <c r="AX4" s="81">
        <f t="shared" si="0"/>
        <v>30199.54711901769</v>
      </c>
      <c r="AY4" s="81">
        <f t="shared" si="0"/>
        <v>33012.929951507598</v>
      </c>
      <c r="AZ4" s="81">
        <f t="shared" si="0"/>
        <v>36169.159361820668</v>
      </c>
      <c r="BA4" s="15">
        <f>BA8/'Intermediate calculations'!AV8</f>
        <v>3.2218706142607765</v>
      </c>
      <c r="BB4" s="15">
        <f>BB8/'Intermediate calculations'!AW8</f>
        <v>3.1276935761938351</v>
      </c>
      <c r="BC4" s="15">
        <f>BC8/'Intermediate calculations'!AX8</f>
        <v>3.0356873623815877</v>
      </c>
      <c r="BD4" s="15">
        <f>BD8/'Intermediate calculations'!AY8</f>
        <v>2.9457635784546565</v>
      </c>
      <c r="BE4" s="15">
        <f>BE8/'Intermediate calculations'!AZ8</f>
        <v>2.857839737582617</v>
      </c>
      <c r="BF4" s="15">
        <f>BF8/'Intermediate calculations'!BA8</f>
        <v>2.7718387251095953</v>
      </c>
      <c r="BG4" s="15">
        <f>BG8/'Intermediate calculations'!BB8</f>
        <v>2.7014010188830087</v>
      </c>
      <c r="BH4" s="15">
        <f>BH8/'Intermediate calculations'!BC8</f>
        <v>2.6324595468066061</v>
      </c>
      <c r="BI4" s="15">
        <f>BI8/'Intermediate calculations'!BD8</f>
        <v>2.56495980011811</v>
      </c>
      <c r="BJ4" s="15">
        <f>BJ8/'Intermediate calculations'!BE8</f>
        <v>2.4988505211132419</v>
      </c>
      <c r="BK4" s="15">
        <f>BK8/'Intermediate calculations'!BF8</f>
        <v>2.4340834394664705</v>
      </c>
      <c r="BL4" s="15">
        <f>BL8/'Intermediate calculations'!BG8</f>
        <v>2.3706130351353294</v>
      </c>
      <c r="BM4" s="15">
        <f>BM8/'Intermediate calculations'!BH8</f>
        <v>2.3083963246733155</v>
      </c>
      <c r="BN4" s="15">
        <f>BN8/'Intermediate calculations'!BI8</f>
        <v>2.2473926682119334</v>
      </c>
      <c r="BO4" s="15">
        <f>BO8/'Intermediate calculations'!BJ8</f>
        <v>2.1875635947407979</v>
      </c>
      <c r="BP4" s="15">
        <f>BP8/'Intermediate calculations'!BK8</f>
        <v>2.1288726436274175</v>
      </c>
      <c r="BS4" s="16"/>
      <c r="BT4" s="15"/>
    </row>
    <row r="5" spans="1:72" x14ac:dyDescent="0.2">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593358.66490468499</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603045.20236245112</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608615.99513645703</v>
      </c>
      <c r="AL5" s="102">
        <f>IF($AD$2="Off",'Activity data'!AL5,'Net zero Intermediate calcs'!AG15*'Net zero Intermediate calcs'!AG16*Constants!$H$18)</f>
        <v>591954.99978317763</v>
      </c>
      <c r="AM5" s="102">
        <f>IF($AD$2="Off",'Activity data'!AM5,'Net zero Intermediate calcs'!AH15*'Net zero Intermediate calcs'!AH16*Constants!$H$18)</f>
        <v>593967.78766394651</v>
      </c>
      <c r="AN5" s="102">
        <f>IF($AD$2="Off",'Activity data'!AN5,'Net zero Intermediate calcs'!AI15*'Net zero Intermediate calcs'!AI16*Constants!$H$18)</f>
        <v>594423.18401132419</v>
      </c>
      <c r="AO5" s="102">
        <f>IF($AD$2="Off",'Activity data'!AO5,'Net zero Intermediate calcs'!AJ15*'Net zero Intermediate calcs'!AJ16*Constants!$H$18)</f>
        <v>594519.56896218157</v>
      </c>
      <c r="AP5" s="102">
        <f>IF($AD$2="Off",'Activity data'!AP5,'Net zero Intermediate calcs'!AK15*'Net zero Intermediate calcs'!AK16*Constants!$H$18)</f>
        <v>595361.81552413933</v>
      </c>
      <c r="AQ5" s="102">
        <f>IF($AD$2="Off",'Activity data'!AQ5,'Net zero Intermediate calcs'!AL15*'Net zero Intermediate calcs'!AL16*Constants!$H$18)</f>
        <v>595869.67923656525</v>
      </c>
      <c r="AR5" s="102">
        <f>IF($AD$2="Off",'Activity data'!AR5,'Net zero Intermediate calcs'!AM15*'Net zero Intermediate calcs'!AM16*Constants!$H$18)</f>
        <v>595418.7620995068</v>
      </c>
      <c r="AS5" s="102">
        <f>IF($AD$2="Off",'Activity data'!AS5,'Net zero Intermediate calcs'!AN15*'Net zero Intermediate calcs'!AN16*Constants!$H$18)</f>
        <v>594767.62892857054</v>
      </c>
      <c r="AT5" s="102">
        <f>IF($AD$2="Off",'Activity data'!AT5,'Net zero Intermediate calcs'!AO15*'Net zero Intermediate calcs'!AO16*Constants!$H$18)</f>
        <v>593820.53592485294</v>
      </c>
      <c r="AU5" s="102">
        <f>IF($AD$2="Off",'Activity data'!AU5,'Net zero Intermediate calcs'!AP15*'Net zero Intermediate calcs'!AP16*Constants!$H$18)</f>
        <v>594024.3062500864</v>
      </c>
      <c r="AV5" s="102">
        <f>IF($AD$2="Off",'Activity data'!AV5,'Net zero Intermediate calcs'!AQ15*'Net zero Intermediate calcs'!AQ16*Constants!$H$18)</f>
        <v>594110.14434963593</v>
      </c>
      <c r="AW5" s="102">
        <f>IF($AD$2="Off",'Activity data'!AW5,'Net zero Intermediate calcs'!AR15*'Net zero Intermediate calcs'!AR16*Constants!$H$18)</f>
        <v>598564.76251026965</v>
      </c>
      <c r="AX5" s="102">
        <f>IF($AD$2="Off",'Activity data'!AX5,'Net zero Intermediate calcs'!AS15*'Net zero Intermediate calcs'!AS16*Constants!$H$18)</f>
        <v>604192.71784959477</v>
      </c>
      <c r="AY5" s="102">
        <f>IF($AD$2="Off",'Activity data'!AY5,'Net zero Intermediate calcs'!AT15*'Net zero Intermediate calcs'!AT16*Constants!$H$18)</f>
        <v>610413.87437988259</v>
      </c>
      <c r="AZ5" s="102">
        <f>IF($AD$2="Off",'Activity data'!AZ5,'Net zero Intermediate calcs'!AU15*'Net zero Intermediate calcs'!AU16*Constants!$H$18)</f>
        <v>617898.30779533635</v>
      </c>
      <c r="BA5" s="102">
        <f>IF($AD$2="Off",'Activity data'!BA5,'Net zero Intermediate calcs'!AV15*'Net zero Intermediate calcs'!AV16*Constants!$H$18)</f>
        <v>623593.02050900715</v>
      </c>
      <c r="BB5" s="102">
        <f>IF($AD$2="Off",'Activity data'!BB5,'Net zero Intermediate calcs'!AW15*'Net zero Intermediate calcs'!AW16*Constants!$H$18)</f>
        <v>628790.06480740663</v>
      </c>
      <c r="BC5" s="102">
        <f>IF($AD$2="Off",'Activity data'!BC5,'Net zero Intermediate calcs'!AX15*'Net zero Intermediate calcs'!AX16*Constants!$H$18)</f>
        <v>634647.65300487261</v>
      </c>
      <c r="BD5" s="102">
        <f>IF($AD$2="Off",'Activity data'!BD5,'Net zero Intermediate calcs'!AY15*'Net zero Intermediate calcs'!AY16*Constants!$H$18)</f>
        <v>640297.72919261106</v>
      </c>
      <c r="BE5" s="102">
        <f>IF($AD$2="Off",'Activity data'!BE5,'Net zero Intermediate calcs'!AZ15*'Net zero Intermediate calcs'!AZ16*Constants!$H$18)</f>
        <v>646330.48890065204</v>
      </c>
      <c r="BF5" s="102">
        <f>IF($AD$2="Off",'Activity data'!BF5,'Net zero Intermediate calcs'!BA15*'Net zero Intermediate calcs'!BA16*Constants!$H$18)</f>
        <v>652441.54155396321</v>
      </c>
      <c r="BG5" s="102">
        <f>IF($AD$2="Off",'Activity data'!BG5,'Net zero Intermediate calcs'!BB15*'Net zero Intermediate calcs'!BB16*Constants!$H$18)</f>
        <v>659282.55499903113</v>
      </c>
      <c r="BH5" s="102">
        <f>IF($AD$2="Off",'Activity data'!BH5,'Net zero Intermediate calcs'!BC15*'Net zero Intermediate calcs'!BC16*Constants!$H$18)</f>
        <v>665827.11858377943</v>
      </c>
      <c r="BI5" s="102">
        <f>IF($AD$2="Off",'Activity data'!BI5,'Net zero Intermediate calcs'!BD15*'Net zero Intermediate calcs'!BD16*Constants!$H$18)</f>
        <v>672527.5728021476</v>
      </c>
      <c r="BJ5" s="102">
        <f>IF($AD$2="Off",'Activity data'!BJ5,'Net zero Intermediate calcs'!BE15*'Net zero Intermediate calcs'!BE16*Constants!$H$18)</f>
        <v>679501.20016670297</v>
      </c>
      <c r="BK5" s="102">
        <f>IF($AD$2="Off",'Activity data'!BK5,'Net zero Intermediate calcs'!BF15*'Net zero Intermediate calcs'!BF16*Constants!$H$18)</f>
        <v>686792.69853548973</v>
      </c>
      <c r="BL5" s="102">
        <f>IF($AD$2="Off",'Activity data'!BL5,'Net zero Intermediate calcs'!BG15*'Net zero Intermediate calcs'!BG16*Constants!$H$18)</f>
        <v>695010.64067024505</v>
      </c>
      <c r="BM5" s="102">
        <f>IF($AD$2="Off",'Activity data'!BM5,'Net zero Intermediate calcs'!BH15*'Net zero Intermediate calcs'!BH16*Constants!$H$18)</f>
        <v>700242.00908968993</v>
      </c>
      <c r="BN5" s="102">
        <f>IF($AD$2="Off",'Activity data'!BN5,'Net zero Intermediate calcs'!BI15*'Net zero Intermediate calcs'!BI16*Constants!$H$18)</f>
        <v>705305.10255158006</v>
      </c>
      <c r="BO5" s="102">
        <f>IF($AD$2="Off",'Activity data'!BO5,'Net zero Intermediate calcs'!BJ15*'Net zero Intermediate calcs'!BJ16*Constants!$H$18)</f>
        <v>710523.68866472994</v>
      </c>
      <c r="BP5" s="102">
        <f>IF($AD$2="Off",'Activity data'!BP5,'Net zero Intermediate calcs'!BK15*'Net zero Intermediate calcs'!BK16*Constants!$H$18)</f>
        <v>715760.42902929429</v>
      </c>
      <c r="BQ5">
        <v>840617.99710661627</v>
      </c>
    </row>
    <row r="6" spans="1:72" x14ac:dyDescent="0.2">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491640.03663531045</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499666.02481460234</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504281.82454163581</v>
      </c>
      <c r="AL6" s="102">
        <f>IF($AD$2="Off",'Activity data'!AL6,'Net zero Intermediate calcs'!AG15*'Net zero Intermediate calcs'!AG16*Constants!$H$19)</f>
        <v>490476.99982034724</v>
      </c>
      <c r="AM6" s="102">
        <f>IF($AD$2="Off",'Activity data'!AM6,'Net zero Intermediate calcs'!AH15*'Net zero Intermediate calcs'!AH16*Constants!$H$19)</f>
        <v>492144.73835012707</v>
      </c>
      <c r="AN6" s="102">
        <f>IF($AD$2="Off",'Activity data'!AN6,'Net zero Intermediate calcs'!AI15*'Net zero Intermediate calcs'!AI16*Constants!$H$19)</f>
        <v>492522.06675224</v>
      </c>
      <c r="AO6" s="102">
        <f>IF($AD$2="Off",'Activity data'!AO6,'Net zero Intermediate calcs'!AJ15*'Net zero Intermediate calcs'!AJ16*Constants!$H$19)</f>
        <v>492601.92856866476</v>
      </c>
      <c r="AP6" s="102">
        <f>IF($AD$2="Off",'Activity data'!AP6,'Net zero Intermediate calcs'!AK15*'Net zero Intermediate calcs'!AK16*Constants!$H$19)</f>
        <v>493299.79000571545</v>
      </c>
      <c r="AQ6" s="102">
        <f>IF($AD$2="Off",'Activity data'!AQ6,'Net zero Intermediate calcs'!AL15*'Net zero Intermediate calcs'!AL16*Constants!$H$19)</f>
        <v>493720.59136743977</v>
      </c>
      <c r="AR6" s="102">
        <f>IF($AD$2="Off",'Activity data'!AR6,'Net zero Intermediate calcs'!AM15*'Net zero Intermediate calcs'!AM16*Constants!$H$19)</f>
        <v>493346.97431101993</v>
      </c>
      <c r="AS6" s="102">
        <f>IF($AD$2="Off",'Activity data'!AS6,'Net zero Intermediate calcs'!AN15*'Net zero Intermediate calcs'!AN16*Constants!$H$19)</f>
        <v>492807.46396938706</v>
      </c>
      <c r="AT6" s="102">
        <f>IF($AD$2="Off",'Activity data'!AT6,'Net zero Intermediate calcs'!AO15*'Net zero Intermediate calcs'!AO16*Constants!$H$19)</f>
        <v>492022.7297663067</v>
      </c>
      <c r="AU6" s="102">
        <f>IF($AD$2="Off",'Activity data'!AU6,'Net zero Intermediate calcs'!AP15*'Net zero Intermediate calcs'!AP16*Constants!$H$19)</f>
        <v>492191.56803578587</v>
      </c>
      <c r="AV6" s="102">
        <f>IF($AD$2="Off",'Activity data'!AV6,'Net zero Intermediate calcs'!AQ15*'Net zero Intermediate calcs'!AQ16*Constants!$H$19)</f>
        <v>492262.69103255548</v>
      </c>
      <c r="AW6" s="102">
        <f>IF($AD$2="Off",'Activity data'!AW6,'Net zero Intermediate calcs'!AR15*'Net zero Intermediate calcs'!AR16*Constants!$H$19)</f>
        <v>495953.660365652</v>
      </c>
      <c r="AX6" s="102">
        <f>IF($AD$2="Off",'Activity data'!AX6,'Net zero Intermediate calcs'!AS15*'Net zero Intermediate calcs'!AS16*Constants!$H$19)</f>
        <v>500616.82336109277</v>
      </c>
      <c r="AY6" s="102">
        <f>IF($AD$2="Off",'Activity data'!AY6,'Net zero Intermediate calcs'!AT15*'Net zero Intermediate calcs'!AT16*Constants!$H$19)</f>
        <v>505771.49591475981</v>
      </c>
      <c r="AZ6" s="102">
        <f>IF($AD$2="Off",'Activity data'!AZ6,'Net zero Intermediate calcs'!AU15*'Net zero Intermediate calcs'!AU16*Constants!$H$19)</f>
        <v>511972.88360185013</v>
      </c>
      <c r="BA6" s="102">
        <f>IF($AD$2="Off",'Activity data'!BA6,'Net zero Intermediate calcs'!AV15*'Net zero Intermediate calcs'!AV16*Constants!$H$19)</f>
        <v>516691.35985032015</v>
      </c>
      <c r="BB6" s="102">
        <f>IF($AD$2="Off",'Activity data'!BB6,'Net zero Intermediate calcs'!AW15*'Net zero Intermediate calcs'!AW16*Constants!$H$19)</f>
        <v>520997.48226899403</v>
      </c>
      <c r="BC6" s="102">
        <f>IF($AD$2="Off",'Activity data'!BC6,'Net zero Intermediate calcs'!AX15*'Net zero Intermediate calcs'!AX16*Constants!$H$19)</f>
        <v>525850.91248975159</v>
      </c>
      <c r="BD6" s="102">
        <f>IF($AD$2="Off",'Activity data'!BD6,'Net zero Intermediate calcs'!AY15*'Net zero Intermediate calcs'!AY16*Constants!$H$19)</f>
        <v>530532.40418816346</v>
      </c>
      <c r="BE6" s="102">
        <f>IF($AD$2="Off",'Activity data'!BE6,'Net zero Intermediate calcs'!AZ15*'Net zero Intermediate calcs'!AZ16*Constants!$H$19)</f>
        <v>535530.97651768313</v>
      </c>
      <c r="BF6" s="102">
        <f>IF($AD$2="Off",'Activity data'!BF6,'Net zero Intermediate calcs'!BA15*'Net zero Intermediate calcs'!BA16*Constants!$H$19)</f>
        <v>540594.42014471244</v>
      </c>
      <c r="BG6" s="102">
        <f>IF($AD$2="Off",'Activity data'!BG6,'Net zero Intermediate calcs'!BB15*'Net zero Intermediate calcs'!BB16*Constants!$H$19)</f>
        <v>546262.68842776865</v>
      </c>
      <c r="BH6" s="102">
        <f>IF($AD$2="Off",'Activity data'!BH6,'Net zero Intermediate calcs'!BC15*'Net zero Intermediate calcs'!BC16*Constants!$H$19)</f>
        <v>551685.32682656008</v>
      </c>
      <c r="BI6" s="102">
        <f>IF($AD$2="Off",'Activity data'!BI6,'Net zero Intermediate calcs'!BD15*'Net zero Intermediate calcs'!BD16*Constants!$H$19)</f>
        <v>557237.13175035082</v>
      </c>
      <c r="BJ6" s="102">
        <f>IF($AD$2="Off",'Activity data'!BJ6,'Net zero Intermediate calcs'!BE15*'Net zero Intermediate calcs'!BE16*Constants!$H$19)</f>
        <v>563015.28013812529</v>
      </c>
      <c r="BK6" s="102">
        <f>IF($AD$2="Off",'Activity data'!BK6,'Net zero Intermediate calcs'!BF15*'Net zero Intermediate calcs'!BF16*Constants!$H$19)</f>
        <v>569056.80735797714</v>
      </c>
      <c r="BL6" s="102">
        <f>IF($AD$2="Off",'Activity data'!BL6,'Net zero Intermediate calcs'!BG15*'Net zero Intermediate calcs'!BG16*Constants!$H$19)</f>
        <v>575865.95941248874</v>
      </c>
      <c r="BM6" s="102">
        <f>IF($AD$2="Off",'Activity data'!BM6,'Net zero Intermediate calcs'!BH15*'Net zero Intermediate calcs'!BH16*Constants!$H$19)</f>
        <v>580200.5218171716</v>
      </c>
      <c r="BN6" s="102">
        <f>IF($AD$2="Off",'Activity data'!BN6,'Net zero Intermediate calcs'!BI15*'Net zero Intermediate calcs'!BI16*Constants!$H$19)</f>
        <v>584395.65639988065</v>
      </c>
      <c r="BO6" s="102">
        <f>IF($AD$2="Off",'Activity data'!BO6,'Net zero Intermediate calcs'!BJ15*'Net zero Intermediate calcs'!BJ16*Constants!$H$19)</f>
        <v>588719.62775077624</v>
      </c>
      <c r="BP6" s="102">
        <f>IF($AD$2="Off",'Activity data'!BP6,'Net zero Intermediate calcs'!BK15*'Net zero Intermediate calcs'!BK16*Constants!$H$19)</f>
        <v>593058.64119570097</v>
      </c>
      <c r="BQ6">
        <v>696512.05474548205</v>
      </c>
    </row>
    <row r="7" spans="1:72" x14ac:dyDescent="0.2">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610311.7696162475</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626005.02356892731</v>
      </c>
      <c r="AL7" s="102">
        <f>IF($AD$2="Off",'Activity data'!AL7,'Net zero Intermediate calcs'!AG15*'Net zero Intermediate calcs'!AG16*(1-Constants!$H$18-Constants!$H$19))</f>
        <v>608867.99977698282</v>
      </c>
      <c r="AM7" s="102">
        <f>IF($AD$2="Off",'Activity data'!AM7,'Net zero Intermediate calcs'!AH15*'Net zero Intermediate calcs'!AH16*(1-Constants!$H$18-Constants!$H$19))</f>
        <v>610938.29588291654</v>
      </c>
      <c r="AN7" s="102">
        <f>IF($AD$2="Off",'Activity data'!AN7,'Net zero Intermediate calcs'!AI15*'Net zero Intermediate calcs'!AI16*(1-Constants!$H$18-Constants!$H$19))</f>
        <v>611406.70355450502</v>
      </c>
      <c r="AO7" s="102">
        <f>IF($AD$2="Off",'Activity data'!AO7,'Net zero Intermediate calcs'!AJ15*'Net zero Intermediate calcs'!AJ16*(1-Constants!$H$18-Constants!$H$19))</f>
        <v>611505.84236110118</v>
      </c>
      <c r="AP7" s="102">
        <f>IF($AD$2="Off",'Activity data'!AP7,'Net zero Intermediate calcs'!AK15*'Net zero Intermediate calcs'!AK16*(1-Constants!$H$18-Constants!$H$19))</f>
        <v>612372.1531105435</v>
      </c>
      <c r="AQ7" s="102">
        <f>IF($AD$2="Off",'Activity data'!AQ7,'Net zero Intermediate calcs'!AL15*'Net zero Intermediate calcs'!AL16*(1-Constants!$H$18-Constants!$H$19))</f>
        <v>612894.52721475298</v>
      </c>
      <c r="AR7" s="102">
        <f>IF($AD$2="Off",'Activity data'!AR7,'Net zero Intermediate calcs'!AM15*'Net zero Intermediate calcs'!AM16*(1-Constants!$H$18-Constants!$H$19))</f>
        <v>612430.72673092142</v>
      </c>
      <c r="AS7" s="102">
        <f>IF($AD$2="Off",'Activity data'!AS7,'Net zero Intermediate calcs'!AN15*'Net zero Intermediate calcs'!AN16*(1-Constants!$H$18-Constants!$H$19))</f>
        <v>611760.98975510127</v>
      </c>
      <c r="AT7" s="102">
        <f>IF($AD$2="Off",'Activity data'!AT7,'Net zero Intermediate calcs'!AO15*'Net zero Intermediate calcs'!AO16*(1-Constants!$H$18-Constants!$H$19))</f>
        <v>610786.83695127734</v>
      </c>
      <c r="AU7" s="102">
        <f>IF($AD$2="Off",'Activity data'!AU7,'Net zero Intermediate calcs'!AP15*'Net zero Intermediate calcs'!AP16*(1-Constants!$H$18-Constants!$H$19))</f>
        <v>610996.42928580323</v>
      </c>
      <c r="AV7" s="102">
        <f>IF($AD$2="Off",'Activity data'!AV7,'Net zero Intermediate calcs'!AQ15*'Net zero Intermediate calcs'!AQ16*(1-Constants!$H$18-Constants!$H$19))</f>
        <v>611084.71990248282</v>
      </c>
      <c r="AW7" s="102">
        <f>IF($AD$2="Off",'Activity data'!AW7,'Net zero Intermediate calcs'!AR15*'Net zero Intermediate calcs'!AR16*(1-Constants!$H$18-Constants!$H$19))</f>
        <v>615666.61286770599</v>
      </c>
      <c r="AX7" s="102">
        <f>IF($AD$2="Off",'Activity data'!AX7,'Net zero Intermediate calcs'!AS15*'Net zero Intermediate calcs'!AS16*(1-Constants!$H$18-Constants!$H$19))</f>
        <v>621455.3669310119</v>
      </c>
      <c r="AY7" s="102">
        <f>IF($AD$2="Off",'Activity data'!AY7,'Net zero Intermediate calcs'!AT15*'Net zero Intermediate calcs'!AT16*(1-Constants!$H$18-Constants!$H$19))</f>
        <v>627854.27079073642</v>
      </c>
      <c r="AZ7" s="102">
        <f>IF($AD$2="Off",'Activity data'!AZ7,'Net zero Intermediate calcs'!AU15*'Net zero Intermediate calcs'!AU16*(1-Constants!$H$18-Constants!$H$19))</f>
        <v>635552.54516091745</v>
      </c>
      <c r="BA7" s="102">
        <f>IF($AD$2="Off",'Activity data'!BA7,'Net zero Intermediate calcs'!AV15*'Net zero Intermediate calcs'!AV16*(1-Constants!$H$18-Constants!$H$19))</f>
        <v>641409.96395212167</v>
      </c>
      <c r="BB7" s="102">
        <f>IF($AD$2="Off",'Activity data'!BB7,'Net zero Intermediate calcs'!AW15*'Net zero Intermediate calcs'!AW16*(1-Constants!$H$18-Constants!$H$19))</f>
        <v>646755.49523047544</v>
      </c>
      <c r="BC7" s="102">
        <f>IF($AD$2="Off",'Activity data'!BC7,'Net zero Intermediate calcs'!AX15*'Net zero Intermediate calcs'!AX16*(1-Constants!$H$18-Constants!$H$19))</f>
        <v>652780.44309072627</v>
      </c>
      <c r="BD7" s="102">
        <f>IF($AD$2="Off",'Activity data'!BD7,'Net zero Intermediate calcs'!AY15*'Net zero Intermediate calcs'!AY16*(1-Constants!$H$18-Constants!$H$19))</f>
        <v>658591.95002668572</v>
      </c>
      <c r="BE7" s="102">
        <f>IF($AD$2="Off",'Activity data'!BE7,'Net zero Intermediate calcs'!AZ15*'Net zero Intermediate calcs'!AZ16*(1-Constants!$H$18-Constants!$H$19))</f>
        <v>664797.07429781358</v>
      </c>
      <c r="BF7" s="102">
        <f>IF($AD$2="Off",'Activity data'!BF7,'Net zero Intermediate calcs'!BA15*'Net zero Intermediate calcs'!BA16*(1-Constants!$H$18-Constants!$H$19))</f>
        <v>671082.72845550522</v>
      </c>
      <c r="BG7" s="102">
        <f>IF($AD$2="Off",'Activity data'!BG7,'Net zero Intermediate calcs'!BB15*'Net zero Intermediate calcs'!BB16*(1-Constants!$H$18-Constants!$H$19))</f>
        <v>678119.19942757499</v>
      </c>
      <c r="BH7" s="102">
        <f>IF($AD$2="Off",'Activity data'!BH7,'Net zero Intermediate calcs'!BC15*'Net zero Intermediate calcs'!BC16*(1-Constants!$H$18-Constants!$H$19))</f>
        <v>684850.75054331601</v>
      </c>
      <c r="BI7" s="102">
        <f>IF($AD$2="Off",'Activity data'!BI7,'Net zero Intermediate calcs'!BD15*'Net zero Intermediate calcs'!BD16*(1-Constants!$H$18-Constants!$H$19))</f>
        <v>691742.64631078043</v>
      </c>
      <c r="BJ7" s="102">
        <f>IF($AD$2="Off",'Activity data'!BJ7,'Net zero Intermediate calcs'!BE15*'Net zero Intermediate calcs'!BE16*(1-Constants!$H$18-Constants!$H$19))</f>
        <v>698915.52017146605</v>
      </c>
      <c r="BK7" s="102">
        <f>IF($AD$2="Off",'Activity data'!BK7,'Net zero Intermediate calcs'!BF15*'Net zero Intermediate calcs'!BF16*(1-Constants!$H$18-Constants!$H$19))</f>
        <v>706415.34706507518</v>
      </c>
      <c r="BL7" s="102">
        <f>IF($AD$2="Off",'Activity data'!BL7,'Net zero Intermediate calcs'!BG15*'Net zero Intermediate calcs'!BG16*(1-Constants!$H$18-Constants!$H$19))</f>
        <v>714868.08754653786</v>
      </c>
      <c r="BM7" s="102">
        <f>IF($AD$2="Off",'Activity data'!BM7,'Net zero Intermediate calcs'!BH15*'Net zero Intermediate calcs'!BH16*(1-Constants!$H$18-Constants!$H$19))</f>
        <v>720248.92363510968</v>
      </c>
      <c r="BN7" s="102">
        <f>IF($AD$2="Off",'Activity data'!BN7,'Net zero Intermediate calcs'!BI15*'Net zero Intermediate calcs'!BI16*(1-Constants!$H$18-Constants!$H$19))</f>
        <v>725456.67691019678</v>
      </c>
      <c r="BO7" s="102">
        <f>IF($AD$2="Off",'Activity data'!BO7,'Net zero Intermediate calcs'!BJ15*'Net zero Intermediate calcs'!BJ16*(1-Constants!$H$18-Constants!$H$19))</f>
        <v>730824.3654837223</v>
      </c>
      <c r="BP7" s="102">
        <f>IF($AD$2="Off",'Activity data'!BP7,'Net zero Intermediate calcs'!BK15*'Net zero Intermediate calcs'!BK16*(1-Constants!$H$18-Constants!$H$19))</f>
        <v>736210.72700155992</v>
      </c>
      <c r="BQ7">
        <v>864635.65416680544</v>
      </c>
    </row>
    <row r="8" spans="1:72" x14ac:dyDescent="0.2">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5954880.1627134737</v>
      </c>
      <c r="AE8" s="102">
        <f>IF($AD$2="Off",'Activity data'!AE8,'Net zero Intermediate calcs'!Z10*'Net zero Intermediate calcs'!Z11*Constants!$H$20)</f>
        <v>5903235.3888004785</v>
      </c>
      <c r="AF8" s="102">
        <f>IF($AD$2="Off",'Activity data'!AF8,'Net zero Intermediate calcs'!AA10*'Net zero Intermediate calcs'!AA11*Constants!$H$20)</f>
        <v>5883575.7867908729</v>
      </c>
      <c r="AG8" s="102">
        <f>IF($AD$2="Off",'Activity data'!AG8,'Net zero Intermediate calcs'!AB10*'Net zero Intermediate calcs'!AB11*Constants!$H$20)</f>
        <v>5805008.3335930631</v>
      </c>
      <c r="AH8" s="102">
        <f>IF($AD$2="Off",'Activity data'!AH8,'Net zero Intermediate calcs'!AC10*'Net zero Intermediate calcs'!AC11*Constants!$H$20)</f>
        <v>5690965.7565264814</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4719772.8767197365</v>
      </c>
      <c r="AM8" s="102">
        <f>IF($AD$2="Off",'Activity data'!AM8,'Net zero Intermediate calcs'!AH10*'Net zero Intermediate calcs'!AH11*Constants!$H$20)</f>
        <v>4771572.2705451697</v>
      </c>
      <c r="AN8" s="102">
        <f>IF($AD$2="Off",'Activity data'!AN8,'Net zero Intermediate calcs'!AI10*'Net zero Intermediate calcs'!AI11*Constants!$H$20)</f>
        <v>4780588.708699218</v>
      </c>
      <c r="AO8" s="102">
        <f>IF($AD$2="Off",'Activity data'!AO8,'Net zero Intermediate calcs'!AJ10*'Net zero Intermediate calcs'!AJ11*Constants!$H$20)</f>
        <v>4777987.5199082047</v>
      </c>
      <c r="AP8" s="102">
        <f>IF($AD$2="Off",'Activity data'!AP8,'Net zero Intermediate calcs'!AK10*'Net zero Intermediate calcs'!AK11*Constants!$H$20)</f>
        <v>4790863.9825088792</v>
      </c>
      <c r="AQ8" s="102">
        <f>IF($AD$2="Off",'Activity data'!AQ8,'Net zero Intermediate calcs'!AL10*'Net zero Intermediate calcs'!AL11*Constants!$H$20)</f>
        <v>4793154.5064541781</v>
      </c>
      <c r="AR8" s="102">
        <f>IF($AD$2="Off",'Activity data'!AR8,'Net zero Intermediate calcs'!AM10*'Net zero Intermediate calcs'!AM11*Constants!$H$20)</f>
        <v>4779987.5829017106</v>
      </c>
      <c r="AS8" s="102">
        <f>IF($AD$2="Off",'Activity data'!AS8,'Net zero Intermediate calcs'!AN10*'Net zero Intermediate calcs'!AN11*Constants!$H$20)</f>
        <v>4760487.603986566</v>
      </c>
      <c r="AT8" s="102">
        <f>IF($AD$2="Off",'Activity data'!AT8,'Net zero Intermediate calcs'!AO10*'Net zero Intermediate calcs'!AO11*Constants!$H$20)</f>
        <v>4732845.5668853018</v>
      </c>
      <c r="AU8" s="102">
        <f>IF($AD$2="Off",'Activity data'!AU8,'Net zero Intermediate calcs'!AP10*'Net zero Intermediate calcs'!AP11*Constants!$H$20)</f>
        <v>4729672.7097316124</v>
      </c>
      <c r="AV8" s="102">
        <f>IF($AD$2="Off",'Activity data'!AV8,'Net zero Intermediate calcs'!AQ10*'Net zero Intermediate calcs'!AQ11*Constants!$H$20)</f>
        <v>4722152.4460857594</v>
      </c>
      <c r="AW8" s="102">
        <f>IF($AD$2="Off",'Activity data'!AW8,'Net zero Intermediate calcs'!AR10*'Net zero Intermediate calcs'!AR11*Constants!$H$20)</f>
        <v>4716165.5418509757</v>
      </c>
      <c r="AX8" s="102">
        <f>IF($AD$2="Off",'Activity data'!AX8,'Net zero Intermediate calcs'!AS10*'Net zero Intermediate calcs'!AS11*Constants!$H$20)</f>
        <v>4730667.2427718276</v>
      </c>
      <c r="AY8" s="102">
        <f>IF($AD$2="Off",'Activity data'!AY8,'Net zero Intermediate calcs'!AT10*'Net zero Intermediate calcs'!AT11*Constants!$H$20)</f>
        <v>4752242.3590995343</v>
      </c>
      <c r="AZ8" s="102">
        <f>IF($AD$2="Off",'Activity data'!AZ8,'Net zero Intermediate calcs'!AU10*'Net zero Intermediate calcs'!AU11*Constants!$H$20)</f>
        <v>4793589.6639967132</v>
      </c>
      <c r="BA8" s="102">
        <f>IF($AD$2="Off",'Activity data'!BA8,'Net zero Intermediate calcs'!AV10*'Net zero Intermediate calcs'!AV11*Constants!$H$20)</f>
        <v>4793557.2659706343</v>
      </c>
      <c r="BB8" s="102">
        <f>IF($AD$2="Off",'Activity data'!BB8,'Net zero Intermediate calcs'!AW10*'Net zero Intermediate calcs'!AW11*Constants!$H$20)</f>
        <v>4784856.3975275019</v>
      </c>
      <c r="BC8" s="102">
        <f>IF($AD$2="Off",'Activity data'!BC8,'Net zero Intermediate calcs'!AX10*'Net zero Intermediate calcs'!AX11*Constants!$H$20)</f>
        <v>4784151.263606173</v>
      </c>
      <c r="BD8" s="102">
        <f>IF($AD$2="Off",'Activity data'!BD8,'Net zero Intermediate calcs'!AY10*'Net zero Intermediate calcs'!AY11*Constants!$H$20)</f>
        <v>4774939.1514869407</v>
      </c>
      <c r="BE8" s="102">
        <f>IF($AD$2="Off",'Activity data'!BE8,'Net zero Intermediate calcs'!AZ10*'Net zero Intermediate calcs'!AZ11*Constants!$H$20)</f>
        <v>4768060.7135805776</v>
      </c>
      <c r="BF8" s="102">
        <f>IF($AD$2="Off",'Activity data'!BF8,'Net zero Intermediate calcs'!BA10*'Net zero Intermediate calcs'!BA11*Constants!$H$20)</f>
        <v>4757883.2816523733</v>
      </c>
      <c r="BG8" s="102">
        <f>IF($AD$2="Off",'Activity data'!BG8,'Net zero Intermediate calcs'!BB10*'Net zero Intermediate calcs'!BB11*Constants!$H$20)</f>
        <v>4784089.6550089205</v>
      </c>
      <c r="BH8" s="102">
        <f>IF($AD$2="Off",'Activity data'!BH8,'Net zero Intermediate calcs'!BC10*'Net zero Intermediate calcs'!BC11*Constants!$H$20)</f>
        <v>4801046.1560948277</v>
      </c>
      <c r="BI8" s="102">
        <f>IF($AD$2="Off",'Activity data'!BI8,'Net zero Intermediate calcs'!BD10*'Net zero Intermediate calcs'!BD11*Constants!$H$20)</f>
        <v>4816485.6186466031</v>
      </c>
      <c r="BJ8" s="102">
        <f>IF($AD$2="Off",'Activity data'!BJ8,'Net zero Intermediate calcs'!BE10*'Net zero Intermediate calcs'!BE11*Constants!$H$20)</f>
        <v>4832204.4065606762</v>
      </c>
      <c r="BK8" s="102">
        <f>IF($AD$2="Off",'Activity data'!BK8,'Net zero Intermediate calcs'!BF10*'Net zero Intermediate calcs'!BF11*Constants!$H$20)</f>
        <v>4848714.7352101216</v>
      </c>
      <c r="BL8" s="102">
        <f>IF($AD$2="Off",'Activity data'!BL8,'Net zero Intermediate calcs'!BG10*'Net zero Intermediate calcs'!BG11*Constants!$H$20)</f>
        <v>4879055.32315352</v>
      </c>
      <c r="BM8" s="102">
        <f>IF($AD$2="Off",'Activity data'!BM8,'Net zero Intermediate calcs'!BH10*'Net zero Intermediate calcs'!BH11*Constants!$H$20)</f>
        <v>4860077.1956467917</v>
      </c>
      <c r="BN8" s="102">
        <f>IF($AD$2="Off",'Activity data'!BN8,'Net zero Intermediate calcs'!BI10*'Net zero Intermediate calcs'!BI11*Constants!$H$20)</f>
        <v>4835746.8282380663</v>
      </c>
      <c r="BO8" s="102">
        <f>IF($AD$2="Off",'Activity data'!BO8,'Net zero Intermediate calcs'!BJ10*'Net zero Intermediate calcs'!BJ11*Constants!$H$20)</f>
        <v>4810893.6824922673</v>
      </c>
      <c r="BP8" s="102">
        <f>IF($AD$2="Off",'Activity data'!BP8,'Net zero Intermediate calcs'!BK10*'Net zero Intermediate calcs'!BK11*Constants!$H$20)</f>
        <v>4783522.1909572668</v>
      </c>
      <c r="BQ8" s="11">
        <v>5916196.5823583361</v>
      </c>
    </row>
    <row r="9" spans="1:72" x14ac:dyDescent="0.2">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5280742.7858025134</v>
      </c>
      <c r="AE9" s="102">
        <f>IF($AD$2="Off",'Activity data'!AE9,'Net zero Intermediate calcs'!Z10*'Net zero Intermediate calcs'!Z11*(1-Constants!$H$20))</f>
        <v>5234944.5900683487</v>
      </c>
      <c r="AF9" s="102">
        <f>IF($AD$2="Off",'Activity data'!AF9,'Net zero Intermediate calcs'!AA10*'Net zero Intermediate calcs'!AA11*(1-Constants!$H$20))</f>
        <v>5217510.6033805842</v>
      </c>
      <c r="AG9" s="102">
        <f>IF($AD$2="Off",'Activity data'!AG9,'Net zero Intermediate calcs'!AB10*'Net zero Intermediate calcs'!AB11*(1-Constants!$H$20))</f>
        <v>5147837.5788466781</v>
      </c>
      <c r="AH9" s="102">
        <f>IF($AD$2="Off",'Activity data'!AH9,'Net zero Intermediate calcs'!AC10*'Net zero Intermediate calcs'!AC11*(1-Constants!$H$20))</f>
        <v>5046705.4822027273</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4185458.9661476901</v>
      </c>
      <c r="AM9" s="102">
        <f>IF($AD$2="Off",'Activity data'!AM9,'Net zero Intermediate calcs'!AH10*'Net zero Intermediate calcs'!AH11*(1-Constants!$H$20))</f>
        <v>4231394.2776532639</v>
      </c>
      <c r="AN9" s="102">
        <f>IF($AD$2="Off",'Activity data'!AN9,'Net zero Intermediate calcs'!AI10*'Net zero Intermediate calcs'!AI11*(1-Constants!$H$20))</f>
        <v>4239389.9869596837</v>
      </c>
      <c r="AO9" s="102">
        <f>IF($AD$2="Off",'Activity data'!AO9,'Net zero Intermediate calcs'!AJ10*'Net zero Intermediate calcs'!AJ11*(1-Constants!$H$20))</f>
        <v>4237083.2723714262</v>
      </c>
      <c r="AP9" s="102">
        <f>IF($AD$2="Off",'Activity data'!AP9,'Net zero Intermediate calcs'!AK10*'Net zero Intermediate calcs'!AK11*(1-Constants!$H$20))</f>
        <v>4248502.0222248547</v>
      </c>
      <c r="AQ9" s="102">
        <f>IF($AD$2="Off",'Activity data'!AQ9,'Net zero Intermediate calcs'!AL10*'Net zero Intermediate calcs'!AL11*(1-Constants!$H$20))</f>
        <v>4250533.2415725728</v>
      </c>
      <c r="AR9" s="102">
        <f>IF($AD$2="Off",'Activity data'!AR9,'Net zero Intermediate calcs'!AM10*'Net zero Intermediate calcs'!AM11*(1-Constants!$H$20))</f>
        <v>4238856.913139252</v>
      </c>
      <c r="AS9" s="102">
        <f>IF($AD$2="Off",'Activity data'!AS9,'Net zero Intermediate calcs'!AN10*'Net zero Intermediate calcs'!AN11*(1-Constants!$H$20))</f>
        <v>4221564.4790069545</v>
      </c>
      <c r="AT9" s="102">
        <f>IF($AD$2="Off",'Activity data'!AT9,'Net zero Intermediate calcs'!AO10*'Net zero Intermediate calcs'!AO11*(1-Constants!$H$20))</f>
        <v>4197051.7291247007</v>
      </c>
      <c r="AU9" s="102">
        <f>IF($AD$2="Off",'Activity data'!AU9,'Net zero Intermediate calcs'!AP10*'Net zero Intermediate calcs'!AP11*(1-Constants!$H$20))</f>
        <v>4194238.0633469014</v>
      </c>
      <c r="AV9" s="102">
        <f>IF($AD$2="Off",'Activity data'!AV9,'Net zero Intermediate calcs'!AQ10*'Net zero Intermediate calcs'!AQ11*(1-Constants!$H$20))</f>
        <v>4187569.1503024651</v>
      </c>
      <c r="AW9" s="102">
        <f>IF($AD$2="Off",'Activity data'!AW9,'Net zero Intermediate calcs'!AR10*'Net zero Intermediate calcs'!AR11*(1-Constants!$H$20))</f>
        <v>4182260.0088112419</v>
      </c>
      <c r="AX9" s="102">
        <f>IF($AD$2="Off",'Activity data'!AX9,'Net zero Intermediate calcs'!AS10*'Net zero Intermediate calcs'!AS11*(1-Constants!$H$20))</f>
        <v>4195120.0077410536</v>
      </c>
      <c r="AY9" s="102">
        <f>IF($AD$2="Off",'Activity data'!AY9,'Net zero Intermediate calcs'!AT10*'Net zero Intermediate calcs'!AT11*(1-Constants!$H$20))</f>
        <v>4214252.6580693973</v>
      </c>
      <c r="AZ9" s="102">
        <f>IF($AD$2="Off",'Activity data'!AZ9,'Net zero Intermediate calcs'!AU10*'Net zero Intermediate calcs'!AU11*(1-Constants!$H$20))</f>
        <v>4250919.1359970849</v>
      </c>
      <c r="BA9" s="102">
        <f>IF($AD$2="Off",'Activity data'!BA9,'Net zero Intermediate calcs'!AV10*'Net zero Intermediate calcs'!AV11*(1-Constants!$H$20))</f>
        <v>4250890.4056720715</v>
      </c>
      <c r="BB9" s="102">
        <f>IF($AD$2="Off",'Activity data'!BB9,'Net zero Intermediate calcs'!AW10*'Net zero Intermediate calcs'!AW11*(1-Constants!$H$20))</f>
        <v>4243174.5412036339</v>
      </c>
      <c r="BC9" s="102">
        <f>IF($AD$2="Off",'Activity data'!BC9,'Net zero Intermediate calcs'!AX10*'Net zero Intermediate calcs'!AX11*(1-Constants!$H$20))</f>
        <v>4242549.2337639639</v>
      </c>
      <c r="BD9" s="102">
        <f>IF($AD$2="Off",'Activity data'!BD9,'Net zero Intermediate calcs'!AY10*'Net zero Intermediate calcs'!AY11*(1-Constants!$H$20))</f>
        <v>4234380.0022620037</v>
      </c>
      <c r="BE9" s="102">
        <f>IF($AD$2="Off",'Activity data'!BE9,'Net zero Intermediate calcs'!AZ10*'Net zero Intermediate calcs'!AZ11*(1-Constants!$H$20))</f>
        <v>4228280.2554393793</v>
      </c>
      <c r="BF9" s="102">
        <f>IF($AD$2="Off",'Activity data'!BF9,'Net zero Intermediate calcs'!BA10*'Net zero Intermediate calcs'!BA11*(1-Constants!$H$20))</f>
        <v>4219254.9856162546</v>
      </c>
      <c r="BG9" s="102">
        <f>IF($AD$2="Off",'Activity data'!BG9,'Net zero Intermediate calcs'!BB10*'Net zero Intermediate calcs'!BB11*(1-Constants!$H$20))</f>
        <v>4242494.5997248916</v>
      </c>
      <c r="BH9" s="102">
        <f>IF($AD$2="Off",'Activity data'!BH9,'Net zero Intermediate calcs'!BC10*'Net zero Intermediate calcs'!BC11*(1-Constants!$H$20))</f>
        <v>4257531.4969142815</v>
      </c>
      <c r="BI9" s="102">
        <f>IF($AD$2="Off",'Activity data'!BI9,'Net zero Intermediate calcs'!BD10*'Net zero Intermediate calcs'!BD11*(1-Constants!$H$20))</f>
        <v>4271223.09578095</v>
      </c>
      <c r="BJ9" s="102">
        <f>IF($AD$2="Off",'Activity data'!BJ9,'Net zero Intermediate calcs'!BE10*'Net zero Intermediate calcs'!BE11*(1-Constants!$H$20))</f>
        <v>4285162.3982707877</v>
      </c>
      <c r="BK9" s="102">
        <f>IF($AD$2="Off",'Activity data'!BK9,'Net zero Intermediate calcs'!BF10*'Net zero Intermediate calcs'!BF11*(1-Constants!$H$20))</f>
        <v>4299803.6331108613</v>
      </c>
      <c r="BL9" s="102">
        <f>IF($AD$2="Off",'Activity data'!BL9,'Net zero Intermediate calcs'!BG10*'Net zero Intermediate calcs'!BG11*(1-Constants!$H$20))</f>
        <v>4326709.4375134986</v>
      </c>
      <c r="BM9" s="102">
        <f>IF($AD$2="Off",'Activity data'!BM9,'Net zero Intermediate calcs'!BH10*'Net zero Intermediate calcs'!BH11*(1-Constants!$H$20))</f>
        <v>4309879.7772716833</v>
      </c>
      <c r="BN9" s="102">
        <f>IF($AD$2="Off",'Activity data'!BN9,'Net zero Intermediate calcs'!BI10*'Net zero Intermediate calcs'!BI11*(1-Constants!$H$20))</f>
        <v>4288303.7910790388</v>
      </c>
      <c r="BO9" s="102">
        <f>IF($AD$2="Off",'Activity data'!BO9,'Net zero Intermediate calcs'!BJ10*'Net zero Intermediate calcs'!BJ11*(1-Constants!$H$20))</f>
        <v>4266264.2090025768</v>
      </c>
      <c r="BP9" s="102">
        <f>IF($AD$2="Off",'Activity data'!BP9,'Net zero Intermediate calcs'!BK10*'Net zero Intermediate calcs'!BK11*(1-Constants!$H$20))</f>
        <v>4241991.3768866323</v>
      </c>
      <c r="BQ9" s="11">
        <v>5246438.4786951281</v>
      </c>
    </row>
    <row r="10" spans="1:72" x14ac:dyDescent="0.2">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559717.1030773099</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610009.49754182261</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593382.52815527772</v>
      </c>
      <c r="AM10" s="102">
        <f>IF($AD$2="Off",'Activity data'!AM10,(((('Net zero Intermediate calcs'!AH9/('Net zero Intermediate calcs'!AH64+0.27))*ttokg)/Constants!$H$21)/(365/'Net zero Intermediate calcs'!AH65)))</f>
        <v>620997.34749688918</v>
      </c>
      <c r="AN10" s="102">
        <f>IF($AD$2="Off",'Activity data'!AN10,(((('Net zero Intermediate calcs'!AI9/('Net zero Intermediate calcs'!AI64+0.27))*ttokg)/Constants!$H$21)/(365/'Net zero Intermediate calcs'!AI65)))</f>
        <v>643895.48538764194</v>
      </c>
      <c r="AO10" s="102">
        <f>IF($AD$2="Off",'Activity data'!AO10,(((('Net zero Intermediate calcs'!AJ9/('Net zero Intermediate calcs'!AJ64+0.27))*ttokg)/Constants!$H$21)/(365/'Net zero Intermediate calcs'!AJ65)))</f>
        <v>665868.71917066386</v>
      </c>
      <c r="AP10" s="102">
        <f>IF($AD$2="Off",'Activity data'!AP10,(((('Net zero Intermediate calcs'!AK9/('Net zero Intermediate calcs'!AK64+0.27))*ttokg)/Constants!$H$21)/(365/'Net zero Intermediate calcs'!AK65)))</f>
        <v>690688.65657680726</v>
      </c>
      <c r="AQ10" s="102">
        <f>IF($AD$2="Off",'Activity data'!AQ10,(((('Net zero Intermediate calcs'!AL9/('Net zero Intermediate calcs'!AL64+0.27))*ttokg)/Constants!$H$21)/(365/'Net zero Intermediate calcs'!AL65)))</f>
        <v>714727.4153663693</v>
      </c>
      <c r="AR10" s="102">
        <f>IF($AD$2="Off",'Activity data'!AR10,(((('Net zero Intermediate calcs'!AM9/('Net zero Intermediate calcs'!AM64+0.27))*ttokg)/Constants!$H$21)/(365/'Net zero Intermediate calcs'!AM65)))</f>
        <v>737108.50114649197</v>
      </c>
      <c r="AS10" s="102">
        <f>IF($AD$2="Off",'Activity data'!AS10,(((('Net zero Intermediate calcs'!AN9/('Net zero Intermediate calcs'!AN64+0.27))*ttokg)/Constants!$H$21)/(365/'Net zero Intermediate calcs'!AN65)))</f>
        <v>759076.43238040956</v>
      </c>
      <c r="AT10" s="102">
        <f>IF($AD$2="Off",'Activity data'!AT10,(((('Net zero Intermediate calcs'!AO9/('Net zero Intermediate calcs'!AO64+0.27))*ttokg)/Constants!$H$21)/(365/'Net zero Intermediate calcs'!AO65)))</f>
        <v>780256.83283660025</v>
      </c>
      <c r="AU10" s="102">
        <f>IF($AD$2="Off",'Activity data'!AU10,(((('Net zero Intermediate calcs'!AP9/('Net zero Intermediate calcs'!AP64+0.27))*ttokg)/Constants!$H$21)/(365/'Net zero Intermediate calcs'!AP65)))</f>
        <v>806095.79495363415</v>
      </c>
      <c r="AV10" s="102">
        <f>IF($AD$2="Off",'Activity data'!AV10,(((('Net zero Intermediate calcs'!AQ9/('Net zero Intermediate calcs'!AQ64+0.27))*ttokg)/Constants!$H$21)/(365/'Net zero Intermediate calcs'!AQ65)))</f>
        <v>831958.93211415701</v>
      </c>
      <c r="AW10" s="102">
        <f>IF($AD$2="Off",'Activity data'!AW10,(((('Net zero Intermediate calcs'!AR9/('Net zero Intermediate calcs'!AR64+0.27))*ttokg)/Constants!$H$21)/(365/'Net zero Intermediate calcs'!AR65)))</f>
        <v>858957.28915156296</v>
      </c>
      <c r="AX10" s="102">
        <f>IF($AD$2="Off",'Activity data'!AX10,(((('Net zero Intermediate calcs'!AS9/('Net zero Intermediate calcs'!AS64+0.27))*ttokg)/Constants!$H$21)/(365/'Net zero Intermediate calcs'!AS65)))</f>
        <v>890746.10864511749</v>
      </c>
      <c r="AY10" s="102">
        <f>IF($AD$2="Off",'Activity data'!AY10,(((('Net zero Intermediate calcs'!AT9/('Net zero Intermediate calcs'!AT64+0.27))*ttokg)/Constants!$H$21)/(365/'Net zero Intermediate calcs'!AT65)))</f>
        <v>925159.10382339312</v>
      </c>
      <c r="AZ10" s="102">
        <f>IF($AD$2="Off",'Activity data'!AZ10,(((('Net zero Intermediate calcs'!AU9/('Net zero Intermediate calcs'!AU64+0.27))*ttokg)/Constants!$H$21)/(365/'Net zero Intermediate calcs'!AU65)))</f>
        <v>964964.08828360087</v>
      </c>
      <c r="BA10" s="102">
        <f>IF($AD$2="Off",'Activity data'!BA10,(((('Net zero Intermediate calcs'!AV9/('Net zero Intermediate calcs'!AV64+0.27))*ttokg)/Constants!$H$21)/(365/'Net zero Intermediate calcs'!AV65)))</f>
        <v>997919.63443475368</v>
      </c>
      <c r="BB10" s="102">
        <f>IF($AD$2="Off",'Activity data'!BB10,(((('Net zero Intermediate calcs'!AW9/('Net zero Intermediate calcs'!AW64+0.27))*ttokg)/Constants!$H$21)/(365/'Net zero Intermediate calcs'!AW65)))</f>
        <v>1030285.4267827312</v>
      </c>
      <c r="BC10" s="102">
        <f>IF($AD$2="Off",'Activity data'!BC10,(((('Net zero Intermediate calcs'!AX9/('Net zero Intermediate calcs'!AX64+0.27))*ttokg)/Constants!$H$21)/(365/'Net zero Intermediate calcs'!AX65)))</f>
        <v>1065655.8650205596</v>
      </c>
      <c r="BD10" s="102">
        <f>IF($AD$2="Off",'Activity data'!BD10,(((('Net zero Intermediate calcs'!AY9/('Net zero Intermediate calcs'!AY64+0.27))*ttokg)/Constants!$H$21)/(365/'Net zero Intermediate calcs'!AY65)))</f>
        <v>1100486.2713124838</v>
      </c>
      <c r="BE10" s="102">
        <f>IF($AD$2="Off",'Activity data'!BE10,(((('Net zero Intermediate calcs'!AZ9/('Net zero Intermediate calcs'!AZ64+0.27))*ttokg)/Constants!$H$21)/(365/'Net zero Intermediate calcs'!AZ65)))</f>
        <v>1137243.6820520044</v>
      </c>
      <c r="BF10" s="102">
        <f>IF($AD$2="Off",'Activity data'!BF10,(((('Net zero Intermediate calcs'!BA9/('Net zero Intermediate calcs'!BA64+0.27))*ttokg)/Constants!$H$21)/(365/'Net zero Intermediate calcs'!BA65)))</f>
        <v>1174680.9035678047</v>
      </c>
      <c r="BG10" s="102">
        <f>IF($AD$2="Off",'Activity data'!BG10,(((('Net zero Intermediate calcs'!BB9/('Net zero Intermediate calcs'!BB64+0.27))*ttokg)/Constants!$H$21)/(365/'Net zero Intermediate calcs'!BB65)))</f>
        <v>1215228.3681977217</v>
      </c>
      <c r="BH10" s="102">
        <f>IF($AD$2="Off",'Activity data'!BH10,(((('Net zero Intermediate calcs'!BC9/('Net zero Intermediate calcs'!BC64+0.27))*ttokg)/Constants!$H$21)/(365/'Net zero Intermediate calcs'!BC65)))</f>
        <v>1254844.171508742</v>
      </c>
      <c r="BI10" s="102">
        <f>IF($AD$2="Off",'Activity data'!BI10,(((('Net zero Intermediate calcs'!BD9/('Net zero Intermediate calcs'!BD64+0.27))*ttokg)/Constants!$H$21)/(365/'Net zero Intermediate calcs'!BD65)))</f>
        <v>1295471.1745145689</v>
      </c>
      <c r="BJ10" s="102">
        <f>IF($AD$2="Off",'Activity data'!BJ10,(((('Net zero Intermediate calcs'!BE9/('Net zero Intermediate calcs'!BE64+0.27))*ttokg)/Constants!$H$21)/(365/'Net zero Intermediate calcs'!BE65)))</f>
        <v>1337642.2889837744</v>
      </c>
      <c r="BK10" s="102">
        <f>IF($AD$2="Off",'Activity data'!BK10,(((('Net zero Intermediate calcs'!BF9/('Net zero Intermediate calcs'!BF64+0.27))*ttokg)/Constants!$H$21)/(365/'Net zero Intermediate calcs'!BF65)))</f>
        <v>1381584.9843402614</v>
      </c>
      <c r="BL10" s="102">
        <f>IF($AD$2="Off",'Activity data'!BL10,(((('Net zero Intermediate calcs'!BG9/('Net zero Intermediate calcs'!BG64+0.27))*ttokg)/Constants!$H$21)/(365/'Net zero Intermediate calcs'!BG65)))</f>
        <v>1431223.7982246315</v>
      </c>
      <c r="BM10" s="102">
        <f>IF($AD$2="Off",'Activity data'!BM10,(((('Net zero Intermediate calcs'!BH9/('Net zero Intermediate calcs'!BH64+0.27))*ttokg)/Constants!$H$21)/(365/'Net zero Intermediate calcs'!BH65)))</f>
        <v>1467931.9864039156</v>
      </c>
      <c r="BN10" s="102">
        <f>IF($AD$2="Off",'Activity data'!BN10,(((('Net zero Intermediate calcs'!BI9/('Net zero Intermediate calcs'!BI64+0.27))*ttokg)/Constants!$H$21)/(365/'Net zero Intermediate calcs'!BI65)))</f>
        <v>1504156.6489796164</v>
      </c>
      <c r="BO10" s="102">
        <f>IF($AD$2="Off",'Activity data'!BO10,(((('Net zero Intermediate calcs'!BJ9/('Net zero Intermediate calcs'!BJ64+0.27))*ttokg)/Constants!$H$21)/(365/'Net zero Intermediate calcs'!BJ65)))</f>
        <v>1541358.2160037851</v>
      </c>
      <c r="BP10" s="102">
        <f>IF($AD$2="Off",'Activity data'!BP10,(((('Net zero Intermediate calcs'!BK9/('Net zero Intermediate calcs'!BK64+0.27))*ttokg)/Constants!$H$21)/(365/'Net zero Intermediate calcs'!BK65)))</f>
        <v>1578924.6546684001</v>
      </c>
      <c r="BQ10" s="11">
        <v>1714907.4323024135</v>
      </c>
    </row>
    <row r="11" spans="1:72" x14ac:dyDescent="0.2">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19402059.805571087</v>
      </c>
      <c r="AM11" s="23">
        <f>('Net zero Intermediate calcs'!AH27*'Net zero Intermediate calcs'!AH28)*Constants!$H$22</f>
        <v>19431607.567735706</v>
      </c>
      <c r="AN11" s="23">
        <f>('Net zero Intermediate calcs'!AI27*'Net zero Intermediate calcs'!AI28)*Constants!$H$22</f>
        <v>19465003.610286124</v>
      </c>
      <c r="AO11" s="23">
        <f>('Net zero Intermediate calcs'!AJ27*'Net zero Intermediate calcs'!AJ28)*Constants!$H$22</f>
        <v>19502677.298853781</v>
      </c>
      <c r="AP11" s="23">
        <f>('Net zero Intermediate calcs'!AK27*'Net zero Intermediate calcs'!AK28)*Constants!$H$22</f>
        <v>19545057.4292056</v>
      </c>
      <c r="AQ11" s="23">
        <f>('Net zero Intermediate calcs'!AL27*'Net zero Intermediate calcs'!AL28)*Constants!$H$22</f>
        <v>19591260.285837401</v>
      </c>
      <c r="AR11" s="23">
        <f>('Net zero Intermediate calcs'!AM27*'Net zero Intermediate calcs'!AM28)*Constants!$H$22</f>
        <v>19619360.484399606</v>
      </c>
      <c r="AS11" s="23">
        <f>('Net zero Intermediate calcs'!AN27*'Net zero Intermediate calcs'!AN28)*Constants!$H$22</f>
        <v>19650746.790180359</v>
      </c>
      <c r="AT11" s="23">
        <f>('Net zero Intermediate calcs'!AO27*'Net zero Intermediate calcs'!AO28)*Constants!$H$22</f>
        <v>19685188.965580646</v>
      </c>
      <c r="AU11" s="23">
        <f>('Net zero Intermediate calcs'!AP27*'Net zero Intermediate calcs'!AP28)*Constants!$H$22</f>
        <v>19723466.805720448</v>
      </c>
      <c r="AV11" s="23">
        <f>('Net zero Intermediate calcs'!AQ27*'Net zero Intermediate calcs'!AQ28)*Constants!$H$22</f>
        <v>19764639.822497804</v>
      </c>
      <c r="AW11" s="23">
        <f>('Net zero Intermediate calcs'!AR27*'Net zero Intermediate calcs'!AR28)*Constants!$H$22</f>
        <v>19791543.543548547</v>
      </c>
      <c r="AX11" s="23">
        <f>('Net zero Intermediate calcs'!AS27*'Net zero Intermediate calcs'!AS28)*Constants!$H$22</f>
        <v>19821743.090667564</v>
      </c>
      <c r="AY11" s="23">
        <f>('Net zero Intermediate calcs'!AT27*'Net zero Intermediate calcs'!AT28)*Constants!$H$22</f>
        <v>19854756.020619072</v>
      </c>
      <c r="AZ11" s="23">
        <f>('Net zero Intermediate calcs'!AU27*'Net zero Intermediate calcs'!AU28)*Constants!$H$22</f>
        <v>19890925.179980893</v>
      </c>
      <c r="BA11" s="23">
        <f>('Net zero Intermediate calcs'!AV27*'Net zero Intermediate calcs'!AV28)*Constants!$H$22</f>
        <v>19928164.848790728</v>
      </c>
      <c r="BB11" s="23">
        <f>('Net zero Intermediate calcs'!AW27*'Net zero Intermediate calcs'!AW28)*Constants!$H$22</f>
        <v>19950988.116839856</v>
      </c>
      <c r="BC11" s="23">
        <f>('Net zero Intermediate calcs'!AX27*'Net zero Intermediate calcs'!AX28)*Constants!$H$22</f>
        <v>19976200.960562997</v>
      </c>
      <c r="BD11" s="23">
        <f>('Net zero Intermediate calcs'!AY27*'Net zero Intermediate calcs'!AY28)*Constants!$H$22</f>
        <v>20003160.68333599</v>
      </c>
      <c r="BE11" s="23">
        <f>('Net zero Intermediate calcs'!AZ27*'Net zero Intermediate calcs'!AZ28)*Constants!$H$22</f>
        <v>20032188.030124117</v>
      </c>
      <c r="BF11" s="23">
        <f>('Net zero Intermediate calcs'!BA27*'Net zero Intermediate calcs'!BA28)*Constants!$H$22</f>
        <v>20063020.695307191</v>
      </c>
      <c r="BG11" s="23">
        <f>('Net zero Intermediate calcs'!BB27*'Net zero Intermediate calcs'!BB28)*Constants!$H$22</f>
        <v>20080901.126407888</v>
      </c>
      <c r="BH11" s="23">
        <f>('Net zero Intermediate calcs'!BC27*'Net zero Intermediate calcs'!BC28)*Constants!$H$22</f>
        <v>20100133.841895282</v>
      </c>
      <c r="BI11" s="23">
        <f>('Net zero Intermediate calcs'!BD27*'Net zero Intermediate calcs'!BD28)*Constants!$H$22</f>
        <v>20120964.63763465</v>
      </c>
      <c r="BJ11" s="23">
        <f>('Net zero Intermediate calcs'!BE27*'Net zero Intermediate calcs'!BE28)*Constants!$H$22</f>
        <v>20143422.270244319</v>
      </c>
      <c r="BK11" s="23">
        <f>('Net zero Intermediate calcs'!BF27*'Net zero Intermediate calcs'!BF28)*Constants!$H$22</f>
        <v>20167491.040662095</v>
      </c>
      <c r="BL11" s="23">
        <f>('Net zero Intermediate calcs'!BG27*'Net zero Intermediate calcs'!BG28)*Constants!$H$22</f>
        <v>20178253.39496877</v>
      </c>
      <c r="BM11" s="23">
        <f>('Net zero Intermediate calcs'!BH27*'Net zero Intermediate calcs'!BH28)*Constants!$H$22</f>
        <v>20188270.578200433</v>
      </c>
      <c r="BN11" s="23">
        <f>('Net zero Intermediate calcs'!BI27*'Net zero Intermediate calcs'!BI28)*Constants!$H$22</f>
        <v>20199375.643923137</v>
      </c>
      <c r="BO11" s="23">
        <f>('Net zero Intermediate calcs'!BJ27*'Net zero Intermediate calcs'!BJ28)*Constants!$H$22</f>
        <v>20211746.595544606</v>
      </c>
      <c r="BP11" s="23">
        <f>('Net zero Intermediate calcs'!BK27*'Net zero Intermediate calcs'!BK28)*Constants!$H$22</f>
        <v>20225256.082791496</v>
      </c>
      <c r="BQ11">
        <v>20235541.527663115</v>
      </c>
    </row>
    <row r="12" spans="1:72" x14ac:dyDescent="0.2">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2899158.361752002</v>
      </c>
      <c r="AM12" s="23">
        <f>('Net zero Intermediate calcs'!AH27*'Net zero Intermediate calcs'!AH28)*(1-Constants!$H$22)</f>
        <v>2903573.544604186</v>
      </c>
      <c r="AN12" s="23">
        <f>('Net zero Intermediate calcs'!AI27*'Net zero Intermediate calcs'!AI28)*(1-Constants!$H$22)</f>
        <v>2908563.7578588463</v>
      </c>
      <c r="AO12" s="23">
        <f>('Net zero Intermediate calcs'!AJ27*'Net zero Intermediate calcs'!AJ28)*(1-Constants!$H$22)</f>
        <v>2914193.1595988413</v>
      </c>
      <c r="AP12" s="23">
        <f>('Net zero Intermediate calcs'!AK27*'Net zero Intermediate calcs'!AK28)*(1-Constants!$H$22)</f>
        <v>2920525.8227548599</v>
      </c>
      <c r="AQ12" s="23">
        <f>('Net zero Intermediate calcs'!AL27*'Net zero Intermediate calcs'!AL28)*(1-Constants!$H$22)</f>
        <v>2927429.6978837498</v>
      </c>
      <c r="AR12" s="23">
        <f>('Net zero Intermediate calcs'!AM27*'Net zero Intermediate calcs'!AM28)*(1-Constants!$H$22)</f>
        <v>2931628.5781286769</v>
      </c>
      <c r="AS12" s="23">
        <f>('Net zero Intermediate calcs'!AN27*'Net zero Intermediate calcs'!AN28)*(1-Constants!$H$22)</f>
        <v>2936318.485889019</v>
      </c>
      <c r="AT12" s="23">
        <f>('Net zero Intermediate calcs'!AO27*'Net zero Intermediate calcs'!AO28)*(1-Constants!$H$22)</f>
        <v>2941465.0178453843</v>
      </c>
      <c r="AU12" s="23">
        <f>('Net zero Intermediate calcs'!AP27*'Net zero Intermediate calcs'!AP28)*(1-Constants!$H$22)</f>
        <v>2947184.6951076533</v>
      </c>
      <c r="AV12" s="23">
        <f>('Net zero Intermediate calcs'!AQ27*'Net zero Intermediate calcs'!AQ28)*(1-Constants!$H$22)</f>
        <v>2953336.9849709361</v>
      </c>
      <c r="AW12" s="23">
        <f>('Net zero Intermediate calcs'!AR27*'Net zero Intermediate calcs'!AR28)*(1-Constants!$H$22)</f>
        <v>2957357.0812198976</v>
      </c>
      <c r="AX12" s="23">
        <f>('Net zero Intermediate calcs'!AS27*'Net zero Intermediate calcs'!AS28)*(1-Constants!$H$22)</f>
        <v>2961869.6572261876</v>
      </c>
      <c r="AY12" s="23">
        <f>('Net zero Intermediate calcs'!AT27*'Net zero Intermediate calcs'!AT28)*(1-Constants!$H$22)</f>
        <v>2966802.6237706658</v>
      </c>
      <c r="AZ12" s="23">
        <f>('Net zero Intermediate calcs'!AU27*'Net zero Intermediate calcs'!AU28)*(1-Constants!$H$22)</f>
        <v>2972207.2108017425</v>
      </c>
      <c r="BA12" s="23">
        <f>('Net zero Intermediate calcs'!AV27*'Net zero Intermediate calcs'!AV28)*(1-Constants!$H$22)</f>
        <v>2977771.7590147066</v>
      </c>
      <c r="BB12" s="23">
        <f>('Net zero Intermediate calcs'!AW27*'Net zero Intermediate calcs'!AW28)*(1-Constants!$H$22)</f>
        <v>2981182.1324013579</v>
      </c>
      <c r="BC12" s="23">
        <f>('Net zero Intermediate calcs'!AX27*'Net zero Intermediate calcs'!AX28)*(1-Constants!$H$22)</f>
        <v>2984949.568819758</v>
      </c>
      <c r="BD12" s="23">
        <f>('Net zero Intermediate calcs'!AY27*'Net zero Intermediate calcs'!AY28)*(1-Constants!$H$22)</f>
        <v>2988978.0331421597</v>
      </c>
      <c r="BE12" s="23">
        <f>('Net zero Intermediate calcs'!AZ27*'Net zero Intermediate calcs'!AZ28)*(1-Constants!$H$22)</f>
        <v>2993315.4527771669</v>
      </c>
      <c r="BF12" s="23">
        <f>('Net zero Intermediate calcs'!BA27*'Net zero Intermediate calcs'!BA28)*(1-Constants!$H$22)</f>
        <v>2997922.6326321093</v>
      </c>
      <c r="BG12" s="23">
        <f>('Net zero Intermediate calcs'!BB27*'Net zero Intermediate calcs'!BB28)*(1-Constants!$H$22)</f>
        <v>3000594.4211873859</v>
      </c>
      <c r="BH12" s="23">
        <f>('Net zero Intermediate calcs'!BC27*'Net zero Intermediate calcs'!BC28)*(1-Constants!$H$22)</f>
        <v>3003468.275225732</v>
      </c>
      <c r="BI12" s="23">
        <f>('Net zero Intermediate calcs'!BD27*'Net zero Intermediate calcs'!BD28)*(1-Constants!$H$22)</f>
        <v>3006580.9228649479</v>
      </c>
      <c r="BJ12" s="23">
        <f>('Net zero Intermediate calcs'!BE27*'Net zero Intermediate calcs'!BE28)*(1-Constants!$H$22)</f>
        <v>3009936.6610709904</v>
      </c>
      <c r="BK12" s="23">
        <f>('Net zero Intermediate calcs'!BF27*'Net zero Intermediate calcs'!BF28)*(1-Constants!$H$22)</f>
        <v>3013533.1440069797</v>
      </c>
      <c r="BL12" s="23">
        <f>('Net zero Intermediate calcs'!BG27*'Net zero Intermediate calcs'!BG28)*(1-Constants!$H$22)</f>
        <v>3015141.311891885</v>
      </c>
      <c r="BM12" s="23">
        <f>('Net zero Intermediate calcs'!BH27*'Net zero Intermediate calcs'!BH28)*(1-Constants!$H$22)</f>
        <v>3016638.1323747775</v>
      </c>
      <c r="BN12" s="23">
        <f>('Net zero Intermediate calcs'!BI27*'Net zero Intermediate calcs'!BI28)*(1-Constants!$H$22)</f>
        <v>3018297.5100115035</v>
      </c>
      <c r="BO12" s="23">
        <f>('Net zero Intermediate calcs'!BJ27*'Net zero Intermediate calcs'!BJ28)*(1-Constants!$H$22)</f>
        <v>3020146.0430124127</v>
      </c>
      <c r="BP12" s="23">
        <f>('Net zero Intermediate calcs'!BK27*'Net zero Intermediate calcs'!BK28)*(1-Constants!$H$22)</f>
        <v>3022164.7020263155</v>
      </c>
      <c r="BQ12">
        <v>3023701.607581845</v>
      </c>
    </row>
    <row r="13" spans="1:72" x14ac:dyDescent="0.2">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2068089.0408217213</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2089915.8268703569</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2125847.6846541637</v>
      </c>
      <c r="AK13" s="23">
        <f>'Net zero Intermediate calcs'!AF22*'Net zero Intermediate calcs'!AF25*Constants!$H$23</f>
        <v>2139834.1013227375</v>
      </c>
      <c r="AL13" s="23">
        <f>'Net zero Intermediate calcs'!AG22*'Net zero Intermediate calcs'!AG25*Constants!$H$23</f>
        <v>2152683.4377599582</v>
      </c>
      <c r="AM13" s="23">
        <f>'Net zero Intermediate calcs'!AH22*'Net zero Intermediate calcs'!AH25*Constants!$H$23</f>
        <v>2158938.7090060171</v>
      </c>
      <c r="AN13" s="23">
        <f>'Net zero Intermediate calcs'!AI22*'Net zero Intermediate calcs'!AI25*Constants!$H$23</f>
        <v>2165662.0711804889</v>
      </c>
      <c r="AO13" s="23">
        <f>'Net zero Intermediate calcs'!AJ22*'Net zero Intermediate calcs'!AJ25*Constants!$H$23</f>
        <v>2172935.7450459148</v>
      </c>
      <c r="AP13" s="23">
        <f>'Net zero Intermediate calcs'!AK22*'Net zero Intermediate calcs'!AK25*Constants!$H$23</f>
        <v>2180839.5935468497</v>
      </c>
      <c r="AQ13" s="23">
        <f>'Net zero Intermediate calcs'!AL22*'Net zero Intermediate calcs'!AL25*Constants!$H$23</f>
        <v>2189232.9803399076</v>
      </c>
      <c r="AR13" s="23">
        <f>'Net zero Intermediate calcs'!AM22*'Net zero Intermediate calcs'!AM25*Constants!$H$23</f>
        <v>2194480.1718532471</v>
      </c>
      <c r="AS13" s="23">
        <f>'Net zero Intermediate calcs'!AN22*'Net zero Intermediate calcs'!AN25*Constants!$H$23</f>
        <v>2200156.2435630234</v>
      </c>
      <c r="AT13" s="23">
        <f>'Net zero Intermediate calcs'!AO22*'Net zero Intermediate calcs'!AO25*Constants!$H$23</f>
        <v>2206227.8120205179</v>
      </c>
      <c r="AU13" s="23">
        <f>'Net zero Intermediate calcs'!AP22*'Net zero Intermediate calcs'!AP25*Constants!$H$23</f>
        <v>2212827.8157270025</v>
      </c>
      <c r="AV13" s="23">
        <f>'Net zero Intermediate calcs'!AQ22*'Net zero Intermediate calcs'!AQ25*Constants!$H$23</f>
        <v>2219804.216870348</v>
      </c>
      <c r="AW13" s="23">
        <f>'Net zero Intermediate calcs'!AR22*'Net zero Intermediate calcs'!AR25*Constants!$H$23</f>
        <v>2224339.625371106</v>
      </c>
      <c r="AX13" s="23">
        <f>'Net zero Intermediate calcs'!AS22*'Net zero Intermediate calcs'!AS25*Constants!$H$23</f>
        <v>2229334.7814680873</v>
      </c>
      <c r="AY13" s="23">
        <f>'Net zero Intermediate calcs'!AT22*'Net zero Intermediate calcs'!AT25*Constants!$H$23</f>
        <v>2234712.4414722072</v>
      </c>
      <c r="AZ13" s="23">
        <f>'Net zero Intermediate calcs'!AU22*'Net zero Intermediate calcs'!AU25*Constants!$H$23</f>
        <v>2240530.4774829135</v>
      </c>
      <c r="BA13" s="23">
        <f>'Net zero Intermediate calcs'!AV22*'Net zero Intermediate calcs'!AV25*Constants!$H$23</f>
        <v>2246450.0955861607</v>
      </c>
      <c r="BB13" s="23">
        <f>'Net zero Intermediate calcs'!AW22*'Net zero Intermediate calcs'!AW25*Constants!$H$23</f>
        <v>2249954.1431548325</v>
      </c>
      <c r="BC13" s="23">
        <f>'Net zero Intermediate calcs'!AX22*'Net zero Intermediate calcs'!AX25*Constants!$H$23</f>
        <v>2253789.0520302244</v>
      </c>
      <c r="BD13" s="23">
        <f>'Net zero Intermediate calcs'!AY22*'Net zero Intermediate calcs'!AY25*Constants!$H$23</f>
        <v>2257851.607376975</v>
      </c>
      <c r="BE13" s="23">
        <f>'Net zero Intermediate calcs'!AZ22*'Net zero Intermediate calcs'!AZ25*Constants!$H$23</f>
        <v>2262195.086424592</v>
      </c>
      <c r="BF13" s="23">
        <f>'Net zero Intermediate calcs'!BA22*'Net zero Intermediate calcs'!BA25*Constants!$H$23</f>
        <v>2266778.0376464408</v>
      </c>
      <c r="BG13" s="23">
        <f>'Net zero Intermediate calcs'!BB22*'Net zero Intermediate calcs'!BB25*Constants!$H$23</f>
        <v>2269221.792731313</v>
      </c>
      <c r="BH13" s="23">
        <f>'Net zero Intermediate calcs'!BC22*'Net zero Intermediate calcs'!BC25*Constants!$H$23</f>
        <v>2271842.242462297</v>
      </c>
      <c r="BI13" s="23">
        <f>'Net zero Intermediate calcs'!BD22*'Net zero Intermediate calcs'!BD25*Constants!$H$23</f>
        <v>2274679.8114960734</v>
      </c>
      <c r="BJ13" s="23">
        <f>'Net zero Intermediate calcs'!BE22*'Net zero Intermediate calcs'!BE25*Constants!$H$23</f>
        <v>2277739.7261954225</v>
      </c>
      <c r="BK13" s="23">
        <f>'Net zero Intermediate calcs'!BF22*'Net zero Intermediate calcs'!BF25*Constants!$H$23</f>
        <v>2281019.9664113745</v>
      </c>
      <c r="BL13" s="23">
        <f>'Net zero Intermediate calcs'!BG22*'Net zero Intermediate calcs'!BG25*Constants!$H$23</f>
        <v>2282135.8267613356</v>
      </c>
      <c r="BM13" s="23">
        <f>'Net zero Intermediate calcs'!BH22*'Net zero Intermediate calcs'!BH25*Constants!$H$23</f>
        <v>2283104.4438067642</v>
      </c>
      <c r="BN13" s="23">
        <f>'Net zero Intermediate calcs'!BI22*'Net zero Intermediate calcs'!BI25*Constants!$H$23</f>
        <v>2284219.8862704039</v>
      </c>
      <c r="BO13" s="23">
        <f>'Net zero Intermediate calcs'!BJ22*'Net zero Intermediate calcs'!BJ25*Constants!$H$23</f>
        <v>2285510.9119560551</v>
      </c>
      <c r="BP13" s="23">
        <f>'Net zero Intermediate calcs'!BK22*'Net zero Intermediate calcs'!BK25*Constants!$H$23</f>
        <v>2286957.5303185903</v>
      </c>
      <c r="BQ13">
        <v>2288591.5024888623</v>
      </c>
    </row>
    <row r="14" spans="1:72" x14ac:dyDescent="0.2">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4014525.785124517</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4056895.4286306924</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4126645.5055051409</v>
      </c>
      <c r="AK14" s="23">
        <f>'Net zero Intermediate calcs'!AF22*'Net zero Intermediate calcs'!AF25*(1-Constants!$H$23)</f>
        <v>4153795.6084500193</v>
      </c>
      <c r="AL14" s="23">
        <f>'Net zero Intermediate calcs'!AG22*'Net zero Intermediate calcs'!AG25*(1-Constants!$H$23)</f>
        <v>4178738.4380046236</v>
      </c>
      <c r="AM14" s="23">
        <f>'Net zero Intermediate calcs'!AH22*'Net zero Intermediate calcs'!AH25*(1-Constants!$H$23)</f>
        <v>4190881.0233646203</v>
      </c>
      <c r="AN14" s="23">
        <f>'Net zero Intermediate calcs'!AI22*'Net zero Intermediate calcs'!AI25*(1-Constants!$H$23)</f>
        <v>4203932.2558209486</v>
      </c>
      <c r="AO14" s="23">
        <f>'Net zero Intermediate calcs'!AJ22*'Net zero Intermediate calcs'!AJ25*(1-Constants!$H$23)</f>
        <v>4218051.740383246</v>
      </c>
      <c r="AP14" s="23">
        <f>'Net zero Intermediate calcs'!AK22*'Net zero Intermediate calcs'!AK25*(1-Constants!$H$23)</f>
        <v>4233394.5051203547</v>
      </c>
      <c r="AQ14" s="23">
        <f>'Net zero Intermediate calcs'!AL22*'Net zero Intermediate calcs'!AL25*(1-Constants!$H$23)</f>
        <v>4249687.5500715841</v>
      </c>
      <c r="AR14" s="23">
        <f>'Net zero Intermediate calcs'!AM22*'Net zero Intermediate calcs'!AM25*(1-Constants!$H$23)</f>
        <v>4259873.2747739498</v>
      </c>
      <c r="AS14" s="23">
        <f>'Net zero Intermediate calcs'!AN22*'Net zero Intermediate calcs'!AN25*(1-Constants!$H$23)</f>
        <v>4270891.531622339</v>
      </c>
      <c r="AT14" s="23">
        <f>'Net zero Intermediate calcs'!AO22*'Net zero Intermediate calcs'!AO25*(1-Constants!$H$23)</f>
        <v>4282677.5174515927</v>
      </c>
      <c r="AU14" s="23">
        <f>'Net zero Intermediate calcs'!AP22*'Net zero Intermediate calcs'!AP25*(1-Constants!$H$23)</f>
        <v>4295489.2893524161</v>
      </c>
      <c r="AV14" s="23">
        <f>'Net zero Intermediate calcs'!AQ22*'Net zero Intermediate calcs'!AQ25*(1-Constants!$H$23)</f>
        <v>4309031.7151012635</v>
      </c>
      <c r="AW14" s="23">
        <f>'Net zero Intermediate calcs'!AR22*'Net zero Intermediate calcs'!AR25*(1-Constants!$H$23)</f>
        <v>4317835.7433674401</v>
      </c>
      <c r="AX14" s="23">
        <f>'Net zero Intermediate calcs'!AS22*'Net zero Intermediate calcs'!AS25*(1-Constants!$H$23)</f>
        <v>4327532.2228498161</v>
      </c>
      <c r="AY14" s="23">
        <f>'Net zero Intermediate calcs'!AT22*'Net zero Intermediate calcs'!AT25*(1-Constants!$H$23)</f>
        <v>4337971.2099166373</v>
      </c>
      <c r="AZ14" s="23">
        <f>'Net zero Intermediate calcs'!AU22*'Net zero Intermediate calcs'!AU25*(1-Constants!$H$23)</f>
        <v>4349265.044525655</v>
      </c>
      <c r="BA14" s="23">
        <f>'Net zero Intermediate calcs'!AV22*'Net zero Intermediate calcs'!AV25*(1-Constants!$H$23)</f>
        <v>4360756.0679025464</v>
      </c>
      <c r="BB14" s="23">
        <f>'Net zero Intermediate calcs'!AW22*'Net zero Intermediate calcs'!AW25*(1-Constants!$H$23)</f>
        <v>4367558.042594674</v>
      </c>
      <c r="BC14" s="23">
        <f>'Net zero Intermediate calcs'!AX22*'Net zero Intermediate calcs'!AX25*(1-Constants!$H$23)</f>
        <v>4375002.277470435</v>
      </c>
      <c r="BD14" s="23">
        <f>'Net zero Intermediate calcs'!AY22*'Net zero Intermediate calcs'!AY25*(1-Constants!$H$23)</f>
        <v>4382888.4143200098</v>
      </c>
      <c r="BE14" s="23">
        <f>'Net zero Intermediate calcs'!AZ22*'Net zero Intermediate calcs'!AZ25*(1-Constants!$H$23)</f>
        <v>4391319.8736477364</v>
      </c>
      <c r="BF14" s="23">
        <f>'Net zero Intermediate calcs'!BA22*'Net zero Intermediate calcs'!BA25*(1-Constants!$H$23)</f>
        <v>4400216.190725443</v>
      </c>
      <c r="BG14" s="23">
        <f>'Net zero Intermediate calcs'!BB22*'Net zero Intermediate calcs'!BB25*(1-Constants!$H$23)</f>
        <v>4404959.9505960774</v>
      </c>
      <c r="BH14" s="23">
        <f>'Net zero Intermediate calcs'!BC22*'Net zero Intermediate calcs'!BC25*(1-Constants!$H$23)</f>
        <v>4410046.7059562225</v>
      </c>
      <c r="BI14" s="23">
        <f>'Net zero Intermediate calcs'!BD22*'Net zero Intermediate calcs'!BD25*(1-Constants!$H$23)</f>
        <v>4415554.9281982593</v>
      </c>
      <c r="BJ14" s="23">
        <f>'Net zero Intermediate calcs'!BE22*'Net zero Intermediate calcs'!BE25*(1-Constants!$H$23)</f>
        <v>4421494.7626146432</v>
      </c>
      <c r="BK14" s="23">
        <f>'Net zero Intermediate calcs'!BF22*'Net zero Intermediate calcs'!BF25*(1-Constants!$H$23)</f>
        <v>4427862.2877397267</v>
      </c>
      <c r="BL14" s="23">
        <f>'Net zero Intermediate calcs'!BG22*'Net zero Intermediate calcs'!BG25*(1-Constants!$H$23)</f>
        <v>4430028.3695955332</v>
      </c>
      <c r="BM14" s="23">
        <f>'Net zero Intermediate calcs'!BH22*'Net zero Intermediate calcs'!BH25*(1-Constants!$H$23)</f>
        <v>4431908.6262131296</v>
      </c>
      <c r="BN14" s="23">
        <f>'Net zero Intermediate calcs'!BI22*'Net zero Intermediate calcs'!BI25*(1-Constants!$H$23)</f>
        <v>4434073.896877842</v>
      </c>
      <c r="BO14" s="23">
        <f>'Net zero Intermediate calcs'!BJ22*'Net zero Intermediate calcs'!BJ25*(1-Constants!$H$23)</f>
        <v>4436580.0055617532</v>
      </c>
      <c r="BP14" s="23">
        <f>'Net zero Intermediate calcs'!BK22*'Net zero Intermediate calcs'!BK25*(1-Constants!$H$23)</f>
        <v>4439388.1470890269</v>
      </c>
      <c r="BQ14">
        <v>4442559.9754195558</v>
      </c>
    </row>
    <row r="15" spans="1:72" x14ac:dyDescent="0.2">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309973.53172331402</v>
      </c>
      <c r="AF15" s="23">
        <f>((Data!$AJ$61*((Drivers!AB5*1000000)/Drivers!AB4))+Data!$AK$61)</f>
        <v>312241.56810798903</v>
      </c>
      <c r="AG15" s="23">
        <f>((Data!$AJ$61*((Drivers!AC5*1000000)/Drivers!AC4))+Data!$AK$61)</f>
        <v>312726.42527824303</v>
      </c>
      <c r="AH15" s="23">
        <f>((Data!$AJ$61*((Drivers!AD5*1000000)/Drivers!AD4))+Data!$AK$61)</f>
        <v>312032.30780712381</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291921.37906536442</v>
      </c>
      <c r="AM15" s="23">
        <f>((Data!$AJ$61*((Drivers!AI5*1000000)/Drivers!AI4))+Data!$AK$61)</f>
        <v>295985.82582631079</v>
      </c>
      <c r="AN15" s="23">
        <f>((Data!$AJ$61*((Drivers!AJ5*1000000)/Drivers!AJ4))+Data!$AK$61)</f>
        <v>298729.54882348579</v>
      </c>
      <c r="AO15" s="23">
        <f>((Data!$AJ$61*((Drivers!AK5*1000000)/Drivers!AK4))+Data!$AK$61)</f>
        <v>301114.17187224014</v>
      </c>
      <c r="AP15" s="23">
        <f>((Data!$AJ$61*((Drivers!AL5*1000000)/Drivers!AL4))+Data!$AK$61)</f>
        <v>304034.35602372541</v>
      </c>
      <c r="AQ15" s="23">
        <f>((Data!$AJ$61*((Drivers!AM5*1000000)/Drivers!AM4))+Data!$AK$61)</f>
        <v>306628.2949625476</v>
      </c>
      <c r="AR15" s="23">
        <f>((Data!$AJ$61*((Drivers!AN5*1000000)/Drivers!AN4))+Data!$AK$61)</f>
        <v>309017.46349518612</v>
      </c>
      <c r="AS15" s="23">
        <f>((Data!$AJ$61*((Drivers!AO5*1000000)/Drivers!AO4))+Data!$AK$61)</f>
        <v>311201.05815548857</v>
      </c>
      <c r="AT15" s="23">
        <f>((Data!$AJ$61*((Drivers!AP5*1000000)/Drivers!AP4))+Data!$AK$61)</f>
        <v>313104.08250333113</v>
      </c>
      <c r="AU15" s="23">
        <f>((Data!$AJ$61*((Drivers!AQ5*1000000)/Drivers!AQ4))+Data!$AK$61)</f>
        <v>315912.34319351229</v>
      </c>
      <c r="AV15" s="23">
        <f>((Data!$AJ$61*((Drivers!AR5*1000000)/Drivers!AR4))+Data!$AK$61)</f>
        <v>318597.84534178313</v>
      </c>
      <c r="AW15" s="23">
        <f>((Data!$AJ$61*((Drivers!AS5*1000000)/Drivers!AS4))+Data!$AK$61)</f>
        <v>321877.18703011889</v>
      </c>
      <c r="AX15" s="23">
        <f>((Data!$AJ$61*((Drivers!AT5*1000000)/Drivers!AT4))+Data!$AK$61)</f>
        <v>326040.49482535676</v>
      </c>
      <c r="AY15" s="23">
        <f>((Data!$AJ$61*((Drivers!AU5*1000000)/Drivers!AU4))+Data!$AK$61)</f>
        <v>330609.65967355168</v>
      </c>
      <c r="AZ15" s="23">
        <f>((Data!$AJ$61*((Drivers!AV5*1000000)/Drivers!AV4))+Data!$AK$61)</f>
        <v>336126.71967170568</v>
      </c>
      <c r="BA15" s="23">
        <f>((Data!$AJ$61*((Drivers!AW5*1000000)/Drivers!AW4))+Data!$AK$61)</f>
        <v>340111.70849910099</v>
      </c>
      <c r="BB15" s="23">
        <f>((Data!$AJ$61*((Drivers!AX5*1000000)/Drivers!AX4))+Data!$AK$61)</f>
        <v>344118.38134988002</v>
      </c>
      <c r="BC15" s="23">
        <f>((Data!$AJ$61*((Drivers!AY5*1000000)/Drivers!AY4))+Data!$AK$61)</f>
        <v>348598.30481184355</v>
      </c>
      <c r="BD15" s="23">
        <f>((Data!$AJ$61*((Drivers!AZ5*1000000)/Drivers!AZ4))+Data!$AK$61)</f>
        <v>352850.53380053723</v>
      </c>
      <c r="BE15" s="23">
        <f>((Data!$AJ$61*((Drivers!BA5*1000000)/Drivers!BA4))+Data!$AK$61)</f>
        <v>357351.57736563648</v>
      </c>
      <c r="BF15" s="23">
        <f>((Data!$AJ$61*((Drivers!BB5*1000000)/Drivers!BB4))+Data!$AK$61)</f>
        <v>361856.43746899324</v>
      </c>
      <c r="BG15" s="23">
        <f>((Data!$AJ$61*((Drivers!BC5*1000000)/Drivers!BC4))+Data!$AK$61)</f>
        <v>367367.57398319745</v>
      </c>
      <c r="BH15" s="23">
        <f>((Data!$AJ$61*((Drivers!BD5*1000000)/Drivers!BD4))+Data!$AK$61)</f>
        <v>372592.97381051572</v>
      </c>
      <c r="BI15" s="23">
        <f>((Data!$AJ$61*((Drivers!BE5*1000000)/Drivers!BE4))+Data!$AK$61)</f>
        <v>377895.69074115017</v>
      </c>
      <c r="BJ15" s="23">
        <f>((Data!$AJ$61*((Drivers!BF5*1000000)/Drivers!BF4))+Data!$AK$61)</f>
        <v>383369.51671880484</v>
      </c>
      <c r="BK15" s="23">
        <f>((Data!$AJ$61*((Drivers!BG5*1000000)/Drivers!BG4))+Data!$AK$61)</f>
        <v>389049.81017769384</v>
      </c>
      <c r="BL15" s="23">
        <f>((Data!$AJ$61*((Drivers!BH5*1000000)/Drivers!BH4))+Data!$AK$61)</f>
        <v>395931.15498147684</v>
      </c>
      <c r="BM15" s="23">
        <f>((Data!$AJ$61*((Drivers!BI5*1000000)/Drivers!BI4))+Data!$AK$61)</f>
        <v>400397.69292799069</v>
      </c>
      <c r="BN15" s="23">
        <f>((Data!$AJ$61*((Drivers!BJ5*1000000)/Drivers!BJ4))+Data!$AK$61)</f>
        <v>404697.59184527537</v>
      </c>
      <c r="BO15" s="23">
        <f>((Data!$AJ$61*((Drivers!BK5*1000000)/Drivers!BK4))+Data!$AK$61)</f>
        <v>409089.38845798641</v>
      </c>
      <c r="BP15" s="23">
        <f>((Data!$AJ$61*((Drivers!BL5*1000000)/Drivers!BL4))+Data!$AK$61)</f>
        <v>413464.08309307916</v>
      </c>
      <c r="BQ15">
        <v>439500.1913407169</v>
      </c>
    </row>
    <row r="16" spans="1:72" x14ac:dyDescent="0.2">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2">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1656046.9024620031</v>
      </c>
      <c r="AE17" s="23">
        <f>'Net zero Intermediate calcs'!Z32*'Net zero Intermediate calcs'!Z33*Constants!$H$24</f>
        <v>1647045.1860532654</v>
      </c>
      <c r="AF17" s="23">
        <f>'Net zero Intermediate calcs'!AA32*'Net zero Intermediate calcs'!AA33*Constants!$H$24</f>
        <v>1647784.0190100395</v>
      </c>
      <c r="AG17" s="23">
        <f>'Net zero Intermediate calcs'!AB32*'Net zero Intermediate calcs'!AB33*Constants!$H$24</f>
        <v>1632656.0990208655</v>
      </c>
      <c r="AH17" s="23">
        <f>'Net zero Intermediate calcs'!AC32*'Net zero Intermediate calcs'!AC33*Constants!$H$24</f>
        <v>1607948.7164639288</v>
      </c>
      <c r="AI17" s="23">
        <f>'Net zero Intermediate calcs'!AD32*'Net zero Intermediate calcs'!AD33*Constants!$H$24</f>
        <v>1574056.8450456362</v>
      </c>
      <c r="AJ17" s="23">
        <f>'Net zero Intermediate calcs'!AE32*'Net zero Intermediate calcs'!AE33*Constants!$H$24</f>
        <v>1549447.5878836233</v>
      </c>
      <c r="AK17" s="23">
        <f>'Net zero Intermediate calcs'!AF32*'Net zero Intermediate calcs'!AF33*Constants!$H$24</f>
        <v>1527015.9199472498</v>
      </c>
      <c r="AL17" s="23">
        <f>'Net zero Intermediate calcs'!AG32*'Net zero Intermediate calcs'!AG33*Constants!$H$24</f>
        <v>1360561.8976403926</v>
      </c>
      <c r="AM17" s="23">
        <f>'Net zero Intermediate calcs'!AH32*'Net zero Intermediate calcs'!AH33*Constants!$H$24</f>
        <v>1381804.6743820277</v>
      </c>
      <c r="AN17" s="23">
        <f>'Net zero Intermediate calcs'!AI32*'Net zero Intermediate calcs'!AI33*Constants!$H$24</f>
        <v>1390826.6767399318</v>
      </c>
      <c r="AO17" s="23">
        <f>'Net zero Intermediate calcs'!AJ32*'Net zero Intermediate calcs'!AJ33*Constants!$H$24</f>
        <v>1396768.3413783726</v>
      </c>
      <c r="AP17" s="23">
        <f>'Net zero Intermediate calcs'!AK32*'Net zero Intermediate calcs'!AK33*Constants!$H$24</f>
        <v>1407770.3834708387</v>
      </c>
      <c r="AQ17" s="23">
        <f>'Net zero Intermediate calcs'!AL32*'Net zero Intermediate calcs'!AL33*Constants!$H$24</f>
        <v>1415964.7783945638</v>
      </c>
      <c r="AR17" s="23">
        <f>'Net zero Intermediate calcs'!AM32*'Net zero Intermediate calcs'!AM33*Constants!$H$24</f>
        <v>1420263.0425168015</v>
      </c>
      <c r="AS17" s="23">
        <f>'Net zero Intermediate calcs'!AN32*'Net zero Intermediate calcs'!AN33*Constants!$H$24</f>
        <v>1422896.5648369009</v>
      </c>
      <c r="AT17" s="23">
        <f>'Net zero Intermediate calcs'!AO32*'Net zero Intermediate calcs'!AO33*Constants!$H$24</f>
        <v>1423253.805520334</v>
      </c>
      <c r="AU17" s="23">
        <f>'Net zero Intermediate calcs'!AP32*'Net zero Intermediate calcs'!AP33*Constants!$H$24</f>
        <v>1431518.6125847399</v>
      </c>
      <c r="AV17" s="23">
        <f>'Net zero Intermediate calcs'!AQ32*'Net zero Intermediate calcs'!AQ33*Constants!$H$24</f>
        <v>1438737.8705454522</v>
      </c>
      <c r="AW17" s="23">
        <f>'Net zero Intermediate calcs'!AR32*'Net zero Intermediate calcs'!AR33*Constants!$H$24</f>
        <v>1449125.0678670886</v>
      </c>
      <c r="AX17" s="23">
        <f>'Net zero Intermediate calcs'!AS32*'Net zero Intermediate calcs'!AS33*Constants!$H$24</f>
        <v>1466671.0072109431</v>
      </c>
      <c r="AY17" s="23">
        <f>'Net zero Intermediate calcs'!AT32*'Net zero Intermediate calcs'!AT33*Constants!$H$24</f>
        <v>1487218.2782866484</v>
      </c>
      <c r="AZ17" s="23">
        <f>'Net zero Intermediate calcs'!AU32*'Net zero Intermediate calcs'!AU33*Constants!$H$24</f>
        <v>1515037.6195571562</v>
      </c>
      <c r="BA17" s="23">
        <f>'Net zero Intermediate calcs'!AV32*'Net zero Intermediate calcs'!AV33*Constants!$H$24</f>
        <v>1530055.7085372049</v>
      </c>
      <c r="BB17" s="23">
        <f>'Net zero Intermediate calcs'!AW32*'Net zero Intermediate calcs'!AW33*Constants!$H$24</f>
        <v>1543172.4885533513</v>
      </c>
      <c r="BC17" s="23">
        <f>'Net zero Intermediate calcs'!AX32*'Net zero Intermediate calcs'!AX33*Constants!$H$24</f>
        <v>1559656.5223196864</v>
      </c>
      <c r="BD17" s="23">
        <f>'Net zero Intermediate calcs'!AY32*'Net zero Intermediate calcs'!AY33*Constants!$H$24</f>
        <v>1573968.2125684638</v>
      </c>
      <c r="BE17" s="23">
        <f>'Net zero Intermediate calcs'!AZ32*'Net zero Intermediate calcs'!AZ33*Constants!$H$24</f>
        <v>1589803.9497701789</v>
      </c>
      <c r="BF17" s="23">
        <f>'Net zero Intermediate calcs'!BA32*'Net zero Intermediate calcs'!BA33*Constants!$H$24</f>
        <v>1605250.4683514764</v>
      </c>
      <c r="BG17" s="23">
        <f>'Net zero Intermediate calcs'!BB32*'Net zero Intermediate calcs'!BB33*Constants!$H$24</f>
        <v>1626046.6656004584</v>
      </c>
      <c r="BH17" s="23">
        <f>'Net zero Intermediate calcs'!BC32*'Net zero Intermediate calcs'!BC33*Constants!$H$24</f>
        <v>1644105.3882065681</v>
      </c>
      <c r="BI17" s="23">
        <f>'Net zero Intermediate calcs'!BD32*'Net zero Intermediate calcs'!BD33*Constants!$H$24</f>
        <v>1662148.0618729165</v>
      </c>
      <c r="BJ17" s="23">
        <f>'Net zero Intermediate calcs'!BE32*'Net zero Intermediate calcs'!BE33*Constants!$H$24</f>
        <v>1680831.5353934944</v>
      </c>
      <c r="BK17" s="23">
        <f>'Net zero Intermediate calcs'!BF32*'Net zero Intermediate calcs'!BF33*Constants!$H$24</f>
        <v>1700365.829233668</v>
      </c>
      <c r="BL17" s="23">
        <f>'Net zero Intermediate calcs'!BG32*'Net zero Intermediate calcs'!BG33*Constants!$H$24</f>
        <v>1725822.8657784231</v>
      </c>
      <c r="BM17" s="23">
        <f>'Net zero Intermediate calcs'!BH32*'Net zero Intermediate calcs'!BH33*Constants!$H$24</f>
        <v>1733706.6944804727</v>
      </c>
      <c r="BN17" s="23">
        <f>'Net zero Intermediate calcs'!BI32*'Net zero Intermediate calcs'!BI33*Constants!$H$24</f>
        <v>1740003.6246735614</v>
      </c>
      <c r="BO17" s="23">
        <f>'Net zero Intermediate calcs'!BJ32*'Net zero Intermediate calcs'!BJ33*Constants!$H$24</f>
        <v>1746497.5840806407</v>
      </c>
      <c r="BP17" s="23">
        <f>'Net zero Intermediate calcs'!BK32*'Net zero Intermediate calcs'!BK33*Constants!$H$24</f>
        <v>1752440.9351581417</v>
      </c>
      <c r="BQ17">
        <v>1950275.6349015508</v>
      </c>
    </row>
    <row r="18" spans="1:72" x14ac:dyDescent="0.2">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225824.57760845494</v>
      </c>
      <c r="AE18" s="23">
        <f>'Net zero Intermediate calcs'!Z32*'Net zero Intermediate calcs'!Z33*(1-Constants!$H$24)</f>
        <v>224597.07082544526</v>
      </c>
      <c r="AF18" s="23">
        <f>'Net zero Intermediate calcs'!AA32*'Net zero Intermediate calcs'!AA33*(1-Constants!$H$24)</f>
        <v>224697.8207740963</v>
      </c>
      <c r="AG18" s="23">
        <f>'Net zero Intermediate calcs'!AB32*'Net zero Intermediate calcs'!AB33*(1-Constants!$H$24)</f>
        <v>222634.9225937544</v>
      </c>
      <c r="AH18" s="23">
        <f>'Net zero Intermediate calcs'!AC32*'Net zero Intermediate calcs'!AC33*(1-Constants!$H$24)</f>
        <v>219265.73406326302</v>
      </c>
      <c r="AI18" s="23">
        <f>'Net zero Intermediate calcs'!AD32*'Net zero Intermediate calcs'!AD33*(1-Constants!$H$24)</f>
        <v>214644.11523349583</v>
      </c>
      <c r="AJ18" s="23">
        <f>'Net zero Intermediate calcs'!AE32*'Net zero Intermediate calcs'!AE33*(1-Constants!$H$24)</f>
        <v>211288.3074386759</v>
      </c>
      <c r="AK18" s="23">
        <f>'Net zero Intermediate calcs'!AF32*'Net zero Intermediate calcs'!AF33*(1-Constants!$H$24)</f>
        <v>208229.44362917042</v>
      </c>
      <c r="AL18" s="23">
        <f>'Net zero Intermediate calcs'!AG32*'Net zero Intermediate calcs'!AG33*(1-Constants!$H$24)</f>
        <v>185531.16786005354</v>
      </c>
      <c r="AM18" s="23">
        <f>'Net zero Intermediate calcs'!AH32*'Net zero Intermediate calcs'!AH33*(1-Constants!$H$24)</f>
        <v>188427.91014300377</v>
      </c>
      <c r="AN18" s="23">
        <f>'Net zero Intermediate calcs'!AI32*'Net zero Intermediate calcs'!AI33*(1-Constants!$H$24)</f>
        <v>189658.18319180887</v>
      </c>
      <c r="AO18" s="23">
        <f>'Net zero Intermediate calcs'!AJ32*'Net zero Intermediate calcs'!AJ33*(1-Constants!$H$24)</f>
        <v>190468.4101879599</v>
      </c>
      <c r="AP18" s="23">
        <f>'Net zero Intermediate calcs'!AK32*'Net zero Intermediate calcs'!AK33*(1-Constants!$H$24)</f>
        <v>191968.68865511435</v>
      </c>
      <c r="AQ18" s="23">
        <f>'Net zero Intermediate calcs'!AL32*'Net zero Intermediate calcs'!AL33*(1-Constants!$H$24)</f>
        <v>193086.10614471324</v>
      </c>
      <c r="AR18" s="23">
        <f>'Net zero Intermediate calcs'!AM32*'Net zero Intermediate calcs'!AM33*(1-Constants!$H$24)</f>
        <v>193672.23307047292</v>
      </c>
      <c r="AS18" s="23">
        <f>'Net zero Intermediate calcs'!AN32*'Net zero Intermediate calcs'!AN33*(1-Constants!$H$24)</f>
        <v>194031.34975048646</v>
      </c>
      <c r="AT18" s="23">
        <f>'Net zero Intermediate calcs'!AO32*'Net zero Intermediate calcs'!AO33*(1-Constants!$H$24)</f>
        <v>194080.06438913645</v>
      </c>
      <c r="AU18" s="23">
        <f>'Net zero Intermediate calcs'!AP32*'Net zero Intermediate calcs'!AP33*(1-Constants!$H$24)</f>
        <v>195207.08353428269</v>
      </c>
      <c r="AV18" s="23">
        <f>'Net zero Intermediate calcs'!AQ32*'Net zero Intermediate calcs'!AQ33*(1-Constants!$H$24)</f>
        <v>196191.52780165258</v>
      </c>
      <c r="AW18" s="23">
        <f>'Net zero Intermediate calcs'!AR32*'Net zero Intermediate calcs'!AR33*(1-Constants!$H$24)</f>
        <v>197607.96380005754</v>
      </c>
      <c r="AX18" s="23">
        <f>'Net zero Intermediate calcs'!AS32*'Net zero Intermediate calcs'!AS33*(1-Constants!$H$24)</f>
        <v>200000.59189240134</v>
      </c>
      <c r="AY18" s="23">
        <f>'Net zero Intermediate calcs'!AT32*'Net zero Intermediate calcs'!AT33*(1-Constants!$H$24)</f>
        <v>202802.49249363388</v>
      </c>
      <c r="AZ18" s="23">
        <f>'Net zero Intermediate calcs'!AU32*'Net zero Intermediate calcs'!AU33*(1-Constants!$H$24)</f>
        <v>206596.03903052129</v>
      </c>
      <c r="BA18" s="23">
        <f>'Net zero Intermediate calcs'!AV32*'Net zero Intermediate calcs'!AV33*(1-Constants!$H$24)</f>
        <v>208643.96025507338</v>
      </c>
      <c r="BB18" s="23">
        <f>'Net zero Intermediate calcs'!AW32*'Net zero Intermediate calcs'!AW33*(1-Constants!$H$24)</f>
        <v>210432.61207545697</v>
      </c>
      <c r="BC18" s="23">
        <f>'Net zero Intermediate calcs'!AX32*'Net zero Intermediate calcs'!AX33*(1-Constants!$H$24)</f>
        <v>212680.4348617754</v>
      </c>
      <c r="BD18" s="23">
        <f>'Net zero Intermediate calcs'!AY32*'Net zero Intermediate calcs'!AY33*(1-Constants!$H$24)</f>
        <v>214632.02898660867</v>
      </c>
      <c r="BE18" s="23">
        <f>'Net zero Intermediate calcs'!AZ32*'Net zero Intermediate calcs'!AZ33*(1-Constants!$H$24)</f>
        <v>216791.44769593349</v>
      </c>
      <c r="BF18" s="23">
        <f>'Net zero Intermediate calcs'!BA32*'Net zero Intermediate calcs'!BA33*(1-Constants!$H$24)</f>
        <v>218897.79113883767</v>
      </c>
      <c r="BG18" s="23">
        <f>'Net zero Intermediate calcs'!BB32*'Net zero Intermediate calcs'!BB33*(1-Constants!$H$24)</f>
        <v>221733.6362182443</v>
      </c>
      <c r="BH18" s="23">
        <f>'Net zero Intermediate calcs'!BC32*'Net zero Intermediate calcs'!BC33*(1-Constants!$H$24)</f>
        <v>224196.18930089564</v>
      </c>
      <c r="BI18" s="23">
        <f>'Net zero Intermediate calcs'!BD32*'Net zero Intermediate calcs'!BD33*(1-Constants!$H$24)</f>
        <v>226656.55389176132</v>
      </c>
      <c r="BJ18" s="23">
        <f>'Net zero Intermediate calcs'!BE32*'Net zero Intermediate calcs'!BE33*(1-Constants!$H$24)</f>
        <v>229204.30028093106</v>
      </c>
      <c r="BK18" s="23">
        <f>'Net zero Intermediate calcs'!BF32*'Net zero Intermediate calcs'!BF33*(1-Constants!$H$24)</f>
        <v>231868.06762277291</v>
      </c>
      <c r="BL18" s="23">
        <f>'Net zero Intermediate calcs'!BG32*'Net zero Intermediate calcs'!BG33*(1-Constants!$H$24)</f>
        <v>235339.48169705769</v>
      </c>
      <c r="BM18" s="23">
        <f>'Net zero Intermediate calcs'!BH32*'Net zero Intermediate calcs'!BH33*(1-Constants!$H$24)</f>
        <v>236414.54924733719</v>
      </c>
      <c r="BN18" s="23">
        <f>'Net zero Intermediate calcs'!BI32*'Net zero Intermediate calcs'!BI33*(1-Constants!$H$24)</f>
        <v>237273.22154639472</v>
      </c>
      <c r="BO18" s="23">
        <f>'Net zero Intermediate calcs'!BJ32*'Net zero Intermediate calcs'!BJ33*(1-Constants!$H$24)</f>
        <v>238158.7614655419</v>
      </c>
      <c r="BP18" s="23">
        <f>'Net zero Intermediate calcs'!BK32*'Net zero Intermediate calcs'!BK33*(1-Constants!$H$24)</f>
        <v>238969.21843065569</v>
      </c>
      <c r="BQ18">
        <v>265946.67748657509</v>
      </c>
    </row>
    <row r="19" spans="1:72" x14ac:dyDescent="0.2">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23653841.793714996</v>
      </c>
      <c r="AE19" s="23">
        <f>'Net zero Intermediate calcs'!Z37*'Net zero Intermediate calcs'!Z38*Constants!$H$25</f>
        <v>24134771.290486101</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25474971.393442631</v>
      </c>
      <c r="AI19" s="23">
        <f>'Net zero Intermediate calcs'!AD37*'Net zero Intermediate calcs'!AD38*Constants!$H$25</f>
        <v>25734234.718944557</v>
      </c>
      <c r="AJ19" s="23">
        <f>'Net zero Intermediate calcs'!AE37*'Net zero Intermediate calcs'!AE38*Constants!$H$25</f>
        <v>26066681.867313132</v>
      </c>
      <c r="AK19" s="23">
        <f>'Net zero Intermediate calcs'!AF37*'Net zero Intermediate calcs'!AF38*Constants!$H$25</f>
        <v>26412334.873995647</v>
      </c>
      <c r="AL19" s="23">
        <f>'Net zero Intermediate calcs'!AG37*'Net zero Intermediate calcs'!AG38*Constants!$H$25</f>
        <v>25355832.065900605</v>
      </c>
      <c r="AM19" s="23">
        <f>'Net zero Intermediate calcs'!AH37*'Net zero Intermediate calcs'!AH38*Constants!$H$25</f>
        <v>26028344.352485999</v>
      </c>
      <c r="AN19" s="23">
        <f>'Net zero Intermediate calcs'!AI37*'Net zero Intermediate calcs'!AI38*Constants!$H$25</f>
        <v>26589488.960053034</v>
      </c>
      <c r="AO19" s="23">
        <f>'Net zero Intermediate calcs'!AJ37*'Net zero Intermediate calcs'!AJ38*Constants!$H$25</f>
        <v>27126092.090025831</v>
      </c>
      <c r="AP19" s="23">
        <f>'Net zero Intermediate calcs'!AK37*'Net zero Intermediate calcs'!AK38*Constants!$H$25</f>
        <v>27722677.544957481</v>
      </c>
      <c r="AQ19" s="23">
        <f>'Net zero Intermediate calcs'!AL37*'Net zero Intermediate calcs'!AL38*Constants!$H$25</f>
        <v>28297785.426376317</v>
      </c>
      <c r="AR19" s="23">
        <f>'Net zero Intermediate calcs'!AM37*'Net zero Intermediate calcs'!AM38*Constants!$H$25</f>
        <v>28814162.004052896</v>
      </c>
      <c r="AS19" s="23">
        <f>'Net zero Intermediate calcs'!AN37*'Net zero Intermediate calcs'!AN38*Constants!$H$25</f>
        <v>29317635.381325193</v>
      </c>
      <c r="AT19" s="23">
        <f>'Net zero Intermediate calcs'!AO37*'Net zero Intermediate calcs'!AO38*Constants!$H$25</f>
        <v>29800229.683156215</v>
      </c>
      <c r="AU19" s="23">
        <f>'Net zero Intermediate calcs'!AP37*'Net zero Intermediate calcs'!AP38*Constants!$H$25</f>
        <v>30380510.602899391</v>
      </c>
      <c r="AV19" s="23">
        <f>'Net zero Intermediate calcs'!AQ37*'Net zero Intermediate calcs'!AQ38*Constants!$H$25</f>
        <v>30956813.105027635</v>
      </c>
      <c r="AW19" s="23">
        <f>'Net zero Intermediate calcs'!AR37*'Net zero Intermediate calcs'!AR38*Constants!$H$25</f>
        <v>31560856.737746526</v>
      </c>
      <c r="AX19" s="23">
        <f>'Net zero Intermediate calcs'!AS37*'Net zero Intermediate calcs'!AS38*Constants!$H$25</f>
        <v>32264278.577724364</v>
      </c>
      <c r="AY19" s="23">
        <f>'Net zero Intermediate calcs'!AT37*'Net zero Intermediate calcs'!AT38*Constants!$H$25</f>
        <v>33019682.608176969</v>
      </c>
      <c r="AZ19" s="23">
        <f>'Net zero Intermediate calcs'!AU37*'Net zero Intermediate calcs'!AU38*Constants!$H$25</f>
        <v>33885248.740652651</v>
      </c>
      <c r="BA19" s="23">
        <f>'Net zero Intermediate calcs'!AV37*'Net zero Intermediate calcs'!AV38*Constants!$H$25</f>
        <v>34600729.311977826</v>
      </c>
      <c r="BB19" s="23">
        <f>'Net zero Intermediate calcs'!AW37*'Net zero Intermediate calcs'!AW38*Constants!$H$25</f>
        <v>35285301.182877466</v>
      </c>
      <c r="BC19" s="23">
        <f>'Net zero Intermediate calcs'!AX37*'Net zero Intermediate calcs'!AX38*Constants!$H$25</f>
        <v>36028935.162048012</v>
      </c>
      <c r="BD19" s="23">
        <f>'Net zero Intermediate calcs'!AY37*'Net zero Intermediate calcs'!AY38*Constants!$H$25</f>
        <v>36756871.757598549</v>
      </c>
      <c r="BE19" s="23">
        <f>'Net zero Intermediate calcs'!AZ37*'Net zero Intermediate calcs'!AZ38*Constants!$H$25</f>
        <v>37520678.916710757</v>
      </c>
      <c r="BF19" s="23">
        <f>'Net zero Intermediate calcs'!BA37*'Net zero Intermediate calcs'!BA38*Constants!$H$25</f>
        <v>38294101.07818374</v>
      </c>
      <c r="BG19" s="23">
        <f>'Net zero Intermediate calcs'!BB37*'Net zero Intermediate calcs'!BB38*Constants!$H$25</f>
        <v>39144686.374357127</v>
      </c>
      <c r="BH19" s="23">
        <f>'Net zero Intermediate calcs'!BC37*'Net zero Intermediate calcs'!BC38*Constants!$H$25</f>
        <v>39972536.505911946</v>
      </c>
      <c r="BI19" s="23">
        <f>'Net zero Intermediate calcs'!BD37*'Net zero Intermediate calcs'!BD38*Constants!$H$25</f>
        <v>40817812.155378096</v>
      </c>
      <c r="BJ19" s="23">
        <f>'Net zero Intermediate calcs'!BE37*'Net zero Intermediate calcs'!BE38*Constants!$H$25</f>
        <v>41691325.507981867</v>
      </c>
      <c r="BK19" s="23">
        <f>'Net zero Intermediate calcs'!BF37*'Net zero Intermediate calcs'!BF38*Constants!$H$25</f>
        <v>42597526.257199205</v>
      </c>
      <c r="BL19" s="23">
        <f>'Net zero Intermediate calcs'!BG37*'Net zero Intermediate calcs'!BG38*Constants!$H$25</f>
        <v>43602062.498085409</v>
      </c>
      <c r="BM19" s="23">
        <f>'Net zero Intermediate calcs'!BH37*'Net zero Intermediate calcs'!BH38*Constants!$H$25</f>
        <v>44339009.799270891</v>
      </c>
      <c r="BN19" s="23">
        <f>'Net zero Intermediate calcs'!BI37*'Net zero Intermediate calcs'!BI38*Constants!$H$25</f>
        <v>45063142.624176532</v>
      </c>
      <c r="BO19" s="23">
        <f>'Net zero Intermediate calcs'!BJ37*'Net zero Intermediate calcs'!BJ38*Constants!$H$25</f>
        <v>45804144.391420536</v>
      </c>
      <c r="BP19" s="23">
        <f>'Net zero Intermediate calcs'!BK37*'Net zero Intermediate calcs'!BK38*Constants!$H$25</f>
        <v>46549539.221671827</v>
      </c>
      <c r="BQ19">
        <v>50062195.142061464</v>
      </c>
    </row>
    <row r="20" spans="1:72" x14ac:dyDescent="0.2">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94043391.409974933</v>
      </c>
      <c r="AE20" s="23">
        <f>'Net zero Intermediate calcs'!Z42*'Net zero Intermediate calcs'!Z43*Constants!$H$26</f>
        <v>95281774.784899965</v>
      </c>
      <c r="AF20" s="23">
        <f>'Net zero Intermediate calcs'!AA42*'Net zero Intermediate calcs'!AA43*Constants!$H$26</f>
        <v>97270973.713722661</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95690259.829558313</v>
      </c>
      <c r="AK20" s="23">
        <f>'Net zero Intermediate calcs'!AF42*'Net zero Intermediate calcs'!AF43*Constants!$H$26</f>
        <v>95277598.733681589</v>
      </c>
      <c r="AL20" s="23">
        <f>'Net zero Intermediate calcs'!AG42*'Net zero Intermediate calcs'!AG43*Constants!$H$26</f>
        <v>81452097.439482555</v>
      </c>
      <c r="AM20" s="23">
        <f>'Net zero Intermediate calcs'!AH42*'Net zero Intermediate calcs'!AH43*Constants!$H$26</f>
        <v>85042126.487729847</v>
      </c>
      <c r="AN20" s="23">
        <f>'Net zero Intermediate calcs'!AI42*'Net zero Intermediate calcs'!AI43*Constants!$H$26</f>
        <v>87516090.742548883</v>
      </c>
      <c r="AO20" s="23">
        <f>'Net zero Intermediate calcs'!AJ42*'Net zero Intermediate calcs'!AJ43*Constants!$H$26</f>
        <v>89711681.838842064</v>
      </c>
      <c r="AP20" s="23">
        <f>'Net zero Intermediate calcs'!AK42*'Net zero Intermediate calcs'!AK43*Constants!$H$26</f>
        <v>92414964.991402462</v>
      </c>
      <c r="AQ20" s="23">
        <f>'Net zero Intermediate calcs'!AL42*'Net zero Intermediate calcs'!AL43*Constants!$H$26</f>
        <v>94868672.633047745</v>
      </c>
      <c r="AR20" s="23">
        <f>'Net zero Intermediate calcs'!AM42*'Net zero Intermediate calcs'!AM43*Constants!$H$26</f>
        <v>97034415.210543662</v>
      </c>
      <c r="AS20" s="23">
        <f>'Net zero Intermediate calcs'!AN42*'Net zero Intermediate calcs'!AN43*Constants!$H$26</f>
        <v>99046636.40739049</v>
      </c>
      <c r="AT20" s="23">
        <f>'Net zero Intermediate calcs'!AO42*'Net zero Intermediate calcs'!AO43*Constants!$H$26</f>
        <v>100837729.43397622</v>
      </c>
      <c r="AU20" s="23">
        <f>'Net zero Intermediate calcs'!AP42*'Net zero Intermediate calcs'!AP43*Constants!$H$26</f>
        <v>103461990.00342186</v>
      </c>
      <c r="AV20" s="23">
        <f>'Net zero Intermediate calcs'!AQ42*'Net zero Intermediate calcs'!AQ43*Constants!$H$26</f>
        <v>106007524.56278527</v>
      </c>
      <c r="AW20" s="23">
        <f>'Net zero Intermediate calcs'!AR42*'Net zero Intermediate calcs'!AR43*Constants!$H$26</f>
        <v>108985749.33098063</v>
      </c>
      <c r="AX20" s="23">
        <f>'Net zero Intermediate calcs'!AS42*'Net zero Intermediate calcs'!AS43*Constants!$H$26</f>
        <v>112780710.05819987</v>
      </c>
      <c r="AY20" s="23">
        <f>'Net zero Intermediate calcs'!AT42*'Net zero Intermediate calcs'!AT43*Constants!$H$26</f>
        <v>116968051.63431387</v>
      </c>
      <c r="AZ20" s="23">
        <f>'Net zero Intermediate calcs'!AU42*'Net zero Intermediate calcs'!AU43*Constants!$H$26</f>
        <v>122037050.50027233</v>
      </c>
      <c r="BA20" s="23">
        <f>'Net zero Intermediate calcs'!AV42*'Net zero Intermediate calcs'!AV43*Constants!$H$26</f>
        <v>125762928.88931111</v>
      </c>
      <c r="BB20" s="23">
        <f>'Net zero Intermediate calcs'!AW42*'Net zero Intermediate calcs'!AW43*Constants!$H$26</f>
        <v>129394333.99705009</v>
      </c>
      <c r="BC20" s="23">
        <f>'Net zero Intermediate calcs'!AX42*'Net zero Intermediate calcs'!AX43*Constants!$H$26</f>
        <v>133474382.12248956</v>
      </c>
      <c r="BD20" s="23">
        <f>'Net zero Intermediate calcs'!AY42*'Net zero Intermediate calcs'!AY43*Constants!$H$26</f>
        <v>137372895.51815009</v>
      </c>
      <c r="BE20" s="23">
        <f>'Net zero Intermediate calcs'!AZ42*'Net zero Intermediate calcs'!AZ43*Constants!$H$26</f>
        <v>141520058.3987388</v>
      </c>
      <c r="BF20" s="23">
        <f>'Net zero Intermediate calcs'!BA42*'Net zero Intermediate calcs'!BA43*Constants!$H$26</f>
        <v>145695897.92715052</v>
      </c>
      <c r="BG20" s="23">
        <f>'Net zero Intermediate calcs'!BB42*'Net zero Intermediate calcs'!BB43*Constants!$H$26</f>
        <v>150651953.63436225</v>
      </c>
      <c r="BH20" s="23">
        <f>'Net zero Intermediate calcs'!BC42*'Net zero Intermediate calcs'!BC43*Constants!$H$26</f>
        <v>155367528.35269105</v>
      </c>
      <c r="BI20" s="23">
        <f>'Net zero Intermediate calcs'!BD42*'Net zero Intermediate calcs'!BD43*Constants!$H$26</f>
        <v>160171566.53623164</v>
      </c>
      <c r="BJ20" s="23">
        <f>'Net zero Intermediate calcs'!BE42*'Net zero Intermediate calcs'!BE43*Constants!$H$26</f>
        <v>165149793.6018627</v>
      </c>
      <c r="BK20" s="23">
        <f>'Net zero Intermediate calcs'!BF42*'Net zero Intermediate calcs'!BF43*Constants!$H$26</f>
        <v>170335227.8365221</v>
      </c>
      <c r="BL20" s="23">
        <f>'Net zero Intermediate calcs'!BG42*'Net zero Intermediate calcs'!BG43*Constants!$H$26</f>
        <v>176445655.37145886</v>
      </c>
      <c r="BM20" s="23">
        <f>'Net zero Intermediate calcs'!BH42*'Net zero Intermediate calcs'!BH43*Constants!$H$26</f>
        <v>180380889.0567705</v>
      </c>
      <c r="BN20" s="23">
        <f>'Net zero Intermediate calcs'!BI42*'Net zero Intermediate calcs'!BI43*Constants!$H$26</f>
        <v>184177355.81758082</v>
      </c>
      <c r="BO20" s="23">
        <f>'Net zero Intermediate calcs'!BJ42*'Net zero Intermediate calcs'!BJ43*Constants!$H$26</f>
        <v>188069376.29859361</v>
      </c>
      <c r="BP20" s="23">
        <f>'Net zero Intermediate calcs'!BK42*'Net zero Intermediate calcs'!BK43*Constants!$H$26</f>
        <v>191958709.2247166</v>
      </c>
      <c r="BQ20">
        <v>217498134.58556306</v>
      </c>
    </row>
    <row r="21" spans="1:72" x14ac:dyDescent="0.2">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985576.74140479253</v>
      </c>
      <c r="AE21" s="23">
        <f>'Net zero Intermediate calcs'!Z37*'Net zero Intermediate calcs'!Z38*(1-Constants!$H$25)</f>
        <v>1005615.4704369218</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1061457.141393444</v>
      </c>
      <c r="AI21" s="23">
        <f>'Net zero Intermediate calcs'!AD37*'Net zero Intermediate calcs'!AD38*(1-Constants!$H$25)</f>
        <v>1072259.7799560241</v>
      </c>
      <c r="AJ21" s="23">
        <f>'Net zero Intermediate calcs'!AE37*'Net zero Intermediate calcs'!AE38*(1-Constants!$H$25)</f>
        <v>1086111.7444713814</v>
      </c>
      <c r="AK21" s="23">
        <f>'Net zero Intermediate calcs'!AF37*'Net zero Intermediate calcs'!AF38*(1-Constants!$H$25)</f>
        <v>1100513.9530831531</v>
      </c>
      <c r="AL21" s="23">
        <f>'Net zero Intermediate calcs'!AG37*'Net zero Intermediate calcs'!AG38*(1-Constants!$H$25)</f>
        <v>1056493.0027458596</v>
      </c>
      <c r="AM21" s="23">
        <f>'Net zero Intermediate calcs'!AH37*'Net zero Intermediate calcs'!AH38*(1-Constants!$H$25)</f>
        <v>1084514.3480202509</v>
      </c>
      <c r="AN21" s="23">
        <f>'Net zero Intermediate calcs'!AI37*'Net zero Intermediate calcs'!AI38*(1-Constants!$H$25)</f>
        <v>1107895.373335544</v>
      </c>
      <c r="AO21" s="23">
        <f>'Net zero Intermediate calcs'!AJ37*'Net zero Intermediate calcs'!AJ38*(1-Constants!$H$25)</f>
        <v>1130253.8370844107</v>
      </c>
      <c r="AP21" s="23">
        <f>'Net zero Intermediate calcs'!AK37*'Net zero Intermediate calcs'!AK38*(1-Constants!$H$25)</f>
        <v>1155111.5643732294</v>
      </c>
      <c r="AQ21" s="23">
        <f>'Net zero Intermediate calcs'!AL37*'Net zero Intermediate calcs'!AL38*(1-Constants!$H$25)</f>
        <v>1179074.392765681</v>
      </c>
      <c r="AR21" s="23">
        <f>'Net zero Intermediate calcs'!AM37*'Net zero Intermediate calcs'!AM38*(1-Constants!$H$25)</f>
        <v>1200590.0835022051</v>
      </c>
      <c r="AS21" s="23">
        <f>'Net zero Intermediate calcs'!AN37*'Net zero Intermediate calcs'!AN38*(1-Constants!$H$25)</f>
        <v>1221568.1408885508</v>
      </c>
      <c r="AT21" s="23">
        <f>'Net zero Intermediate calcs'!AO37*'Net zero Intermediate calcs'!AO38*(1-Constants!$H$25)</f>
        <v>1241676.2367981768</v>
      </c>
      <c r="AU21" s="23">
        <f>'Net zero Intermediate calcs'!AP37*'Net zero Intermediate calcs'!AP38*(1-Constants!$H$25)</f>
        <v>1265854.6084541425</v>
      </c>
      <c r="AV21" s="23">
        <f>'Net zero Intermediate calcs'!AQ37*'Net zero Intermediate calcs'!AQ38*(1-Constants!$H$25)</f>
        <v>1289867.212709486</v>
      </c>
      <c r="AW21" s="23">
        <f>'Net zero Intermediate calcs'!AR37*'Net zero Intermediate calcs'!AR38*(1-Constants!$H$25)</f>
        <v>1315035.6974061064</v>
      </c>
      <c r="AX21" s="23">
        <f>'Net zero Intermediate calcs'!AS37*'Net zero Intermediate calcs'!AS38*(1-Constants!$H$25)</f>
        <v>1344344.9407385164</v>
      </c>
      <c r="AY21" s="23">
        <f>'Net zero Intermediate calcs'!AT37*'Net zero Intermediate calcs'!AT38*(1-Constants!$H$25)</f>
        <v>1375820.1086740417</v>
      </c>
      <c r="AZ21" s="23">
        <f>'Net zero Intermediate calcs'!AU37*'Net zero Intermediate calcs'!AU38*(1-Constants!$H$25)</f>
        <v>1411885.3641938618</v>
      </c>
      <c r="BA21" s="23">
        <f>'Net zero Intermediate calcs'!AV37*'Net zero Intermediate calcs'!AV38*(1-Constants!$H$25)</f>
        <v>1441697.0546657441</v>
      </c>
      <c r="BB21" s="23">
        <f>'Net zero Intermediate calcs'!AW37*'Net zero Intermediate calcs'!AW38*(1-Constants!$H$25)</f>
        <v>1470220.8826198957</v>
      </c>
      <c r="BC21" s="23">
        <f>'Net zero Intermediate calcs'!AX37*'Net zero Intermediate calcs'!AX38*(1-Constants!$H$25)</f>
        <v>1501205.6317520018</v>
      </c>
      <c r="BD21" s="23">
        <f>'Net zero Intermediate calcs'!AY37*'Net zero Intermediate calcs'!AY38*(1-Constants!$H$25)</f>
        <v>1531536.3232332743</v>
      </c>
      <c r="BE21" s="23">
        <f>'Net zero Intermediate calcs'!AZ37*'Net zero Intermediate calcs'!AZ38*(1-Constants!$H$25)</f>
        <v>1563361.6215296164</v>
      </c>
      <c r="BF21" s="23">
        <f>'Net zero Intermediate calcs'!BA37*'Net zero Intermediate calcs'!BA38*(1-Constants!$H$25)</f>
        <v>1595587.5449243241</v>
      </c>
      <c r="BG21" s="23">
        <f>'Net zero Intermediate calcs'!BB37*'Net zero Intermediate calcs'!BB38*(1-Constants!$H$25)</f>
        <v>1631028.5989315487</v>
      </c>
      <c r="BH21" s="23">
        <f>'Net zero Intermediate calcs'!BC37*'Net zero Intermediate calcs'!BC38*(1-Constants!$H$25)</f>
        <v>1665522.3544129995</v>
      </c>
      <c r="BI21" s="23">
        <f>'Net zero Intermediate calcs'!BD37*'Net zero Intermediate calcs'!BD38*(1-Constants!$H$25)</f>
        <v>1700742.1731407556</v>
      </c>
      <c r="BJ21" s="23">
        <f>'Net zero Intermediate calcs'!BE37*'Net zero Intermediate calcs'!BE38*(1-Constants!$H$25)</f>
        <v>1737138.5628325795</v>
      </c>
      <c r="BK21" s="23">
        <f>'Net zero Intermediate calcs'!BF37*'Net zero Intermediate calcs'!BF38*(1-Constants!$H$25)</f>
        <v>1774896.927383302</v>
      </c>
      <c r="BL21" s="23">
        <f>'Net zero Intermediate calcs'!BG37*'Net zero Intermediate calcs'!BG38*(1-Constants!$H$25)</f>
        <v>1816752.6040868936</v>
      </c>
      <c r="BM21" s="23">
        <f>'Net zero Intermediate calcs'!BH37*'Net zero Intermediate calcs'!BH38*(1-Constants!$H$25)</f>
        <v>1847458.7416362888</v>
      </c>
      <c r="BN21" s="23">
        <f>'Net zero Intermediate calcs'!BI37*'Net zero Intermediate calcs'!BI38*(1-Constants!$H$25)</f>
        <v>1877630.942674024</v>
      </c>
      <c r="BO21" s="23">
        <f>'Net zero Intermediate calcs'!BJ37*'Net zero Intermediate calcs'!BJ38*(1-Constants!$H$25)</f>
        <v>1908506.016309191</v>
      </c>
      <c r="BP21" s="23">
        <f>'Net zero Intermediate calcs'!BK37*'Net zero Intermediate calcs'!BK38*(1-Constants!$H$25)</f>
        <v>1939564.1342363278</v>
      </c>
      <c r="BQ21">
        <v>2085924.7975858962</v>
      </c>
    </row>
    <row r="22" spans="1:72" x14ac:dyDescent="0.2">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3918474.6420822921</v>
      </c>
      <c r="AE22" s="23">
        <f>'Net zero Intermediate calcs'!Z42*'Net zero Intermediate calcs'!Z43*(1-Constants!$H$26)</f>
        <v>3970073.9493708354</v>
      </c>
      <c r="AF22" s="23">
        <f>'Net zero Intermediate calcs'!AA42*'Net zero Intermediate calcs'!AA43*(1-Constants!$H$26)</f>
        <v>4052957.2380717816</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3987094.1595649333</v>
      </c>
      <c r="AK22" s="23">
        <f>'Net zero Intermediate calcs'!AF42*'Net zero Intermediate calcs'!AF43*(1-Constants!$H$26)</f>
        <v>3969899.9472367363</v>
      </c>
      <c r="AL22" s="23">
        <f>'Net zero Intermediate calcs'!AG42*'Net zero Intermediate calcs'!AG43*(1-Constants!$H$26)</f>
        <v>3393837.3933117758</v>
      </c>
      <c r="AM22" s="23">
        <f>'Net zero Intermediate calcs'!AH42*'Net zero Intermediate calcs'!AH43*(1-Constants!$H$26)</f>
        <v>3543421.9369887467</v>
      </c>
      <c r="AN22" s="23">
        <f>'Net zero Intermediate calcs'!AI42*'Net zero Intermediate calcs'!AI43*(1-Constants!$H$26)</f>
        <v>3646503.7809395399</v>
      </c>
      <c r="AO22" s="23">
        <f>'Net zero Intermediate calcs'!AJ42*'Net zero Intermediate calcs'!AJ43*(1-Constants!$H$26)</f>
        <v>3737986.7432850893</v>
      </c>
      <c r="AP22" s="23">
        <f>'Net zero Intermediate calcs'!AK42*'Net zero Intermediate calcs'!AK43*(1-Constants!$H$26)</f>
        <v>3850623.5413084393</v>
      </c>
      <c r="AQ22" s="23">
        <f>'Net zero Intermediate calcs'!AL42*'Net zero Intermediate calcs'!AL43*(1-Constants!$H$26)</f>
        <v>3952861.359710326</v>
      </c>
      <c r="AR22" s="23">
        <f>'Net zero Intermediate calcs'!AM42*'Net zero Intermediate calcs'!AM43*(1-Constants!$H$26)</f>
        <v>4043100.6337726563</v>
      </c>
      <c r="AS22" s="23">
        <f>'Net zero Intermediate calcs'!AN42*'Net zero Intermediate calcs'!AN43*(1-Constants!$H$26)</f>
        <v>4126943.183641274</v>
      </c>
      <c r="AT22" s="23">
        <f>'Net zero Intermediate calcs'!AO42*'Net zero Intermediate calcs'!AO43*(1-Constants!$H$26)</f>
        <v>4201572.0597490128</v>
      </c>
      <c r="AU22" s="23">
        <f>'Net zero Intermediate calcs'!AP42*'Net zero Intermediate calcs'!AP43*(1-Constants!$H$26)</f>
        <v>4310916.2501425808</v>
      </c>
      <c r="AV22" s="23">
        <f>'Net zero Intermediate calcs'!AQ42*'Net zero Intermediate calcs'!AQ43*(1-Constants!$H$26)</f>
        <v>4416980.1901160572</v>
      </c>
      <c r="AW22" s="23">
        <f>'Net zero Intermediate calcs'!AR42*'Net zero Intermediate calcs'!AR43*(1-Constants!$H$26)</f>
        <v>4541072.8887908636</v>
      </c>
      <c r="AX22" s="23">
        <f>'Net zero Intermediate calcs'!AS42*'Net zero Intermediate calcs'!AS43*(1-Constants!$H$26)</f>
        <v>4699196.2524249991</v>
      </c>
      <c r="AY22" s="23">
        <f>'Net zero Intermediate calcs'!AT42*'Net zero Intermediate calcs'!AT43*(1-Constants!$H$26)</f>
        <v>4873668.8180964151</v>
      </c>
      <c r="AZ22" s="23">
        <f>'Net zero Intermediate calcs'!AU42*'Net zero Intermediate calcs'!AU43*(1-Constants!$H$26)</f>
        <v>5084877.1041780189</v>
      </c>
      <c r="BA22" s="23">
        <f>'Net zero Intermediate calcs'!AV42*'Net zero Intermediate calcs'!AV43*(1-Constants!$H$26)</f>
        <v>5240122.0370546337</v>
      </c>
      <c r="BB22" s="23">
        <f>'Net zero Intermediate calcs'!AW42*'Net zero Intermediate calcs'!AW43*(1-Constants!$H$26)</f>
        <v>5391430.5832104255</v>
      </c>
      <c r="BC22" s="23">
        <f>'Net zero Intermediate calcs'!AX42*'Net zero Intermediate calcs'!AX43*(1-Constants!$H$26)</f>
        <v>5561432.5884370701</v>
      </c>
      <c r="BD22" s="23">
        <f>'Net zero Intermediate calcs'!AY42*'Net zero Intermediate calcs'!AY43*(1-Constants!$H$26)</f>
        <v>5723870.646589593</v>
      </c>
      <c r="BE22" s="23">
        <f>'Net zero Intermediate calcs'!AZ42*'Net zero Intermediate calcs'!AZ43*(1-Constants!$H$26)</f>
        <v>5896669.0999474553</v>
      </c>
      <c r="BF22" s="23">
        <f>'Net zero Intermediate calcs'!BA42*'Net zero Intermediate calcs'!BA43*(1-Constants!$H$26)</f>
        <v>6070662.4136312781</v>
      </c>
      <c r="BG22" s="23">
        <f>'Net zero Intermediate calcs'!BB42*'Net zero Intermediate calcs'!BB43*(1-Constants!$H$26)</f>
        <v>6277164.7347651003</v>
      </c>
      <c r="BH22" s="23">
        <f>'Net zero Intermediate calcs'!BC42*'Net zero Intermediate calcs'!BC43*(1-Constants!$H$26)</f>
        <v>6473647.0146954665</v>
      </c>
      <c r="BI22" s="23">
        <f>'Net zero Intermediate calcs'!BD42*'Net zero Intermediate calcs'!BD43*(1-Constants!$H$26)</f>
        <v>6673815.2723429902</v>
      </c>
      <c r="BJ22" s="23">
        <f>'Net zero Intermediate calcs'!BE42*'Net zero Intermediate calcs'!BE43*(1-Constants!$H$26)</f>
        <v>6881241.4000776187</v>
      </c>
      <c r="BK22" s="23">
        <f>'Net zero Intermediate calcs'!BF42*'Net zero Intermediate calcs'!BF43*(1-Constants!$H$26)</f>
        <v>7097301.1598550947</v>
      </c>
      <c r="BL22" s="23">
        <f>'Net zero Intermediate calcs'!BG42*'Net zero Intermediate calcs'!BG43*(1-Constants!$H$26)</f>
        <v>7351902.3071441259</v>
      </c>
      <c r="BM22" s="23">
        <f>'Net zero Intermediate calcs'!BH42*'Net zero Intermediate calcs'!BH43*(1-Constants!$H$26)</f>
        <v>7515870.3773654448</v>
      </c>
      <c r="BN22" s="23">
        <f>'Net zero Intermediate calcs'!BI42*'Net zero Intermediate calcs'!BI43*(1-Constants!$H$26)</f>
        <v>7674056.4923992082</v>
      </c>
      <c r="BO22" s="23">
        <f>'Net zero Intermediate calcs'!BJ42*'Net zero Intermediate calcs'!BJ43*(1-Constants!$H$26)</f>
        <v>7836224.012441407</v>
      </c>
      <c r="BP22" s="23">
        <f>'Net zero Intermediate calcs'!BK42*'Net zero Intermediate calcs'!BK43*(1-Constants!$H$26)</f>
        <v>7998279.5510298656</v>
      </c>
      <c r="BQ22">
        <v>9062422.2743984703</v>
      </c>
    </row>
    <row r="23" spans="1:72" ht="18.75" customHeight="1" x14ac:dyDescent="0.2">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2">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2">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2">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2">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2">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2">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2">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2">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2">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2">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2">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2">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2">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2">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2">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2">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3533134.1936058402</v>
      </c>
      <c r="AN41" s="22">
        <f>((Data!$AJ$42*LN('Intermediate calculations'!AH60))+Data!$AK$42)</f>
        <v>3551592.8057409506</v>
      </c>
      <c r="AO41" s="22">
        <f>((Data!$AJ$42*LN('Intermediate calculations'!AI60))+Data!$AK$42)</f>
        <v>3566040.8985523209</v>
      </c>
      <c r="AP41" s="22">
        <f>((Data!$AJ$42*LN('Intermediate calculations'!AJ60))+Data!$AK$42)</f>
        <v>3579415.3874971271</v>
      </c>
      <c r="AQ41" s="22">
        <f>((Data!$AJ$42*LN('Intermediate calculations'!AK60))+Data!$AK$42)</f>
        <v>3594365.2114793099</v>
      </c>
      <c r="AR41" s="22">
        <f>((Data!$AJ$42*LN('Intermediate calculations'!AL60))+Data!$AK$42)</f>
        <v>3608343.8992133755</v>
      </c>
      <c r="AS41" s="22">
        <f>((Data!$AJ$42*LN('Intermediate calculations'!AM60))+Data!$AK$42)</f>
        <v>3620792.4084558729</v>
      </c>
      <c r="AT41" s="22">
        <f>((Data!$AJ$42*LN('Intermediate calculations'!AN60))+Data!$AK$42)</f>
        <v>3632637.6736033764</v>
      </c>
      <c r="AU41" s="22">
        <f>((Data!$AJ$42*LN('Intermediate calculations'!AO60))+Data!$AK$42)</f>
        <v>3643674.3128369395</v>
      </c>
      <c r="AV41" s="22">
        <f>((Data!$AJ$42*LN('Intermediate calculations'!AP60))+Data!$AK$42)</f>
        <v>3657294.6906282641</v>
      </c>
      <c r="AW41" s="22">
        <f>((Data!$AJ$42*LN('Intermediate calculations'!AQ60))+Data!$AK$42)</f>
        <v>3670539.7577979695</v>
      </c>
      <c r="AX41" s="22">
        <f>((Data!$AJ$42*LN('Intermediate calculations'!AR60))+Data!$AK$42)</f>
        <v>3684670.6324141324</v>
      </c>
      <c r="AY41" s="22">
        <f>((Data!$AJ$42*LN('Intermediate calculations'!AS60))+Data!$AK$42)</f>
        <v>3701185.7548105363</v>
      </c>
      <c r="AZ41" s="22">
        <f>((Data!$AJ$42*LN('Intermediate calculations'!AT60))+Data!$AK$42)</f>
        <v>3718692.4370110072</v>
      </c>
      <c r="BA41" s="22">
        <f>((Data!$AJ$42*LN('Intermediate calculations'!AU60))+Data!$AK$42)</f>
        <v>3738598.4579304736</v>
      </c>
      <c r="BB41" s="22">
        <f>((Data!$AJ$42*LN('Intermediate calculations'!AV60))+Data!$AK$42)</f>
        <v>3754249.5436777677</v>
      </c>
      <c r="BC41" s="22">
        <f>((Data!$AJ$42*LN('Intermediate calculations'!AW60))+Data!$AK$42)</f>
        <v>3769141.5093315784</v>
      </c>
      <c r="BD41" s="22">
        <f>((Data!$AJ$42*LN('Intermediate calculations'!AX60))+Data!$AK$42)</f>
        <v>3785152.8543187492</v>
      </c>
      <c r="BE41" s="22">
        <f>((Data!$AJ$42*LN('Intermediate calculations'!AY60))+Data!$AK$42)</f>
        <v>3800455.451151805</v>
      </c>
      <c r="BF41" s="22">
        <f>((Data!$AJ$42*LN('Intermediate calculations'!AZ60))+Data!$AK$42)</f>
        <v>3816271.6850029007</v>
      </c>
      <c r="BG41" s="22">
        <f>((Data!$AJ$42*LN('Intermediate calculations'!BA60))+Data!$AK$42)</f>
        <v>3831972.6676072143</v>
      </c>
      <c r="BH41" s="22">
        <f>((Data!$AJ$42*LN('Intermediate calculations'!BB60))+Data!$AK$42)</f>
        <v>3849330.2197420876</v>
      </c>
      <c r="BI41" s="22">
        <f>((Data!$AJ$42*LN('Intermediate calculations'!BC60))+Data!$AK$42)</f>
        <v>3865805.2382898442</v>
      </c>
      <c r="BJ41" s="22">
        <f>((Data!$AJ$42*LN('Intermediate calculations'!BD60))+Data!$AK$42)</f>
        <v>3882293.7541240845</v>
      </c>
      <c r="BK41" s="22">
        <f>((Data!$AJ$42*LN('Intermediate calculations'!BE60))+Data!$AK$42)</f>
        <v>3899010.9874762483</v>
      </c>
      <c r="BL41" s="22">
        <f>((Data!$AJ$42*LN('Intermediate calculations'!BF60))+Data!$AK$42)</f>
        <v>3916024.7746488545</v>
      </c>
      <c r="BM41" s="22">
        <f>((Data!$AJ$42*LN('Intermediate calculations'!BG60))+Data!$AK$42)</f>
        <v>3934862.4166172836</v>
      </c>
      <c r="BN41" s="22">
        <f>((Data!$AJ$42*LN('Intermediate calculations'!BH60))+Data!$AK$42)</f>
        <v>3948073.8713603262</v>
      </c>
      <c r="BO41" s="22">
        <f>((Data!$AJ$42*LN('Intermediate calculations'!BI60))+Data!$AK$42)</f>
        <v>3960812.2365733348</v>
      </c>
      <c r="BP41" s="22">
        <f>((Data!$AJ$42*LN('Intermediate calculations'!BJ60))+Data!$AK$42)</f>
        <v>3973653.8638464957</v>
      </c>
    </row>
    <row r="42" spans="1:72" x14ac:dyDescent="0.2">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2">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2">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1948362.7863883774</v>
      </c>
      <c r="AN45" s="22">
        <f t="shared" si="46"/>
        <v>1958541.8713032706</v>
      </c>
      <c r="AO45" s="22">
        <f t="shared" si="46"/>
        <v>1966509.3372486357</v>
      </c>
      <c r="AP45" s="22">
        <f t="shared" si="46"/>
        <v>1973884.7594995601</v>
      </c>
      <c r="AQ45" s="22">
        <f t="shared" si="46"/>
        <v>1982128.9073620038</v>
      </c>
      <c r="AR45" s="22">
        <f t="shared" si="46"/>
        <v>1989837.5177603541</v>
      </c>
      <c r="AS45" s="22">
        <f t="shared" si="46"/>
        <v>1996702.3043280393</v>
      </c>
      <c r="AT45" s="22">
        <f t="shared" si="46"/>
        <v>2003234.4292187572</v>
      </c>
      <c r="AU45" s="22">
        <f t="shared" si="46"/>
        <v>2009320.6337021261</v>
      </c>
      <c r="AV45" s="22">
        <f t="shared" si="46"/>
        <v>2016831.6524664839</v>
      </c>
      <c r="AW45" s="22">
        <f t="shared" si="46"/>
        <v>2024135.7044958044</v>
      </c>
      <c r="AX45" s="22">
        <f t="shared" si="46"/>
        <v>2031928.2390366886</v>
      </c>
      <c r="AY45" s="22">
        <f t="shared" si="46"/>
        <v>2041035.577769544</v>
      </c>
      <c r="AZ45" s="22">
        <f t="shared" si="46"/>
        <v>2050689.7166285366</v>
      </c>
      <c r="BA45" s="22">
        <f t="shared" si="46"/>
        <v>2061666.9816457408</v>
      </c>
      <c r="BB45" s="22">
        <f t="shared" si="46"/>
        <v>2070297.8434714219</v>
      </c>
      <c r="BC45" s="22">
        <f t="shared" si="46"/>
        <v>2078510.085097729</v>
      </c>
      <c r="BD45" s="22">
        <f t="shared" si="46"/>
        <v>2087339.6135061001</v>
      </c>
      <c r="BE45" s="22">
        <f t="shared" si="46"/>
        <v>2095778.299548252</v>
      </c>
      <c r="BF45" s="22">
        <f t="shared" si="46"/>
        <v>2104500.2330406341</v>
      </c>
      <c r="BG45" s="22">
        <f t="shared" si="46"/>
        <v>2113158.6107131662</v>
      </c>
      <c r="BH45" s="22">
        <f t="shared" si="46"/>
        <v>2122730.5111248707</v>
      </c>
      <c r="BI45" s="22">
        <f t="shared" si="46"/>
        <v>2131815.7344095116</v>
      </c>
      <c r="BJ45" s="22">
        <f t="shared" si="46"/>
        <v>2140908.4008336598</v>
      </c>
      <c r="BK45" s="22">
        <f t="shared" si="46"/>
        <v>2150127.1945646401</v>
      </c>
      <c r="BL45" s="22">
        <f t="shared" si="46"/>
        <v>2159509.5242374362</v>
      </c>
      <c r="BM45" s="22">
        <f t="shared" si="46"/>
        <v>2169897.6268634326</v>
      </c>
      <c r="BN45" s="22">
        <f t="shared" si="46"/>
        <v>2177183.1431684694</v>
      </c>
      <c r="BO45" s="22">
        <f t="shared" si="46"/>
        <v>2184207.7721184161</v>
      </c>
      <c r="BP45" s="22">
        <f t="shared" si="46"/>
        <v>2191289.3453971716</v>
      </c>
    </row>
    <row r="46" spans="1:72" x14ac:dyDescent="0.2">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640814.88079843647</v>
      </c>
      <c r="AN46" s="22">
        <f>((Data!$AJ$48*'Net zero Activity data'!AN47)+Data!$AK$48)</f>
        <v>640654.58671761013</v>
      </c>
      <c r="AO46" s="22">
        <f>((Data!$AJ$48*'Net zero Activity data'!AO47)+Data!$AK$48)</f>
        <v>640529.11987644446</v>
      </c>
      <c r="AP46" s="22">
        <f>((Data!$AJ$48*'Net zero Activity data'!AP47)+Data!$AK$48)</f>
        <v>640412.97618177021</v>
      </c>
      <c r="AQ46" s="22">
        <f>((Data!$AJ$48*'Net zero Activity data'!AQ47)+Data!$AK$48)</f>
        <v>640283.15232089697</v>
      </c>
      <c r="AR46" s="22">
        <f>((Data!$AJ$48*'Net zero Activity data'!AR47)+Data!$AK$48)</f>
        <v>640161.7617805308</v>
      </c>
      <c r="AS46" s="22">
        <f>((Data!$AJ$48*'Net zero Activity data'!AS47)+Data!$AK$48)</f>
        <v>640053.65926815988</v>
      </c>
      <c r="AT46" s="22">
        <f>((Data!$AJ$48*'Net zero Activity data'!AT47)+Data!$AK$48)</f>
        <v>639950.79531094234</v>
      </c>
      <c r="AU46" s="22">
        <f>((Data!$AJ$48*'Net zero Activity data'!AU47)+Data!$AK$48)</f>
        <v>639854.9534389528</v>
      </c>
      <c r="AV46" s="22">
        <f>((Data!$AJ$48*'Net zero Activity data'!AV47)+Data!$AK$48)</f>
        <v>639736.67445228854</v>
      </c>
      <c r="AW46" s="22">
        <f>((Data!$AJ$48*'Net zero Activity data'!AW47)+Data!$AK$48)</f>
        <v>639621.65465275478</v>
      </c>
      <c r="AX46" s="22">
        <f>((Data!$AJ$48*'Net zero Activity data'!AX47)+Data!$AK$48)</f>
        <v>639498.94252568414</v>
      </c>
      <c r="AY46" s="22">
        <f>((Data!$AJ$48*'Net zero Activity data'!AY47)+Data!$AK$48)</f>
        <v>639355.52565637196</v>
      </c>
      <c r="AZ46" s="22">
        <f>((Data!$AJ$48*'Net zero Activity data'!AZ47)+Data!$AK$48)</f>
        <v>639203.4981089537</v>
      </c>
      <c r="BA46" s="22">
        <f>((Data!$AJ$48*'Net zero Activity data'!BA47)+Data!$AK$48)</f>
        <v>639030.63476999628</v>
      </c>
      <c r="BB46" s="22">
        <f>((Data!$AJ$48*'Net zero Activity data'!BB47)+Data!$AK$48)</f>
        <v>638894.72117121459</v>
      </c>
      <c r="BC46" s="22">
        <f>((Data!$AJ$48*'Net zero Activity data'!BC47)+Data!$AK$48)</f>
        <v>638765.39975047589</v>
      </c>
      <c r="BD46" s="22">
        <f>((Data!$AJ$48*'Net zero Activity data'!BD47)+Data!$AK$48)</f>
        <v>638626.35767034953</v>
      </c>
      <c r="BE46" s="22">
        <f>((Data!$AJ$48*'Net zero Activity data'!BE47)+Data!$AK$48)</f>
        <v>638493.47033972805</v>
      </c>
      <c r="BF46" s="22">
        <f>((Data!$AJ$48*'Net zero Activity data'!BF47)+Data!$AK$48)</f>
        <v>638356.12259934866</v>
      </c>
      <c r="BG46" s="22">
        <f>((Data!$AJ$48*'Net zero Activity data'!BG47)+Data!$AK$48)</f>
        <v>638219.77569763106</v>
      </c>
      <c r="BH46" s="22">
        <f>((Data!$AJ$48*'Net zero Activity data'!BH47)+Data!$AK$48)</f>
        <v>638069.04319160676</v>
      </c>
      <c r="BI46" s="22">
        <f>((Data!$AJ$48*'Net zero Activity data'!BI47)+Data!$AK$48)</f>
        <v>637925.97458301473</v>
      </c>
      <c r="BJ46" s="22">
        <f>((Data!$AJ$48*'Net zero Activity data'!BJ47)+Data!$AK$48)</f>
        <v>637782.78876435757</v>
      </c>
      <c r="BK46" s="22">
        <f>((Data!$AJ$48*'Net zero Activity data'!BK47)+Data!$AK$48)</f>
        <v>637637.6167690563</v>
      </c>
      <c r="BL46" s="22">
        <f>((Data!$AJ$48*'Net zero Activity data'!BL47)+Data!$AK$48)</f>
        <v>637489.86950852303</v>
      </c>
      <c r="BM46" s="22">
        <f>((Data!$AJ$48*'Net zero Activity data'!BM47)+Data!$AK$48)</f>
        <v>637326.28394303389</v>
      </c>
      <c r="BN46" s="22">
        <f>((Data!$AJ$48*'Net zero Activity data'!BN47)+Data!$AK$48)</f>
        <v>637211.5560328901</v>
      </c>
      <c r="BO46" s="22">
        <f>((Data!$AJ$48*'Net zero Activity data'!BO47)+Data!$AK$48)</f>
        <v>637100.93641923205</v>
      </c>
      <c r="BP46" s="22">
        <f>((Data!$AJ$48*'Net zero Activity data'!BP47)+Data!$AK$48)</f>
        <v>636989.4200806797</v>
      </c>
    </row>
    <row r="47" spans="1:72" x14ac:dyDescent="0.2">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420247.35216505616</v>
      </c>
      <c r="AN47" s="22">
        <f>((Data!$AJ$49*'Net zero Activity data'!AN41)+Data!$AK$49)</f>
        <v>420129.45207850222</v>
      </c>
      <c r="AO47" s="22">
        <f>((Data!$AJ$49*'Net zero Activity data'!AO41)+Data!$AK$49)</f>
        <v>420037.16825019853</v>
      </c>
      <c r="AP47" s="22">
        <f>((Data!$AJ$49*'Net zero Activity data'!AP41)+Data!$AK$49)</f>
        <v>419951.74181658233</v>
      </c>
      <c r="AQ47" s="22">
        <f>((Data!$AJ$49*'Net zero Activity data'!AQ41)+Data!$AK$49)</f>
        <v>419856.25329726329</v>
      </c>
      <c r="AR47" s="22">
        <f>((Data!$AJ$49*'Net zero Activity data'!AR41)+Data!$AK$49)</f>
        <v>419766.96768458054</v>
      </c>
      <c r="AS47" s="22">
        <f>((Data!$AJ$49*'Net zero Activity data'!AS41)+Data!$AK$49)</f>
        <v>419687.45573067979</v>
      </c>
      <c r="AT47" s="22">
        <f>((Data!$AJ$49*'Net zero Activity data'!AT41)+Data!$AK$49)</f>
        <v>419611.79685795837</v>
      </c>
      <c r="AU47" s="22">
        <f>((Data!$AJ$49*'Net zero Activity data'!AU41)+Data!$AK$49)</f>
        <v>419541.30289495736</v>
      </c>
      <c r="AV47" s="22">
        <f>((Data!$AJ$49*'Net zero Activity data'!AV41)+Data!$AK$49)</f>
        <v>419454.30590359418</v>
      </c>
      <c r="AW47" s="22">
        <f>((Data!$AJ$49*'Net zero Activity data'!AW41)+Data!$AK$49)</f>
        <v>419369.70612142794</v>
      </c>
      <c r="AX47" s="22">
        <f>((Data!$AJ$49*'Net zero Activity data'!AX41)+Data!$AK$49)</f>
        <v>419279.44845047552</v>
      </c>
      <c r="AY47" s="22">
        <f>((Data!$AJ$49*'Net zero Activity data'!AY41)+Data!$AK$49)</f>
        <v>419173.9619520469</v>
      </c>
      <c r="AZ47" s="22">
        <f>((Data!$AJ$49*'Net zero Activity data'!AZ41)+Data!$AK$49)</f>
        <v>419062.14209627442</v>
      </c>
      <c r="BA47" s="22">
        <f>((Data!$AJ$49*'Net zero Activity data'!BA41)+Data!$AK$49)</f>
        <v>418934.99702316866</v>
      </c>
      <c r="BB47" s="22">
        <f>((Data!$AJ$49*'Net zero Activity data'!BB41)+Data!$AK$49)</f>
        <v>418835.02935762791</v>
      </c>
      <c r="BC47" s="22">
        <f>((Data!$AJ$49*'Net zero Activity data'!BC41)+Data!$AK$49)</f>
        <v>418739.91039490787</v>
      </c>
      <c r="BD47" s="22">
        <f>((Data!$AJ$49*'Net zero Activity data'!BD41)+Data!$AK$49)</f>
        <v>418637.64165736601</v>
      </c>
      <c r="BE47" s="22">
        <f>((Data!$AJ$49*'Net zero Activity data'!BE41)+Data!$AK$49)</f>
        <v>418539.89988361229</v>
      </c>
      <c r="BF47" s="22">
        <f>((Data!$AJ$49*'Net zero Activity data'!BF41)+Data!$AK$49)</f>
        <v>418438.87737301656</v>
      </c>
      <c r="BG47" s="22">
        <f>((Data!$AJ$49*'Net zero Activity data'!BG41)+Data!$AK$49)</f>
        <v>418338.59100292105</v>
      </c>
      <c r="BH47" s="22">
        <f>((Data!$AJ$49*'Net zero Activity data'!BH41)+Data!$AK$49)</f>
        <v>418227.72368071467</v>
      </c>
      <c r="BI47" s="22">
        <f>((Data!$AJ$49*'Net zero Activity data'!BI41)+Data!$AK$49)</f>
        <v>418122.49333628028</v>
      </c>
      <c r="BJ47" s="22">
        <f>((Data!$AJ$49*'Net zero Activity data'!BJ41)+Data!$AK$49)</f>
        <v>418017.17678107158</v>
      </c>
      <c r="BK47" s="22">
        <f>((Data!$AJ$49*'Net zero Activity data'!BK41)+Data!$AK$49)</f>
        <v>417910.39934597863</v>
      </c>
      <c r="BL47" s="22">
        <f>((Data!$AJ$49*'Net zero Activity data'!BL41)+Data!$AK$49)</f>
        <v>417801.72774241609</v>
      </c>
      <c r="BM47" s="22">
        <f>((Data!$AJ$49*'Net zero Activity data'!BM41)+Data!$AK$49)</f>
        <v>417681.40669106657</v>
      </c>
      <c r="BN47" s="22">
        <f>((Data!$AJ$49*'Net zero Activity data'!BN41)+Data!$AK$49)</f>
        <v>417597.02160044829</v>
      </c>
      <c r="BO47" s="22">
        <f>((Data!$AJ$49*'Net zero Activity data'!BO41)+Data!$AK$49)</f>
        <v>417515.65825903474</v>
      </c>
      <c r="BP47" s="22">
        <f>((Data!$AJ$49*'Net zero Activity data'!BP41)+Data!$AK$49)</f>
        <v>417433.63535525859</v>
      </c>
    </row>
    <row r="48" spans="1:72" x14ac:dyDescent="0.2">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2773.6325242893713</v>
      </c>
      <c r="AN48" s="22">
        <f t="shared" si="47"/>
        <v>2772.8543837181151</v>
      </c>
      <c r="AO48" s="22">
        <f t="shared" si="47"/>
        <v>2772.2453104513111</v>
      </c>
      <c r="AP48" s="22">
        <f t="shared" si="47"/>
        <v>2771.6814959894436</v>
      </c>
      <c r="AQ48" s="22">
        <f t="shared" si="47"/>
        <v>2771.0512717619386</v>
      </c>
      <c r="AR48" s="22">
        <f t="shared" si="47"/>
        <v>2770.4619867182323</v>
      </c>
      <c r="AS48" s="22">
        <f t="shared" si="47"/>
        <v>2769.9372078224869</v>
      </c>
      <c r="AT48" s="22">
        <f t="shared" si="47"/>
        <v>2769.4378592625258</v>
      </c>
      <c r="AU48" s="22">
        <f t="shared" si="47"/>
        <v>2768.9725991067189</v>
      </c>
      <c r="AV48" s="22">
        <f t="shared" si="47"/>
        <v>2768.3984189637222</v>
      </c>
      <c r="AW48" s="22">
        <f t="shared" si="47"/>
        <v>2767.8400604014246</v>
      </c>
      <c r="AX48" s="22">
        <f t="shared" si="47"/>
        <v>2767.244359773139</v>
      </c>
      <c r="AY48" s="22">
        <f t="shared" si="47"/>
        <v>2766.5481488835103</v>
      </c>
      <c r="AZ48" s="22">
        <f t="shared" si="47"/>
        <v>2765.8101378354118</v>
      </c>
      <c r="BA48" s="22">
        <f t="shared" si="47"/>
        <v>2764.9709803529136</v>
      </c>
      <c r="BB48" s="22">
        <f t="shared" si="47"/>
        <v>2764.3111937603444</v>
      </c>
      <c r="BC48" s="22">
        <f t="shared" si="47"/>
        <v>2763.6834086063927</v>
      </c>
      <c r="BD48" s="22">
        <f t="shared" si="47"/>
        <v>2763.0084349386161</v>
      </c>
      <c r="BE48" s="22">
        <f t="shared" si="47"/>
        <v>2762.3633392318416</v>
      </c>
      <c r="BF48" s="22">
        <f t="shared" si="47"/>
        <v>2761.6965906619098</v>
      </c>
      <c r="BG48" s="22">
        <f t="shared" si="47"/>
        <v>2761.0347006192796</v>
      </c>
      <c r="BH48" s="22">
        <f t="shared" si="47"/>
        <v>2760.3029762927172</v>
      </c>
      <c r="BI48" s="22">
        <f t="shared" si="47"/>
        <v>2759.6084560194504</v>
      </c>
      <c r="BJ48" s="22">
        <f t="shared" si="47"/>
        <v>2758.9133667550727</v>
      </c>
      <c r="BK48" s="22">
        <f t="shared" si="47"/>
        <v>2758.2086356834593</v>
      </c>
      <c r="BL48" s="22">
        <f t="shared" si="47"/>
        <v>2757.4914030999466</v>
      </c>
      <c r="BM48" s="22">
        <f t="shared" si="47"/>
        <v>2756.69728416104</v>
      </c>
      <c r="BN48" s="22">
        <f t="shared" si="47"/>
        <v>2756.1403425629596</v>
      </c>
      <c r="BO48" s="22">
        <f t="shared" si="47"/>
        <v>2755.6033445096296</v>
      </c>
      <c r="BP48" s="22">
        <f t="shared" si="47"/>
        <v>2755.0619933447069</v>
      </c>
    </row>
    <row r="49" spans="1:72" ht="18.75" customHeight="1" x14ac:dyDescent="0.2">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20399477.19036686</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20732497.185878474</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20351219.64173276</v>
      </c>
      <c r="AM50" s="22">
        <f>((AM5*Constants!$H63*Constants!$H81*(1-Constants!$H99))+(AM5*Constants!$H63*Constants!$H115))</f>
        <v>20420418.631974839</v>
      </c>
      <c r="AN50" s="22">
        <f>((AN5*Constants!$H63*Constants!$H81*(1-Constants!$H99))+(AN5*Constants!$H63*Constants!$H115))</f>
        <v>20436075.009728078</v>
      </c>
      <c r="AO50" s="22">
        <f>((AO5*Constants!$H63*Constants!$H81*(1-Constants!$H99))+(AO5*Constants!$H63*Constants!$H115))</f>
        <v>20439388.692872532</v>
      </c>
      <c r="AP50" s="22">
        <f>((AP5*Constants!$H63*Constants!$H81*(1-Constants!$H99))+(AP5*Constants!$H63*Constants!$H115))</f>
        <v>20468344.854711145</v>
      </c>
      <c r="AQ50" s="22">
        <f>((AQ5*Constants!$H63*Constants!$H81*(1-Constants!$H99))+(AQ5*Constants!$H63*Constants!$H115))</f>
        <v>20485805.043346141</v>
      </c>
      <c r="AR50" s="22">
        <f>((AR5*Constants!$H63*Constants!$H81*(1-Constants!$H99))+(AR5*Constants!$H63*Constants!$H115))</f>
        <v>20470302.659381386</v>
      </c>
      <c r="AS50" s="22">
        <f>((AS5*Constants!$H63*Constants!$H81*(1-Constants!$H99))+(AS5*Constants!$H63*Constants!$H115))</f>
        <v>20447916.913534835</v>
      </c>
      <c r="AT50" s="22">
        <f>((AT5*Constants!$H63*Constants!$H81*(1-Constants!$H99))+(AT5*Constants!$H63*Constants!$H115))</f>
        <v>20415356.165256899</v>
      </c>
      <c r="AU50" s="22">
        <f>((AU5*Constants!$H63*Constants!$H81*(1-Constants!$H99))+(AU5*Constants!$H63*Constants!$H115))</f>
        <v>20422361.722515158</v>
      </c>
      <c r="AV50" s="22">
        <f>((AV5*Constants!$H63*Constants!$H81*(1-Constants!$H99))+(AV5*Constants!$H63*Constants!$H115))</f>
        <v>20425312.808354791</v>
      </c>
      <c r="AW50" s="22">
        <f>((AW5*Constants!$H63*Constants!$H81*(1-Constants!$H99))+(AW5*Constants!$H63*Constants!$H115))</f>
        <v>20578461.126453824</v>
      </c>
      <c r="AX50" s="22">
        <f>((AX5*Constants!$H63*Constants!$H81*(1-Constants!$H99))+(AX5*Constants!$H63*Constants!$H115))</f>
        <v>20771948.39370627</v>
      </c>
      <c r="AY50" s="22">
        <f>((AY5*Constants!$H63*Constants!$H81*(1-Constants!$H99))+(AY5*Constants!$H63*Constants!$H115))</f>
        <v>20985829.724246364</v>
      </c>
      <c r="AZ50" s="22">
        <f>((AZ5*Constants!$H63*Constants!$H81*(1-Constants!$H99))+(AZ5*Constants!$H63*Constants!$H115))</f>
        <v>21243142.101686567</v>
      </c>
      <c r="BA50" s="22">
        <f>((BA5*Constants!$H63*Constants!$H81*(1-Constants!$H99))+(BA5*Constants!$H63*Constants!$H115))</f>
        <v>21438924.465675272</v>
      </c>
      <c r="BB50" s="22">
        <f>((BB5*Constants!$H63*Constants!$H81*(1-Constants!$H99))+(BB5*Constants!$H63*Constants!$H115))</f>
        <v>21617597.15201677</v>
      </c>
      <c r="BC50" s="22">
        <f>((BC5*Constants!$H63*Constants!$H81*(1-Constants!$H99))+(BC5*Constants!$H63*Constants!$H115))</f>
        <v>21818979.121965695</v>
      </c>
      <c r="BD50" s="22">
        <f>((BD5*Constants!$H63*Constants!$H81*(1-Constants!$H99))+(BD5*Constants!$H63*Constants!$H115))</f>
        <v>22013226.896764971</v>
      </c>
      <c r="BE50" s="22">
        <f>((BE5*Constants!$H63*Constants!$H81*(1-Constants!$H99))+(BE5*Constants!$H63*Constants!$H115))</f>
        <v>22220631.206060626</v>
      </c>
      <c r="BF50" s="22">
        <f>((BF5*Constants!$H63*Constants!$H81*(1-Constants!$H99))+(BF5*Constants!$H63*Constants!$H115))</f>
        <v>22430727.201254994</v>
      </c>
      <c r="BG50" s="22">
        <f>((BG5*Constants!$H63*Constants!$H81*(1-Constants!$H99))+(BG5*Constants!$H63*Constants!$H115))</f>
        <v>22665919.010165501</v>
      </c>
      <c r="BH50" s="22">
        <f>((BH5*Constants!$H63*Constants!$H81*(1-Constants!$H99))+(BH5*Constants!$H63*Constants!$H115))</f>
        <v>22890918.969657831</v>
      </c>
      <c r="BI50" s="22">
        <f>((BI5*Constants!$H63*Constants!$H81*(1-Constants!$H99))+(BI5*Constants!$H63*Constants!$H115))</f>
        <v>23121278.39824165</v>
      </c>
      <c r="BJ50" s="22">
        <f>((BJ5*Constants!$H63*Constants!$H81*(1-Constants!$H99))+(BJ5*Constants!$H63*Constants!$H115))</f>
        <v>23361029.430410728</v>
      </c>
      <c r="BK50" s="22">
        <f>((BK5*Constants!$H63*Constants!$H81*(1-Constants!$H99))+(BK5*Constants!$H63*Constants!$H115))</f>
        <v>23611708.763932478</v>
      </c>
      <c r="BL50" s="22">
        <f>((BL5*Constants!$H63*Constants!$H81*(1-Constants!$H99))+(BL5*Constants!$H63*Constants!$H115))</f>
        <v>23894238.931679547</v>
      </c>
      <c r="BM50" s="22">
        <f>((BM5*Constants!$H63*Constants!$H81*(1-Constants!$H99))+(BM5*Constants!$H63*Constants!$H115))</f>
        <v>24074091.670097064</v>
      </c>
      <c r="BN50" s="22">
        <f>((BN5*Constants!$H63*Constants!$H81*(1-Constants!$H99))+(BN5*Constants!$H63*Constants!$H115))</f>
        <v>24248159.170409232</v>
      </c>
      <c r="BO50" s="22">
        <f>((BO5*Constants!$H63*Constants!$H81*(1-Constants!$H99))+(BO5*Constants!$H63*Constants!$H115))</f>
        <v>24427572.457309268</v>
      </c>
      <c r="BP50" s="22">
        <f>((BP5*Constants!$H63*Constants!$H81*(1-Constants!$H99))+(BP5*Constants!$H63*Constants!$H115))</f>
        <v>24607609.881446261</v>
      </c>
    </row>
    <row r="51" spans="1:72" x14ac:dyDescent="0.2">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59647474.907762975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60621215.638502978</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59506371.246409237</v>
      </c>
      <c r="AM51" s="22">
        <f>((AM6*Constants!$H64*Constants!$H82*(1-Constants!$H100))+(AM6*Constants!$H64*Constants!$H116))</f>
        <v>59708707.070783004</v>
      </c>
      <c r="AN51" s="22">
        <f>((AN6*Constants!$H64*Constants!$H82*(1-Constants!$H100))+(AN6*Constants!$H64*Constants!$H116))</f>
        <v>59754485.861605346</v>
      </c>
      <c r="AO51" s="22">
        <f>((AO6*Constants!$H64*Constants!$H82*(1-Constants!$H100))+(AO6*Constants!$H64*Constants!$H116))</f>
        <v>59764174.974241257</v>
      </c>
      <c r="AP51" s="22">
        <f>((AP6*Constants!$H64*Constants!$H82*(1-Constants!$H100))+(AP6*Constants!$H64*Constants!$H116))</f>
        <v>59848841.944898196</v>
      </c>
      <c r="AQ51" s="22">
        <f>((AQ6*Constants!$H64*Constants!$H82*(1-Constants!$H100))+(AQ6*Constants!$H64*Constants!$H116))</f>
        <v>59899895.026002787</v>
      </c>
      <c r="AR51" s="22">
        <f>((AR6*Constants!$H64*Constants!$H82*(1-Constants!$H100))+(AR6*Constants!$H64*Constants!$H116))</f>
        <v>59854566.50851582</v>
      </c>
      <c r="AS51" s="22">
        <f>((AS6*Constants!$H64*Constants!$H82*(1-Constants!$H100))+(AS6*Constants!$H64*Constants!$H116))</f>
        <v>59789111.242127709</v>
      </c>
      <c r="AT51" s="22">
        <f>((AT6*Constants!$H64*Constants!$H82*(1-Constants!$H100))+(AT6*Constants!$H64*Constants!$H116))</f>
        <v>59693904.56610547</v>
      </c>
      <c r="AU51" s="22">
        <f>((AU6*Constants!$H64*Constants!$H82*(1-Constants!$H100))+(AU6*Constants!$H64*Constants!$H116))</f>
        <v>59714388.610714912</v>
      </c>
      <c r="AV51" s="22">
        <f>((AV6*Constants!$H64*Constants!$H82*(1-Constants!$H100))+(AV6*Constants!$H64*Constants!$H116))</f>
        <v>59723017.499432392</v>
      </c>
      <c r="AW51" s="22">
        <f>((AW6*Constants!$H64*Constants!$H82*(1-Constants!$H100))+(AW6*Constants!$H64*Constants!$H116))</f>
        <v>60170818.704126596</v>
      </c>
      <c r="AX51" s="22">
        <f>((AX6*Constants!$H64*Constants!$H82*(1-Constants!$H100))+(AX6*Constants!$H64*Constants!$H116))</f>
        <v>60736569.816800296</v>
      </c>
      <c r="AY51" s="22">
        <f>((AY6*Constants!$H64*Constants!$H82*(1-Constants!$H100))+(AY6*Constants!$H64*Constants!$H116))</f>
        <v>61361952.574288495</v>
      </c>
      <c r="AZ51" s="22">
        <f>((AZ6*Constants!$H64*Constants!$H82*(1-Constants!$H100))+(AZ6*Constants!$H64*Constants!$H116))</f>
        <v>62114326.443167299</v>
      </c>
      <c r="BA51" s="22">
        <f>((BA6*Constants!$H64*Constants!$H82*(1-Constants!$H100))+(BA6*Constants!$H64*Constants!$H116))</f>
        <v>62686788.35159862</v>
      </c>
      <c r="BB51" s="22">
        <f>((BB6*Constants!$H64*Constants!$H82*(1-Constants!$H100))+(BB6*Constants!$H64*Constants!$H116))</f>
        <v>63209222.062806182</v>
      </c>
      <c r="BC51" s="22">
        <f>((BC6*Constants!$H64*Constants!$H82*(1-Constants!$H100))+(BC6*Constants!$H64*Constants!$H116))</f>
        <v>63798057.055355728</v>
      </c>
      <c r="BD51" s="22">
        <f>((BD6*Constants!$H64*Constants!$H82*(1-Constants!$H100))+(BD6*Constants!$H64*Constants!$H116))</f>
        <v>64366031.869862258</v>
      </c>
      <c r="BE51" s="22">
        <f>((BE6*Constants!$H64*Constants!$H82*(1-Constants!$H100))+(BE6*Constants!$H64*Constants!$H116))</f>
        <v>64972476.006593183</v>
      </c>
      <c r="BF51" s="22">
        <f>((BF6*Constants!$H64*Constants!$H82*(1-Constants!$H100))+(BF6*Constants!$H64*Constants!$H116))</f>
        <v>65586790.554198138</v>
      </c>
      <c r="BG51" s="22">
        <f>((BG6*Constants!$H64*Constants!$H82*(1-Constants!$H100))+(BG6*Constants!$H64*Constants!$H116))</f>
        <v>66274484.527410626</v>
      </c>
      <c r="BH51" s="22">
        <f>((BH6*Constants!$H64*Constants!$H82*(1-Constants!$H100))+(BH6*Constants!$H64*Constants!$H116))</f>
        <v>66932377.830892146</v>
      </c>
      <c r="BI51" s="22">
        <f>((BI6*Constants!$H64*Constants!$H82*(1-Constants!$H100))+(BI6*Constants!$H64*Constants!$H116))</f>
        <v>67605942.065308318</v>
      </c>
      <c r="BJ51" s="22">
        <f>((BJ6*Constants!$H64*Constants!$H82*(1-Constants!$H100))+(BJ6*Constants!$H64*Constants!$H116))</f>
        <v>68306967.074035928</v>
      </c>
      <c r="BK51" s="22">
        <f>((BK6*Constants!$H64*Constants!$H82*(1-Constants!$H100))+(BK6*Constants!$H64*Constants!$H116))</f>
        <v>69039946.11642012</v>
      </c>
      <c r="BL51" s="22">
        <f>((BL6*Constants!$H64*Constants!$H82*(1-Constants!$H100))+(BL6*Constants!$H64*Constants!$H116))</f>
        <v>69866056.066891655</v>
      </c>
      <c r="BM51" s="22">
        <f>((BM6*Constants!$H64*Constants!$H82*(1-Constants!$H100))+(BM6*Constants!$H64*Constants!$H116))</f>
        <v>70391940.21586962</v>
      </c>
      <c r="BN51" s="22">
        <f>((BN6*Constants!$H64*Constants!$H82*(1-Constants!$H100))+(BN6*Constants!$H64*Constants!$H116))</f>
        <v>70900908.497764125</v>
      </c>
      <c r="BO51" s="22">
        <f>((BO6*Constants!$H64*Constants!$H82*(1-Constants!$H100))+(BO6*Constants!$H64*Constants!$H116))</f>
        <v>71425507.70335272</v>
      </c>
      <c r="BP51" s="22">
        <f>((BP6*Constants!$H64*Constants!$H82*(1-Constants!$H100))+(BP6*Constants!$H64*Constants!$H116))</f>
        <v>71951931.867974967</v>
      </c>
    </row>
    <row r="52" spans="1:72" x14ac:dyDescent="0.2">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3190803.5921112793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3242893.2308803126</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3183255.3418256845</v>
      </c>
      <c r="AM52" s="22">
        <f>((AM7*Constants!$H65*Constants!$H83*(1-Constants!$H101))+(AM7*Constants!$H65*Constants!$H117))</f>
        <v>3194079.1675823154</v>
      </c>
      <c r="AN52" s="22">
        <f>((AN7*Constants!$H65*Constants!$H83*(1-Constants!$H101))+(AN7*Constants!$H65*Constants!$H117))</f>
        <v>3196528.0747728432</v>
      </c>
      <c r="AO52" s="22">
        <f>((AO7*Constants!$H65*Constants!$H83*(1-Constants!$H101))+(AO7*Constants!$H65*Constants!$H117))</f>
        <v>3197046.387667913</v>
      </c>
      <c r="AP52" s="22">
        <f>((AP7*Constants!$H65*Constants!$H83*(1-Constants!$H101))+(AP7*Constants!$H65*Constants!$H117))</f>
        <v>3201575.5932130446</v>
      </c>
      <c r="AQ52" s="22">
        <f>((AQ7*Constants!$H65*Constants!$H83*(1-Constants!$H101))+(AQ7*Constants!$H65*Constants!$H117))</f>
        <v>3204306.6451951908</v>
      </c>
      <c r="AR52" s="22">
        <f>((AR7*Constants!$H65*Constants!$H83*(1-Constants!$H101))+(AR7*Constants!$H65*Constants!$H117))</f>
        <v>3201881.8250892907</v>
      </c>
      <c r="AS52" s="22">
        <f>((AS7*Constants!$H65*Constants!$H83*(1-Constants!$H101))+(AS7*Constants!$H65*Constants!$H117))</f>
        <v>3198380.3373995479</v>
      </c>
      <c r="AT52" s="22">
        <f>((AT7*Constants!$H65*Constants!$H83*(1-Constants!$H101))+(AT7*Constants!$H65*Constants!$H117))</f>
        <v>3193287.3170442935</v>
      </c>
      <c r="AU52" s="22">
        <f>((AU7*Constants!$H65*Constants!$H83*(1-Constants!$H101))+(AU7*Constants!$H65*Constants!$H117))</f>
        <v>3194383.0979339606</v>
      </c>
      <c r="AV52" s="22">
        <f>((AV7*Constants!$H65*Constants!$H83*(1-Constants!$H101))+(AV7*Constants!$H65*Constants!$H117))</f>
        <v>3194844.6948273452</v>
      </c>
      <c r="AW52" s="22">
        <f>((AW7*Constants!$H65*Constants!$H83*(1-Constants!$H101))+(AW7*Constants!$H65*Constants!$H117))</f>
        <v>3218799.5344026927</v>
      </c>
      <c r="AX52" s="22">
        <f>((AX7*Constants!$H65*Constants!$H83*(1-Constants!$H101))+(AX7*Constants!$H65*Constants!$H117))</f>
        <v>3249064.0290078996</v>
      </c>
      <c r="AY52" s="22">
        <f>((AY7*Constants!$H65*Constants!$H83*(1-Constants!$H101))+(AY7*Constants!$H65*Constants!$H117))</f>
        <v>3282518.4803844839</v>
      </c>
      <c r="AZ52" s="22">
        <f>((AZ7*Constants!$H65*Constants!$H83*(1-Constants!$H101))+(AZ7*Constants!$H65*Constants!$H117))</f>
        <v>3322766.2401956324</v>
      </c>
      <c r="BA52" s="22">
        <f>((BA7*Constants!$H65*Constants!$H83*(1-Constants!$H101))+(BA7*Constants!$H65*Constants!$H117))</f>
        <v>3353389.7245358182</v>
      </c>
      <c r="BB52" s="22">
        <f>((BB7*Constants!$H65*Constants!$H83*(1-Constants!$H101))+(BB7*Constants!$H65*Constants!$H117))</f>
        <v>3381336.9824027922</v>
      </c>
      <c r="BC52" s="22">
        <f>((BC7*Constants!$H65*Constants!$H83*(1-Constants!$H101))+(BC7*Constants!$H65*Constants!$H117))</f>
        <v>3412836.3344255453</v>
      </c>
      <c r="BD52" s="22">
        <f>((BD7*Constants!$H65*Constants!$H83*(1-Constants!$H101))+(BD7*Constants!$H65*Constants!$H117))</f>
        <v>3443219.7845407203</v>
      </c>
      <c r="BE52" s="22">
        <f>((BE7*Constants!$H65*Constants!$H83*(1-Constants!$H101))+(BE7*Constants!$H65*Constants!$H117))</f>
        <v>3475661.1264900332</v>
      </c>
      <c r="BF52" s="22">
        <f>((BF7*Constants!$H65*Constants!$H83*(1-Constants!$H101))+(BF7*Constants!$H65*Constants!$H117))</f>
        <v>3508523.4910446983</v>
      </c>
      <c r="BG52" s="22">
        <f>((BG7*Constants!$H65*Constants!$H83*(1-Constants!$H101))+(BG7*Constants!$H65*Constants!$H117))</f>
        <v>3545311.2411278808</v>
      </c>
      <c r="BH52" s="22">
        <f>((BH7*Constants!$H65*Constants!$H83*(1-Constants!$H101))+(BH7*Constants!$H65*Constants!$H117))</f>
        <v>3580504.8234081184</v>
      </c>
      <c r="BI52" s="22">
        <f>((BI7*Constants!$H65*Constants!$H83*(1-Constants!$H101))+(BI7*Constants!$H65*Constants!$H117))</f>
        <v>3616536.7121346118</v>
      </c>
      <c r="BJ52" s="22">
        <f>((BJ7*Constants!$H65*Constants!$H83*(1-Constants!$H101))+(BJ7*Constants!$H65*Constants!$H117))</f>
        <v>3654037.5974523369</v>
      </c>
      <c r="BK52" s="22">
        <f>((BK7*Constants!$H65*Constants!$H83*(1-Constants!$H101))+(BK7*Constants!$H65*Constants!$H117))</f>
        <v>3693247.8434015312</v>
      </c>
      <c r="BL52" s="22">
        <f>((BL7*Constants!$H65*Constants!$H83*(1-Constants!$H101))+(BL7*Constants!$H65*Constants!$H117))</f>
        <v>3737440.0678254422</v>
      </c>
      <c r="BM52" s="22">
        <f>((BM7*Constants!$H65*Constants!$H83*(1-Constants!$H101))+(BM7*Constants!$H65*Constants!$H117))</f>
        <v>3765571.9046582342</v>
      </c>
      <c r="BN52" s="22">
        <f>((BN7*Constants!$H65*Constants!$H83*(1-Constants!$H101))+(BN7*Constants!$H65*Constants!$H117))</f>
        <v>3792798.8379802406</v>
      </c>
      <c r="BO52" s="22">
        <f>((BO7*Constants!$H65*Constants!$H83*(1-Constants!$H101))+(BO7*Constants!$H65*Constants!$H117))</f>
        <v>3820861.9375867075</v>
      </c>
      <c r="BP52" s="22">
        <f>((BP7*Constants!$H65*Constants!$H83*(1-Constants!$H101))+(BP7*Constants!$H65*Constants!$H117))</f>
        <v>3849022.6622116528</v>
      </c>
    </row>
    <row r="53" spans="1:72" x14ac:dyDescent="0.2">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25233773.06215195</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24326412.373308256</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20174983.688096881</v>
      </c>
      <c r="AM53" s="22">
        <f>((AM8*Constants!$H66*Constants!$H84*(1-Constants!$H102))+(AM8*Constants!$H66*Constants!$H118))</f>
        <v>20396403.648925111</v>
      </c>
      <c r="AN53" s="22">
        <f>((AN8*Constants!$H66*Constants!$H84*(1-Constants!$H102))+(AN8*Constants!$H66*Constants!$H118))</f>
        <v>20434945.014671732</v>
      </c>
      <c r="AO53" s="22">
        <f>((AO8*Constants!$H66*Constants!$H84*(1-Constants!$H102))+(AO8*Constants!$H66*Constants!$H118))</f>
        <v>20423826.059840836</v>
      </c>
      <c r="AP53" s="22">
        <f>((AP8*Constants!$H66*Constants!$H84*(1-Constants!$H102))+(AP8*Constants!$H66*Constants!$H118))</f>
        <v>20478867.357317325</v>
      </c>
      <c r="AQ53" s="22">
        <f>((AQ8*Constants!$H66*Constants!$H84*(1-Constants!$H102))+(AQ8*Constants!$H66*Constants!$H118))</f>
        <v>20488658.354562454</v>
      </c>
      <c r="AR53" s="22">
        <f>((AR8*Constants!$H66*Constants!$H84*(1-Constants!$H102))+(AR8*Constants!$H66*Constants!$H118))</f>
        <v>20432375.462391153</v>
      </c>
      <c r="AS53" s="22">
        <f>((AS8*Constants!$H66*Constants!$H84*(1-Constants!$H102))+(AS8*Constants!$H66*Constants!$H118))</f>
        <v>20349021.503036078</v>
      </c>
      <c r="AT53" s="22">
        <f>((AT8*Constants!$H66*Constants!$H84*(1-Constants!$H102))+(AT8*Constants!$H66*Constants!$H118))</f>
        <v>20230863.773376141</v>
      </c>
      <c r="AU53" s="22">
        <f>((AU8*Constants!$H66*Constants!$H84*(1-Constants!$H102))+(AU8*Constants!$H66*Constants!$H118))</f>
        <v>20217301.184032887</v>
      </c>
      <c r="AV53" s="22">
        <f>((AV8*Constants!$H66*Constants!$H84*(1-Constants!$H102))+(AV8*Constants!$H66*Constants!$H118))</f>
        <v>20185155.315926902</v>
      </c>
      <c r="AW53" s="22">
        <f>((AW8*Constants!$H66*Constants!$H84*(1-Constants!$H102))+(AW8*Constants!$H66*Constants!$H118))</f>
        <v>20159563.894806884</v>
      </c>
      <c r="AX53" s="22">
        <f>((AX8*Constants!$H66*Constants!$H84*(1-Constants!$H102))+(AX8*Constants!$H66*Constants!$H118))</f>
        <v>20221552.381789163</v>
      </c>
      <c r="AY53" s="22">
        <f>((AY8*Constants!$H66*Constants!$H84*(1-Constants!$H102))+(AY8*Constants!$H66*Constants!$H118))</f>
        <v>20313776.654301781</v>
      </c>
      <c r="AZ53" s="22">
        <f>((AZ8*Constants!$H66*Constants!$H84*(1-Constants!$H102))+(AZ8*Constants!$H66*Constants!$H118))</f>
        <v>20490518.464477003</v>
      </c>
      <c r="BA53" s="22">
        <f>((BA8*Constants!$H66*Constants!$H84*(1-Constants!$H102))+(BA8*Constants!$H66*Constants!$H118))</f>
        <v>20490379.976955518</v>
      </c>
      <c r="BB53" s="22">
        <f>((BB8*Constants!$H66*Constants!$H84*(1-Constants!$H102))+(BB8*Constants!$H66*Constants!$H118))</f>
        <v>20453187.534967829</v>
      </c>
      <c r="BC53" s="22">
        <f>((BC8*Constants!$H66*Constants!$H84*(1-Constants!$H102))+(BC8*Constants!$H66*Constants!$H118))</f>
        <v>20450173.393030848</v>
      </c>
      <c r="BD53" s="22">
        <f>((BD8*Constants!$H66*Constants!$H84*(1-Constants!$H102))+(BD8*Constants!$H66*Constants!$H118))</f>
        <v>20410795.605880294</v>
      </c>
      <c r="BE53" s="22">
        <f>((BE8*Constants!$H66*Constants!$H84*(1-Constants!$H102))+(BE8*Constants!$H66*Constants!$H118))</f>
        <v>20381393.264669139</v>
      </c>
      <c r="BF53" s="22">
        <f>((BF8*Constants!$H66*Constants!$H84*(1-Constants!$H102))+(BF8*Constants!$H66*Constants!$H118))</f>
        <v>20337889.153666042</v>
      </c>
      <c r="BG53" s="22">
        <f>((BG8*Constants!$H66*Constants!$H84*(1-Constants!$H102))+(BG8*Constants!$H66*Constants!$H118))</f>
        <v>20449910.042976283</v>
      </c>
      <c r="BH53" s="22">
        <f>((BH8*Constants!$H66*Constants!$H84*(1-Constants!$H102))+(BH8*Constants!$H66*Constants!$H118))</f>
        <v>20522391.736852437</v>
      </c>
      <c r="BI53" s="22">
        <f>((BI8*Constants!$H66*Constants!$H84*(1-Constants!$H102))+(BI8*Constants!$H66*Constants!$H118))</f>
        <v>20588388.748418711</v>
      </c>
      <c r="BJ53" s="22">
        <f>((BJ8*Constants!$H66*Constants!$H84*(1-Constants!$H102))+(BJ8*Constants!$H66*Constants!$H118))</f>
        <v>20655579.75486042</v>
      </c>
      <c r="BK53" s="22">
        <f>((BK8*Constants!$H66*Constants!$H84*(1-Constants!$H102))+(BK8*Constants!$H66*Constants!$H118))</f>
        <v>20726154.254923902</v>
      </c>
      <c r="BL53" s="22">
        <f>((BL8*Constants!$H66*Constants!$H84*(1-Constants!$H102))+(BL8*Constants!$H66*Constants!$H118))</f>
        <v>20855847.119990483</v>
      </c>
      <c r="BM53" s="22">
        <f>((BM8*Constants!$H66*Constants!$H84*(1-Constants!$H102))+(BM8*Constants!$H66*Constants!$H118))</f>
        <v>20774723.849256966</v>
      </c>
      <c r="BN53" s="22">
        <f>((BN8*Constants!$H66*Constants!$H84*(1-Constants!$H102))+(BN8*Constants!$H66*Constants!$H118))</f>
        <v>20670722.072388075</v>
      </c>
      <c r="BO53" s="22">
        <f>((BO8*Constants!$H66*Constants!$H84*(1-Constants!$H102))+(BO8*Constants!$H66*Constants!$H118))</f>
        <v>20564485.644679319</v>
      </c>
      <c r="BP53" s="22">
        <f>((BP8*Constants!$H66*Constants!$H84*(1-Constants!$H102))+(BP8*Constants!$H66*Constants!$H118))</f>
        <v>20447484.380071577</v>
      </c>
    </row>
    <row r="54" spans="1:72" x14ac:dyDescent="0.2">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167823532.13784513</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161788902.46317405</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134178785.51179624</v>
      </c>
      <c r="AM54" s="22">
        <f>((AM9*Constants!$H67*Constants!$H85*(1-Constants!$H103))+(AM9*Constants!$H67*Constants!$H119))</f>
        <v>135651394.45618564</v>
      </c>
      <c r="AN54" s="22">
        <f>((AN9*Constants!$H67*Constants!$H85*(1-Constants!$H103))+(AN9*Constants!$H67*Constants!$H119))</f>
        <v>135907723.46877855</v>
      </c>
      <c r="AO54" s="22">
        <f>((AO9*Constants!$H67*Constants!$H85*(1-Constants!$H103))+(AO9*Constants!$H67*Constants!$H119))</f>
        <v>135833774.07291105</v>
      </c>
      <c r="AP54" s="22">
        <f>((AP9*Constants!$H67*Constants!$H85*(1-Constants!$H103))+(AP9*Constants!$H67*Constants!$H119))</f>
        <v>136199840.01688239</v>
      </c>
      <c r="AQ54" s="22">
        <f>((AQ9*Constants!$H67*Constants!$H85*(1-Constants!$H103))+(AQ9*Constants!$H67*Constants!$H119))</f>
        <v>136264957.49799719</v>
      </c>
      <c r="AR54" s="22">
        <f>((AR9*Constants!$H67*Constants!$H85*(1-Constants!$H103))+(AR9*Constants!$H67*Constants!$H119))</f>
        <v>135890634.01732478</v>
      </c>
      <c r="AS54" s="22">
        <f>((AS9*Constants!$H67*Constants!$H85*(1-Constants!$H103))+(AS9*Constants!$H67*Constants!$H119))</f>
        <v>135336267.61947429</v>
      </c>
      <c r="AT54" s="22">
        <f>((AT9*Constants!$H67*Constants!$H85*(1-Constants!$H103))+(AT9*Constants!$H67*Constants!$H119))</f>
        <v>134550430.02427679</v>
      </c>
      <c r="AU54" s="22">
        <f>((AU9*Constants!$H67*Constants!$H85*(1-Constants!$H103))+(AU9*Constants!$H67*Constants!$H119))</f>
        <v>134460228.6246323</v>
      </c>
      <c r="AV54" s="22">
        <f>((AV9*Constants!$H67*Constants!$H85*(1-Constants!$H103))+(AV9*Constants!$H67*Constants!$H119))</f>
        <v>134246434.47201398</v>
      </c>
      <c r="AW54" s="22">
        <f>((AW9*Constants!$H67*Constants!$H85*(1-Constants!$H103))+(AW9*Constants!$H67*Constants!$H119))</f>
        <v>134076232.3118293</v>
      </c>
      <c r="AX54" s="22">
        <f>((AX9*Constants!$H67*Constants!$H85*(1-Constants!$H103))+(AX9*Constants!$H67*Constants!$H119))</f>
        <v>134488502.28079599</v>
      </c>
      <c r="AY54" s="22">
        <f>((AY9*Constants!$H67*Constants!$H85*(1-Constants!$H103))+(AY9*Constants!$H67*Constants!$H119))</f>
        <v>135101862.91948408</v>
      </c>
      <c r="AZ54" s="22">
        <f>((AZ9*Constants!$H67*Constants!$H85*(1-Constants!$H103))+(AZ9*Constants!$H67*Constants!$H119))</f>
        <v>136277328.62518671</v>
      </c>
      <c r="BA54" s="22">
        <f>((BA9*Constants!$H67*Constants!$H85*(1-Constants!$H103))+(BA9*Constants!$H67*Constants!$H119))</f>
        <v>136276407.57921568</v>
      </c>
      <c r="BB54" s="22">
        <f>((BB9*Constants!$H67*Constants!$H85*(1-Constants!$H103))+(BB9*Constants!$H67*Constants!$H119))</f>
        <v>136029049.92216492</v>
      </c>
      <c r="BC54" s="22">
        <f>((BC9*Constants!$H67*Constants!$H85*(1-Constants!$H103))+(BC9*Constants!$H67*Constants!$H119))</f>
        <v>136009003.61577293</v>
      </c>
      <c r="BD54" s="22">
        <f>((BD9*Constants!$H67*Constants!$H85*(1-Constants!$H103))+(BD9*Constants!$H67*Constants!$H119))</f>
        <v>135747111.77299932</v>
      </c>
      <c r="BE54" s="22">
        <f>((BE9*Constants!$H67*Constants!$H85*(1-Constants!$H103))+(BE9*Constants!$H67*Constants!$H119))</f>
        <v>135551564.13361043</v>
      </c>
      <c r="BF54" s="22">
        <f>((BF9*Constants!$H67*Constants!$H85*(1-Constants!$H103))+(BF9*Constants!$H67*Constants!$H119))</f>
        <v>135262229.13986713</v>
      </c>
      <c r="BG54" s="22">
        <f>((BG9*Constants!$H67*Constants!$H85*(1-Constants!$H103))+(BG9*Constants!$H67*Constants!$H119))</f>
        <v>136007252.14023113</v>
      </c>
      <c r="BH54" s="22">
        <f>((BH9*Constants!$H67*Constants!$H85*(1-Constants!$H103))+(BH9*Constants!$H67*Constants!$H119))</f>
        <v>136489309.81157777</v>
      </c>
      <c r="BI54" s="22">
        <f>((BI9*Constants!$H67*Constants!$H85*(1-Constants!$H103))+(BI9*Constants!$H67*Constants!$H119))</f>
        <v>136928239.47795442</v>
      </c>
      <c r="BJ54" s="22">
        <f>((BJ9*Constants!$H67*Constants!$H85*(1-Constants!$H103))+(BJ9*Constants!$H67*Constants!$H119))</f>
        <v>137375110.10650328</v>
      </c>
      <c r="BK54" s="22">
        <f>((BK9*Constants!$H67*Constants!$H85*(1-Constants!$H103))+(BK9*Constants!$H67*Constants!$H119))</f>
        <v>137844483.50739515</v>
      </c>
      <c r="BL54" s="22">
        <f>((BL9*Constants!$H67*Constants!$H85*(1-Constants!$H103))+(BL9*Constants!$H67*Constants!$H119))</f>
        <v>138707038.4116872</v>
      </c>
      <c r="BM54" s="22">
        <f>((BM9*Constants!$H67*Constants!$H85*(1-Constants!$H103))+(BM9*Constants!$H67*Constants!$H119))</f>
        <v>138167507.76759601</v>
      </c>
      <c r="BN54" s="22">
        <f>((BN9*Constants!$H67*Constants!$H85*(1-Constants!$H103))+(BN9*Constants!$H67*Constants!$H119))</f>
        <v>137475817.88436848</v>
      </c>
      <c r="BO54" s="22">
        <f>((BO9*Constants!$H67*Constants!$H85*(1-Constants!$H103))+(BO9*Constants!$H67*Constants!$H119))</f>
        <v>136769265.89565572</v>
      </c>
      <c r="BP54" s="22">
        <f>((BP9*Constants!$H67*Constants!$H85*(1-Constants!$H103))+(BP9*Constants!$H67*Constants!$H119))</f>
        <v>135991119.6611349</v>
      </c>
    </row>
    <row r="55" spans="1:72" x14ac:dyDescent="0.2">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22601454.870712783</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24632268.790066551</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23960869.441787548</v>
      </c>
      <c r="AM55" s="22">
        <f>((AM10*Constants!$H68*Constants!$H86*(1-Constants!$H104))+(AM10*Constants!$H68*Constants!$H120))</f>
        <v>25075959.707353562</v>
      </c>
      <c r="AN55" s="22">
        <f>((AN10*Constants!$H68*Constants!$H86*(1-Constants!$H104))+(AN10*Constants!$H68*Constants!$H120))</f>
        <v>26000589.716541838</v>
      </c>
      <c r="AO55" s="22">
        <f>((AO10*Constants!$H68*Constants!$H86*(1-Constants!$H104))+(AO10*Constants!$H68*Constants!$H120))</f>
        <v>26887871.968558341</v>
      </c>
      <c r="AP55" s="22">
        <f>((AP10*Constants!$H68*Constants!$H86*(1-Constants!$H104))+(AP10*Constants!$H68*Constants!$H120))</f>
        <v>27890104.510845665</v>
      </c>
      <c r="AQ55" s="22">
        <f>((AQ10*Constants!$H68*Constants!$H86*(1-Constants!$H104))+(AQ10*Constants!$H68*Constants!$H120))</f>
        <v>28860792.951386657</v>
      </c>
      <c r="AR55" s="22">
        <f>((AR10*Constants!$H68*Constants!$H86*(1-Constants!$H104))+(AR10*Constants!$H68*Constants!$H120))</f>
        <v>29764544.324063804</v>
      </c>
      <c r="AS55" s="22">
        <f>((AS10*Constants!$H68*Constants!$H86*(1-Constants!$H104))+(AS10*Constants!$H68*Constants!$H120))</f>
        <v>30651612.45840618</v>
      </c>
      <c r="AT55" s="22">
        <f>((AT10*Constants!$H68*Constants!$H86*(1-Constants!$H104))+(AT10*Constants!$H68*Constants!$H120))</f>
        <v>31506879.989847146</v>
      </c>
      <c r="AU55" s="22">
        <f>((AU10*Constants!$H68*Constants!$H86*(1-Constants!$H104))+(AU10*Constants!$H68*Constants!$H120))</f>
        <v>32550260.892419878</v>
      </c>
      <c r="AV55" s="22">
        <f>((AV10*Constants!$H68*Constants!$H86*(1-Constants!$H104))+(AV10*Constants!$H68*Constants!$H120))</f>
        <v>33594617.986628368</v>
      </c>
      <c r="AW55" s="22">
        <f>((AW10*Constants!$H68*Constants!$H86*(1-Constants!$H104))+(AW10*Constants!$H68*Constants!$H120))</f>
        <v>34684815.418169133</v>
      </c>
      <c r="AX55" s="22">
        <f>((AX10*Constants!$H68*Constants!$H86*(1-Constants!$H104))+(AX10*Constants!$H68*Constants!$H120))</f>
        <v>35968452.393395834</v>
      </c>
      <c r="AY55" s="22">
        <f>((AY10*Constants!$H68*Constants!$H86*(1-Constants!$H104))+(AY10*Constants!$H68*Constants!$H120))</f>
        <v>37358053.949631326</v>
      </c>
      <c r="AZ55" s="22">
        <f>((AZ10*Constants!$H68*Constants!$H86*(1-Constants!$H104))+(AZ10*Constants!$H68*Constants!$H120))</f>
        <v>38965384.786871344</v>
      </c>
      <c r="BA55" s="22">
        <f>((BA10*Constants!$H68*Constants!$H86*(1-Constants!$H104))+(BA10*Constants!$H68*Constants!$H120))</f>
        <v>40296134.347640246</v>
      </c>
      <c r="BB55" s="22">
        <f>((BB10*Constants!$H68*Constants!$H86*(1-Constants!$H104))+(BB10*Constants!$H68*Constants!$H120))</f>
        <v>41603069.567389347</v>
      </c>
      <c r="BC55" s="22">
        <f>((BC10*Constants!$H68*Constants!$H86*(1-Constants!$H104))+(BC10*Constants!$H68*Constants!$H120))</f>
        <v>43031332.808220126</v>
      </c>
      <c r="BD55" s="22">
        <f>((BD10*Constants!$H68*Constants!$H86*(1-Constants!$H104))+(BD10*Constants!$H68*Constants!$H120))</f>
        <v>44437789.483578824</v>
      </c>
      <c r="BE55" s="22">
        <f>((BE10*Constants!$H68*Constants!$H86*(1-Constants!$H104))+(BE10*Constants!$H68*Constants!$H120))</f>
        <v>45922058.86792668</v>
      </c>
      <c r="BF55" s="22">
        <f>((BF10*Constants!$H68*Constants!$H86*(1-Constants!$H104))+(BF10*Constants!$H68*Constants!$H120))</f>
        <v>47433779.106458269</v>
      </c>
      <c r="BG55" s="22">
        <f>((BG10*Constants!$H68*Constants!$H86*(1-Constants!$H104))+(BG10*Constants!$H68*Constants!$H120))</f>
        <v>49071091.396749876</v>
      </c>
      <c r="BH55" s="22">
        <f>((BH10*Constants!$H68*Constants!$H86*(1-Constants!$H104))+(BH10*Constants!$H68*Constants!$H120))</f>
        <v>50670783.072738178</v>
      </c>
      <c r="BI55" s="22">
        <f>((BI10*Constants!$H68*Constants!$H86*(1-Constants!$H104))+(BI10*Constants!$H68*Constants!$H120))</f>
        <v>52311307.133768484</v>
      </c>
      <c r="BJ55" s="22">
        <f>((BJ10*Constants!$H68*Constants!$H86*(1-Constants!$H104))+(BJ10*Constants!$H68*Constants!$H120))</f>
        <v>54014182.631556801</v>
      </c>
      <c r="BK55" s="22">
        <f>((BK10*Constants!$H68*Constants!$H86*(1-Constants!$H104))+(BK10*Constants!$H68*Constants!$H120))</f>
        <v>55788594.813240565</v>
      </c>
      <c r="BL55" s="22">
        <f>((BL10*Constants!$H68*Constants!$H86*(1-Constants!$H104))+(BL10*Constants!$H68*Constants!$H120))</f>
        <v>57793017.057397604</v>
      </c>
      <c r="BM55" s="22">
        <f>((BM10*Constants!$H68*Constants!$H86*(1-Constants!$H104))+(BM10*Constants!$H68*Constants!$H120))</f>
        <v>59275298.827881806</v>
      </c>
      <c r="BN55" s="22">
        <f>((BN10*Constants!$H68*Constants!$H86*(1-Constants!$H104))+(BN10*Constants!$H68*Constants!$H120))</f>
        <v>60738055.766896434</v>
      </c>
      <c r="BO55" s="22">
        <f>((BO10*Constants!$H68*Constants!$H86*(1-Constants!$H104))+(BO10*Constants!$H68*Constants!$H120))</f>
        <v>62240260.244111434</v>
      </c>
      <c r="BP55" s="22">
        <f>((BP10*Constants!$H68*Constants!$H86*(1-Constants!$H104))+(BP10*Constants!$H68*Constants!$H120))</f>
        <v>63757198.28917671</v>
      </c>
    </row>
    <row r="56" spans="1:72" x14ac:dyDescent="0.2">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3788658.4360195673</v>
      </c>
      <c r="AM56" s="22">
        <f>((AM11*Constants!$H69*Constants!$H87*(1-Constants!$H105))+(AM11*Constants!$H69*Constants!$H121))</f>
        <v>3794428.2552816616</v>
      </c>
      <c r="AN56" s="22">
        <f>((AN11*Constants!$H69*Constants!$H87*(1-Constants!$H105))+(AN11*Constants!$H69*Constants!$H121))</f>
        <v>3800949.5318680773</v>
      </c>
      <c r="AO56" s="22">
        <f>((AO11*Constants!$H69*Constants!$H87*(1-Constants!$H105))+(AO11*Constants!$H69*Constants!$H121))</f>
        <v>3808306.1084088241</v>
      </c>
      <c r="AP56" s="22">
        <f>((AP11*Constants!$H69*Constants!$H87*(1-Constants!$H105))+(AP11*Constants!$H69*Constants!$H121))</f>
        <v>3816581.7162559312</v>
      </c>
      <c r="AQ56" s="22">
        <f>((AQ11*Constants!$H69*Constants!$H87*(1-Constants!$H105))+(AQ11*Constants!$H69*Constants!$H121))</f>
        <v>3825603.7914531236</v>
      </c>
      <c r="AR56" s="22">
        <f>((AR11*Constants!$H69*Constants!$H87*(1-Constants!$H105))+(AR11*Constants!$H69*Constants!$H121))</f>
        <v>3831090.9436113676</v>
      </c>
      <c r="AS56" s="22">
        <f>((AS11*Constants!$H69*Constants!$H87*(1-Constants!$H105))+(AS11*Constants!$H69*Constants!$H121))</f>
        <v>3837219.777011706</v>
      </c>
      <c r="AT56" s="22">
        <f>((AT11*Constants!$H69*Constants!$H87*(1-Constants!$H105))+(AT11*Constants!$H69*Constants!$H121))</f>
        <v>3843945.3329419941</v>
      </c>
      <c r="AU56" s="22">
        <f>((AU11*Constants!$H69*Constants!$H87*(1-Constants!$H105))+(AU11*Constants!$H69*Constants!$H121))</f>
        <v>3851419.8827275084</v>
      </c>
      <c r="AV56" s="22">
        <f>((AV11*Constants!$H69*Constants!$H87*(1-Constants!$H105))+(AV11*Constants!$H69*Constants!$H121))</f>
        <v>3859459.7763734967</v>
      </c>
      <c r="AW56" s="22">
        <f>((AW11*Constants!$H69*Constants!$H87*(1-Constants!$H105))+(AW11*Constants!$H69*Constants!$H121))</f>
        <v>3864713.2912446312</v>
      </c>
      <c r="AX56" s="22">
        <f>((AX11*Constants!$H69*Constants!$H87*(1-Constants!$H105))+(AX11*Constants!$H69*Constants!$H121))</f>
        <v>3870610.3851667722</v>
      </c>
      <c r="AY56" s="22">
        <f>((AY11*Constants!$H69*Constants!$H87*(1-Constants!$H105))+(AY11*Constants!$H69*Constants!$H121))</f>
        <v>3877056.8509962708</v>
      </c>
      <c r="AZ56" s="22">
        <f>((AZ11*Constants!$H69*Constants!$H87*(1-Constants!$H105))+(AZ11*Constants!$H69*Constants!$H121))</f>
        <v>3884119.6367062987</v>
      </c>
      <c r="BA56" s="22">
        <f>((BA11*Constants!$H69*Constants!$H87*(1-Constants!$H105))+(BA11*Constants!$H69*Constants!$H121))</f>
        <v>3891391.4618014079</v>
      </c>
      <c r="BB56" s="22">
        <f>((BB11*Constants!$H69*Constants!$H87*(1-Constants!$H105))+(BB11*Constants!$H69*Constants!$H121))</f>
        <v>3895848.1827835292</v>
      </c>
      <c r="BC56" s="22">
        <f>((BC11*Constants!$H69*Constants!$H87*(1-Constants!$H105))+(BC11*Constants!$H69*Constants!$H121))</f>
        <v>3900771.5184512348</v>
      </c>
      <c r="BD56" s="22">
        <f>((BD11*Constants!$H69*Constants!$H87*(1-Constants!$H105))+(BD11*Constants!$H69*Constants!$H121))</f>
        <v>3906035.9688312565</v>
      </c>
      <c r="BE56" s="22">
        <f>((BE11*Constants!$H69*Constants!$H87*(1-Constants!$H105))+(BE11*Constants!$H69*Constants!$H121))</f>
        <v>3911704.1660941327</v>
      </c>
      <c r="BF56" s="22">
        <f>((BF11*Constants!$H69*Constants!$H87*(1-Constants!$H105))+(BF11*Constants!$H69*Constants!$H121))</f>
        <v>3917724.8895751154</v>
      </c>
      <c r="BG56" s="22">
        <f>((BG11*Constants!$H69*Constants!$H87*(1-Constants!$H105))+(BG11*Constants!$H69*Constants!$H121))</f>
        <v>3921216.4181451835</v>
      </c>
      <c r="BH56" s="22">
        <f>((BH11*Constants!$H69*Constants!$H87*(1-Constants!$H105))+(BH11*Constants!$H69*Constants!$H121))</f>
        <v>3924972.0085571846</v>
      </c>
      <c r="BI56" s="22">
        <f>((BI11*Constants!$H69*Constants!$H87*(1-Constants!$H105))+(BI11*Constants!$H69*Constants!$H121))</f>
        <v>3929039.6576005248</v>
      </c>
      <c r="BJ56" s="22">
        <f>((BJ11*Constants!$H69*Constants!$H87*(1-Constants!$H105))+(BJ11*Constants!$H69*Constants!$H121))</f>
        <v>3933424.9806070654</v>
      </c>
      <c r="BK56" s="22">
        <f>((BK11*Constants!$H69*Constants!$H87*(1-Constants!$H105))+(BK11*Constants!$H69*Constants!$H121))</f>
        <v>3938124.9120061914</v>
      </c>
      <c r="BL56" s="22">
        <f>((BL11*Constants!$H69*Constants!$H87*(1-Constants!$H105))+(BL11*Constants!$H69*Constants!$H121))</f>
        <v>3940226.4870370915</v>
      </c>
      <c r="BM56" s="22">
        <f>((BM11*Constants!$H69*Constants!$H87*(1-Constants!$H105))+(BM11*Constants!$H69*Constants!$H121))</f>
        <v>3942182.5518124872</v>
      </c>
      <c r="BN56" s="22">
        <f>((BN11*Constants!$H69*Constants!$H87*(1-Constants!$H105))+(BN11*Constants!$H69*Constants!$H121))</f>
        <v>3944351.0484233876</v>
      </c>
      <c r="BO56" s="22">
        <f>((BO11*Constants!$H69*Constants!$H87*(1-Constants!$H105))+(BO11*Constants!$H69*Constants!$H121))</f>
        <v>3946766.7357623582</v>
      </c>
      <c r="BP56" s="22">
        <f>((BP11*Constants!$H69*Constants!$H87*(1-Constants!$H105))+(BP11*Constants!$H69*Constants!$H121))</f>
        <v>3949404.746021946</v>
      </c>
    </row>
    <row r="57" spans="1:72" x14ac:dyDescent="0.2">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3083452.9701152244</v>
      </c>
      <c r="AM57" s="22">
        <f>((AM12*Constants!$H70*Constants!$H88*(1-Constants!$H106))+(AM12*Constants!$H70*Constants!$H122))</f>
        <v>3088148.8186962386</v>
      </c>
      <c r="AN57" s="22">
        <f>((AN12*Constants!$H70*Constants!$H88*(1-Constants!$H106))+(AN12*Constants!$H70*Constants!$H122))</f>
        <v>3093456.251392772</v>
      </c>
      <c r="AO57" s="22">
        <f>((AO12*Constants!$H70*Constants!$H88*(1-Constants!$H106))+(AO12*Constants!$H70*Constants!$H122))</f>
        <v>3099443.5047088242</v>
      </c>
      <c r="AP57" s="22">
        <f>((AP12*Constants!$H70*Constants!$H88*(1-Constants!$H106))+(AP12*Constants!$H70*Constants!$H122))</f>
        <v>3106178.7245832444</v>
      </c>
      <c r="AQ57" s="22">
        <f>((AQ12*Constants!$H70*Constants!$H88*(1-Constants!$H106))+(AQ12*Constants!$H70*Constants!$H122))</f>
        <v>3113521.467412448</v>
      </c>
      <c r="AR57" s="22">
        <f>((AR12*Constants!$H70*Constants!$H88*(1-Constants!$H106))+(AR12*Constants!$H70*Constants!$H122))</f>
        <v>3117987.2633942016</v>
      </c>
      <c r="AS57" s="22">
        <f>((AS12*Constants!$H70*Constants!$H88*(1-Constants!$H106))+(AS12*Constants!$H70*Constants!$H122))</f>
        <v>3122975.3006825317</v>
      </c>
      <c r="AT57" s="22">
        <f>((AT12*Constants!$H70*Constants!$H88*(1-Constants!$H106))+(AT12*Constants!$H70*Constants!$H122))</f>
        <v>3128448.9889970459</v>
      </c>
      <c r="AU57" s="22">
        <f>((AU12*Constants!$H70*Constants!$H88*(1-Constants!$H106))+(AU12*Constants!$H70*Constants!$H122))</f>
        <v>3134532.256498096</v>
      </c>
      <c r="AV57" s="22">
        <f>((AV12*Constants!$H70*Constants!$H88*(1-Constants!$H106))+(AV12*Constants!$H70*Constants!$H122))</f>
        <v>3141075.6370537155</v>
      </c>
      <c r="AW57" s="22">
        <f>((AW12*Constants!$H70*Constants!$H88*(1-Constants!$H106))+(AW12*Constants!$H70*Constants!$H122))</f>
        <v>3145351.2840423528</v>
      </c>
      <c r="AX57" s="22">
        <f>((AX12*Constants!$H70*Constants!$H88*(1-Constants!$H106))+(AX12*Constants!$H70*Constants!$H122))</f>
        <v>3150150.7168960511</v>
      </c>
      <c r="AY57" s="22">
        <f>((AY12*Constants!$H70*Constants!$H88*(1-Constants!$H106))+(AY12*Constants!$H70*Constants!$H122))</f>
        <v>3155397.2638055682</v>
      </c>
      <c r="AZ57" s="22">
        <f>((AZ12*Constants!$H70*Constants!$H88*(1-Constants!$H106))+(AZ12*Constants!$H70*Constants!$H122))</f>
        <v>3161145.4113207487</v>
      </c>
      <c r="BA57" s="22">
        <f>((BA12*Constants!$H70*Constants!$H88*(1-Constants!$H106))+(BA12*Constants!$H70*Constants!$H122))</f>
        <v>3167063.6884804154</v>
      </c>
      <c r="BB57" s="22">
        <f>((BB12*Constants!$H70*Constants!$H88*(1-Constants!$H106))+(BB12*Constants!$H70*Constants!$H122))</f>
        <v>3170690.8535525287</v>
      </c>
      <c r="BC57" s="22">
        <f>((BC12*Constants!$H70*Constants!$H88*(1-Constants!$H106))+(BC12*Constants!$H70*Constants!$H122))</f>
        <v>3174697.7795512229</v>
      </c>
      <c r="BD57" s="22">
        <f>((BD12*Constants!$H70*Constants!$H88*(1-Constants!$H106))+(BD12*Constants!$H70*Constants!$H122))</f>
        <v>3178982.3265576186</v>
      </c>
      <c r="BE57" s="22">
        <f>((BE12*Constants!$H70*Constants!$H88*(1-Constants!$H106))+(BE12*Constants!$H70*Constants!$H122))</f>
        <v>3183595.4686448681</v>
      </c>
      <c r="BF57" s="22">
        <f>((BF12*Constants!$H70*Constants!$H88*(1-Constants!$H106))+(BF12*Constants!$H70*Constants!$H122))</f>
        <v>3188495.5191543521</v>
      </c>
      <c r="BG57" s="22">
        <f>((BG12*Constants!$H70*Constants!$H88*(1-Constants!$H106))+(BG12*Constants!$H70*Constants!$H122))</f>
        <v>3191337.1488027959</v>
      </c>
      <c r="BH57" s="22">
        <f>((BH12*Constants!$H70*Constants!$H88*(1-Constants!$H106))+(BH12*Constants!$H70*Constants!$H122))</f>
        <v>3194393.6888963352</v>
      </c>
      <c r="BI57" s="22">
        <f>((BI12*Constants!$H70*Constants!$H88*(1-Constants!$H106))+(BI12*Constants!$H70*Constants!$H122))</f>
        <v>3197704.2022972875</v>
      </c>
      <c r="BJ57" s="22">
        <f>((BJ12*Constants!$H70*Constants!$H88*(1-Constants!$H106))+(BJ12*Constants!$H70*Constants!$H122))</f>
        <v>3201273.259122489</v>
      </c>
      <c r="BK57" s="22">
        <f>((BK12*Constants!$H70*Constants!$H88*(1-Constants!$H106))+(BK12*Constants!$H70*Constants!$H122))</f>
        <v>3205098.3644141653</v>
      </c>
      <c r="BL57" s="22">
        <f>((BL12*Constants!$H70*Constants!$H88*(1-Constants!$H106))+(BL12*Constants!$H70*Constants!$H122))</f>
        <v>3206808.7608197476</v>
      </c>
      <c r="BM57" s="22">
        <f>((BM12*Constants!$H70*Constants!$H88*(1-Constants!$H106))+(BM12*Constants!$H70*Constants!$H122))</f>
        <v>3208400.7316567306</v>
      </c>
      <c r="BN57" s="22">
        <f>((BN12*Constants!$H70*Constants!$H88*(1-Constants!$H106))+(BN12*Constants!$H70*Constants!$H122))</f>
        <v>3210165.5931317052</v>
      </c>
      <c r="BO57" s="22">
        <f>((BO12*Constants!$H70*Constants!$H88*(1-Constants!$H106))+(BO12*Constants!$H70*Constants!$H122))</f>
        <v>3212131.6342584011</v>
      </c>
      <c r="BP57" s="22">
        <f>((BP12*Constants!$H70*Constants!$H88*(1-Constants!$H106))+(BP12*Constants!$H70*Constants!$H122))</f>
        <v>3214278.6160218623</v>
      </c>
    </row>
    <row r="58" spans="1:72" x14ac:dyDescent="0.2">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459078.62878496025</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463923.78332724673</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471900.01049903809</v>
      </c>
      <c r="AK58" s="22">
        <f>((AK13*Constants!$H71*Constants!$H89*(1-Constants!$H107))+(AK13*Constants!$H71*Constants!$H123))</f>
        <v>475004.74383453937</v>
      </c>
      <c r="AL58" s="22">
        <f>((AL13*Constants!$H71*Constants!$H89*(1-Constants!$H107))+(AL13*Constants!$H71*Constants!$H123))</f>
        <v>477857.06577811105</v>
      </c>
      <c r="AM58" s="22">
        <f>((AM13*Constants!$H71*Constants!$H89*(1-Constants!$H107))+(AM13*Constants!$H71*Constants!$H123))</f>
        <v>479245.62366398319</v>
      </c>
      <c r="AN58" s="22">
        <f>((AN13*Constants!$H71*Constants!$H89*(1-Constants!$H107))+(AN13*Constants!$H71*Constants!$H123))</f>
        <v>480738.08933009149</v>
      </c>
      <c r="AO58" s="22">
        <f>((AO13*Constants!$H71*Constants!$H89*(1-Constants!$H107))+(AO13*Constants!$H71*Constants!$H123))</f>
        <v>482352.71430921811</v>
      </c>
      <c r="AP58" s="22">
        <f>((AP13*Constants!$H71*Constants!$H89*(1-Constants!$H107))+(AP13*Constants!$H71*Constants!$H123))</f>
        <v>484107.22674089344</v>
      </c>
      <c r="AQ58" s="22">
        <f>((AQ13*Constants!$H71*Constants!$H89*(1-Constants!$H107))+(AQ13*Constants!$H71*Constants!$H123))</f>
        <v>485970.4078824016</v>
      </c>
      <c r="AR58" s="22">
        <f>((AR13*Constants!$H71*Constants!$H89*(1-Constants!$H107))+(AR13*Constants!$H71*Constants!$H123))</f>
        <v>487135.19017047895</v>
      </c>
      <c r="AS58" s="22">
        <f>((AS13*Constants!$H71*Constants!$H89*(1-Constants!$H107))+(AS13*Constants!$H71*Constants!$H123))</f>
        <v>488395.17616043123</v>
      </c>
      <c r="AT58" s="22">
        <f>((AT13*Constants!$H71*Constants!$H89*(1-Constants!$H107))+(AT13*Constants!$H71*Constants!$H123))</f>
        <v>489742.95532613539</v>
      </c>
      <c r="AU58" s="22">
        <f>((AU13*Constants!$H71*Constants!$H89*(1-Constants!$H107))+(AU13*Constants!$H71*Constants!$H123))</f>
        <v>491208.03762759408</v>
      </c>
      <c r="AV58" s="22">
        <f>((AV13*Constants!$H71*Constants!$H89*(1-Constants!$H107))+(AV13*Constants!$H71*Constants!$H123))</f>
        <v>492756.67340077541</v>
      </c>
      <c r="AW58" s="22">
        <f>((AW13*Constants!$H71*Constants!$H89*(1-Constants!$H107))+(AW13*Constants!$H71*Constants!$H123))</f>
        <v>493763.45264209883</v>
      </c>
      <c r="AX58" s="22">
        <f>((AX13*Constants!$H71*Constants!$H89*(1-Constants!$H107))+(AX13*Constants!$H71*Constants!$H123))</f>
        <v>494872.28759373992</v>
      </c>
      <c r="AY58" s="22">
        <f>((AY13*Constants!$H71*Constants!$H89*(1-Constants!$H107))+(AY13*Constants!$H71*Constants!$H123))</f>
        <v>496066.03154384665</v>
      </c>
      <c r="AZ58" s="22">
        <f>((AZ13*Constants!$H71*Constants!$H89*(1-Constants!$H107))+(AZ13*Constants!$H71*Constants!$H123))</f>
        <v>497357.53105924244</v>
      </c>
      <c r="BA58" s="22">
        <f>((BA13*Constants!$H71*Constants!$H89*(1-Constants!$H107))+(BA13*Constants!$H71*Constants!$H123))</f>
        <v>498671.57997499395</v>
      </c>
      <c r="BB58" s="22">
        <f>((BB13*Constants!$H71*Constants!$H89*(1-Constants!$H107))+(BB13*Constants!$H71*Constants!$H123))</f>
        <v>499449.4156103417</v>
      </c>
      <c r="BC58" s="22">
        <f>((BC13*Constants!$H71*Constants!$H89*(1-Constants!$H107))+(BC13*Constants!$H71*Constants!$H123))</f>
        <v>500300.69651424827</v>
      </c>
      <c r="BD58" s="22">
        <f>((BD13*Constants!$H71*Constants!$H89*(1-Constants!$H107))+(BD13*Constants!$H71*Constants!$H123))</f>
        <v>501202.51084677252</v>
      </c>
      <c r="BE58" s="22">
        <f>((BE13*Constants!$H71*Constants!$H89*(1-Constants!$H107))+(BE13*Constants!$H71*Constants!$H123))</f>
        <v>502166.68519612448</v>
      </c>
      <c r="BF58" s="22">
        <f>((BF13*Constants!$H71*Constants!$H89*(1-Constants!$H107))+(BF13*Constants!$H71*Constants!$H123))</f>
        <v>503184.01806776854</v>
      </c>
      <c r="BG58" s="22">
        <f>((BG13*Constants!$H71*Constants!$H89*(1-Constants!$H107))+(BG13*Constants!$H71*Constants!$H123))</f>
        <v>503726.48781220638</v>
      </c>
      <c r="BH58" s="22">
        <f>((BH13*Constants!$H71*Constants!$H89*(1-Constants!$H107))+(BH13*Constants!$H71*Constants!$H123))</f>
        <v>504308.18059503846</v>
      </c>
      <c r="BI58" s="22">
        <f>((BI13*Constants!$H71*Constants!$H89*(1-Constants!$H107))+(BI13*Constants!$H71*Constants!$H123))</f>
        <v>504938.06996411079</v>
      </c>
      <c r="BJ58" s="22">
        <f>((BJ13*Constants!$H71*Constants!$H89*(1-Constants!$H107))+(BJ13*Constants!$H71*Constants!$H123))</f>
        <v>505617.31607810699</v>
      </c>
      <c r="BK58" s="22">
        <f>((BK13*Constants!$H71*Constants!$H89*(1-Constants!$H107))+(BK13*Constants!$H71*Constants!$H123))</f>
        <v>506345.47050023294</v>
      </c>
      <c r="BL58" s="22">
        <f>((BL13*Constants!$H71*Constants!$H89*(1-Constants!$H107))+(BL13*Constants!$H71*Constants!$H123))</f>
        <v>506593.17145955533</v>
      </c>
      <c r="BM58" s="22">
        <f>((BM13*Constants!$H71*Constants!$H89*(1-Constants!$H107))+(BM13*Constants!$H71*Constants!$H123))</f>
        <v>506808.18704943353</v>
      </c>
      <c r="BN58" s="22">
        <f>((BN13*Constants!$H71*Constants!$H89*(1-Constants!$H107))+(BN13*Constants!$H71*Constants!$H123))</f>
        <v>507055.79524549696</v>
      </c>
      <c r="BO58" s="22">
        <f>((BO13*Constants!$H71*Constants!$H89*(1-Constants!$H107))+(BO13*Constants!$H71*Constants!$H123))</f>
        <v>507342.37976376282</v>
      </c>
      <c r="BP58" s="22">
        <f>((BP13*Constants!$H71*Constants!$H89*(1-Constants!$H107))+(BP13*Constants!$H71*Constants!$H123))</f>
        <v>507663.5030621987</v>
      </c>
    </row>
    <row r="59" spans="1:72" x14ac:dyDescent="0.2">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5539270.0027186787</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5597731.9252125602</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5693973.5560297277</v>
      </c>
      <c r="AK59" s="22">
        <f>((AK14*Constants!$H72*Constants!$H90*(1-Constants!$H108))+(AK14*Constants!$H72*Constants!$H124))</f>
        <v>5731435.4528670963</v>
      </c>
      <c r="AL59" s="22">
        <f>((AL14*Constants!$H72*Constants!$H90*(1-Constants!$H108))+(AL14*Constants!$H72*Constants!$H124))</f>
        <v>5765851.7388570141</v>
      </c>
      <c r="AM59" s="22">
        <f>((AM14*Constants!$H72*Constants!$H90*(1-Constants!$H108))+(AM14*Constants!$H72*Constants!$H124))</f>
        <v>5782606.1607838357</v>
      </c>
      <c r="AN59" s="22">
        <f>((AN14*Constants!$H72*Constants!$H90*(1-Constants!$H108))+(AN14*Constants!$H72*Constants!$H124))</f>
        <v>5800614.3401587773</v>
      </c>
      <c r="AO59" s="22">
        <f>((AO14*Constants!$H72*Constants!$H90*(1-Constants!$H108))+(AO14*Constants!$H72*Constants!$H124))</f>
        <v>5820096.5010604691</v>
      </c>
      <c r="AP59" s="22">
        <f>((AP14*Constants!$H72*Constants!$H90*(1-Constants!$H108))+(AP14*Constants!$H72*Constants!$H124))</f>
        <v>5841266.5522734784</v>
      </c>
      <c r="AQ59" s="22">
        <f>((AQ14*Constants!$H72*Constants!$H90*(1-Constants!$H108))+(AQ14*Constants!$H72*Constants!$H124))</f>
        <v>5863747.8065939052</v>
      </c>
      <c r="AR59" s="22">
        <f>((AR14*Constants!$H72*Constants!$H90*(1-Constants!$H108))+(AR14*Constants!$H72*Constants!$H124))</f>
        <v>5877802.1388661824</v>
      </c>
      <c r="AS59" s="22">
        <f>((AS14*Constants!$H72*Constants!$H90*(1-Constants!$H108))+(AS14*Constants!$H72*Constants!$H124))</f>
        <v>5893005.2046600748</v>
      </c>
      <c r="AT59" s="22">
        <f>((AT14*Constants!$H72*Constants!$H90*(1-Constants!$H108))+(AT14*Constants!$H72*Constants!$H124))</f>
        <v>5909267.5881272247</v>
      </c>
      <c r="AU59" s="22">
        <f>((AU14*Constants!$H72*Constants!$H90*(1-Constants!$H108))+(AU14*Constants!$H72*Constants!$H124))</f>
        <v>5926945.3581978194</v>
      </c>
      <c r="AV59" s="22">
        <f>((AV14*Constants!$H72*Constants!$H90*(1-Constants!$H108))+(AV14*Constants!$H72*Constants!$H124))</f>
        <v>5945631.2894210285</v>
      </c>
      <c r="AW59" s="22">
        <f>((AW14*Constants!$H72*Constants!$H90*(1-Constants!$H108))+(AW14*Constants!$H72*Constants!$H124))</f>
        <v>5957779.147546296</v>
      </c>
      <c r="AX59" s="22">
        <f>((AX14*Constants!$H72*Constants!$H90*(1-Constants!$H108))+(AX14*Constants!$H72*Constants!$H124))</f>
        <v>5971158.4159340402</v>
      </c>
      <c r="AY59" s="22">
        <f>((AY14*Constants!$H72*Constants!$H90*(1-Constants!$H108))+(AY14*Constants!$H72*Constants!$H124))</f>
        <v>5985562.2013405943</v>
      </c>
      <c r="AZ59" s="22">
        <f>((AZ14*Constants!$H72*Constants!$H90*(1-Constants!$H108))+(AZ14*Constants!$H72*Constants!$H124))</f>
        <v>6001145.5112042911</v>
      </c>
      <c r="BA59" s="22">
        <f>((BA14*Constants!$H72*Constants!$H90*(1-Constants!$H108))+(BA14*Constants!$H72*Constants!$H124))</f>
        <v>6017000.9034720436</v>
      </c>
      <c r="BB59" s="22">
        <f>((BB14*Constants!$H72*Constants!$H90*(1-Constants!$H108))+(BB14*Constants!$H72*Constants!$H124))</f>
        <v>6026386.3144490924</v>
      </c>
      <c r="BC59" s="22">
        <f>((BC14*Constants!$H72*Constants!$H90*(1-Constants!$H108))+(BC14*Constants!$H72*Constants!$H124))</f>
        <v>6036657.9203989888</v>
      </c>
      <c r="BD59" s="22">
        <f>((BD14*Constants!$H72*Constants!$H90*(1-Constants!$H108))+(BD14*Constants!$H72*Constants!$H124))</f>
        <v>6047539.2657001074</v>
      </c>
      <c r="BE59" s="22">
        <f>((BE14*Constants!$H72*Constants!$H90*(1-Constants!$H108))+(BE14*Constants!$H72*Constants!$H124))</f>
        <v>6059173.0506682536</v>
      </c>
      <c r="BF59" s="22">
        <f>((BF14*Constants!$H72*Constants!$H90*(1-Constants!$H108))+(BF14*Constants!$H72*Constants!$H124))</f>
        <v>6071448.2495238222</v>
      </c>
      <c r="BG59" s="22">
        <f>((BG14*Constants!$H72*Constants!$H90*(1-Constants!$H108))+(BG14*Constants!$H72*Constants!$H124))</f>
        <v>6077993.7216811748</v>
      </c>
      <c r="BH59" s="22">
        <f>((BH14*Constants!$H72*Constants!$H90*(1-Constants!$H108))+(BH14*Constants!$H72*Constants!$H124))</f>
        <v>6085012.4613495143</v>
      </c>
      <c r="BI59" s="22">
        <f>((BI14*Constants!$H72*Constants!$H90*(1-Constants!$H108))+(BI14*Constants!$H72*Constants!$H124))</f>
        <v>6092612.7438901514</v>
      </c>
      <c r="BJ59" s="22">
        <f>((BJ14*Constants!$H72*Constants!$H90*(1-Constants!$H108))+(BJ14*Constants!$H72*Constants!$H124))</f>
        <v>6100808.5678466717</v>
      </c>
      <c r="BK59" s="22">
        <f>((BK14*Constants!$H72*Constants!$H90*(1-Constants!$H108))+(BK14*Constants!$H72*Constants!$H124))</f>
        <v>6109594.5223540813</v>
      </c>
      <c r="BL59" s="22">
        <f>((BL14*Constants!$H72*Constants!$H90*(1-Constants!$H108))+(BL14*Constants!$H72*Constants!$H124))</f>
        <v>6112583.2968419092</v>
      </c>
      <c r="BM59" s="22">
        <f>((BM14*Constants!$H72*Constants!$H90*(1-Constants!$H108))+(BM14*Constants!$H72*Constants!$H124))</f>
        <v>6115177.6877206163</v>
      </c>
      <c r="BN59" s="22">
        <f>((BN14*Constants!$H72*Constants!$H90*(1-Constants!$H108))+(BN14*Constants!$H72*Constants!$H124))</f>
        <v>6118165.3429214507</v>
      </c>
      <c r="BO59" s="22">
        <f>((BO14*Constants!$H72*Constants!$H90*(1-Constants!$H108))+(BO14*Constants!$H72*Constants!$H124))</f>
        <v>6121623.2887410484</v>
      </c>
      <c r="BP59" s="22">
        <f>((BP14*Constants!$H72*Constants!$H90*(1-Constants!$H108))+(BP14*Constants!$H72*Constants!$H124))</f>
        <v>6125497.9815336708</v>
      </c>
    </row>
    <row r="60" spans="1:72" x14ac:dyDescent="0.2">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7887809.550391132</v>
      </c>
      <c r="AF62" s="22">
        <f>((AF17*Constants!$H75*Constants!$H93*(1-Constants!$H111))+(AF17*Constants!$H75*Constants!$H127))</f>
        <v>7891347.8708342705</v>
      </c>
      <c r="AG62" s="22">
        <f>((AG17*Constants!$H75*Constants!$H93*(1-Constants!$H111))+(AG17*Constants!$H75*Constants!$H127))</f>
        <v>7818899.2502508275</v>
      </c>
      <c r="AH62" s="22">
        <f>((AH17*Constants!$H75*Constants!$H93*(1-Constants!$H111))+(AH17*Constants!$H75*Constants!$H127))</f>
        <v>7700573.9427559124</v>
      </c>
      <c r="AI62" s="22">
        <f>((AI17*Constants!$H75*Constants!$H93*(1-Constants!$H111))+(AI17*Constants!$H75*Constants!$H127))</f>
        <v>7538263.503845348</v>
      </c>
      <c r="AJ62" s="22">
        <f>((AJ17*Constants!$H75*Constants!$H93*(1-Constants!$H111))+(AJ17*Constants!$H75*Constants!$H127))</f>
        <v>7420408.12542935</v>
      </c>
      <c r="AK62" s="22">
        <f>((AK17*Constants!$H75*Constants!$H93*(1-Constants!$H111))+(AK17*Constants!$H75*Constants!$H127))</f>
        <v>7312981.3674521055</v>
      </c>
      <c r="AL62" s="22">
        <f>((AL17*Constants!$H75*Constants!$H93*(1-Constants!$H111))+(AL17*Constants!$H75*Constants!$H127))</f>
        <v>6515821.9221795555</v>
      </c>
      <c r="AM62" s="22">
        <f>((AM17*Constants!$H75*Constants!$H93*(1-Constants!$H111))+(AM17*Constants!$H75*Constants!$H127))</f>
        <v>6617555.0007121535</v>
      </c>
      <c r="AN62" s="22">
        <f>((AN17*Constants!$H75*Constants!$H93*(1-Constants!$H111))+(AN17*Constants!$H75*Constants!$H127))</f>
        <v>6660761.9733956745</v>
      </c>
      <c r="AO62" s="22">
        <f>((AO17*Constants!$H75*Constants!$H93*(1-Constants!$H111))+(AO17*Constants!$H75*Constants!$H127))</f>
        <v>6689217.0027276985</v>
      </c>
      <c r="AP62" s="22">
        <f>((AP17*Constants!$H75*Constants!$H93*(1-Constants!$H111))+(AP17*Constants!$H75*Constants!$H127))</f>
        <v>6741906.5181250935</v>
      </c>
      <c r="AQ62" s="22">
        <f>((AQ17*Constants!$H75*Constants!$H93*(1-Constants!$H111))+(AQ17*Constants!$H75*Constants!$H127))</f>
        <v>6781150.0234559448</v>
      </c>
      <c r="AR62" s="22">
        <f>((AR17*Constants!$H75*Constants!$H93*(1-Constants!$H111))+(AR17*Constants!$H75*Constants!$H127))</f>
        <v>6801734.6978052463</v>
      </c>
      <c r="AS62" s="22">
        <f>((AS17*Constants!$H75*Constants!$H93*(1-Constants!$H111))+(AS17*Constants!$H75*Constants!$H127))</f>
        <v>6814346.8123261752</v>
      </c>
      <c r="AT62" s="22">
        <f>((AT17*Constants!$H75*Constants!$H93*(1-Constants!$H111))+(AT17*Constants!$H75*Constants!$H127))</f>
        <v>6816057.661851394</v>
      </c>
      <c r="AU62" s="22">
        <f>((AU17*Constants!$H75*Constants!$H93*(1-Constants!$H111))+(AU17*Constants!$H75*Constants!$H127))</f>
        <v>6855638.3756331299</v>
      </c>
      <c r="AV62" s="22">
        <f>((AV17*Constants!$H75*Constants!$H93*(1-Constants!$H111))+(AV17*Constants!$H75*Constants!$H127))</f>
        <v>6890211.8848309526</v>
      </c>
      <c r="AW62" s="22">
        <f>((AW17*Constants!$H75*Constants!$H93*(1-Constants!$H111))+(AW17*Constants!$H75*Constants!$H127))</f>
        <v>6939956.8675000258</v>
      </c>
      <c r="AX62" s="22">
        <f>((AX17*Constants!$H75*Constants!$H93*(1-Constants!$H111))+(AX17*Constants!$H75*Constants!$H127))</f>
        <v>7023985.5444901688</v>
      </c>
      <c r="AY62" s="22">
        <f>((AY17*Constants!$H75*Constants!$H93*(1-Constants!$H111))+(AY17*Constants!$H75*Constants!$H127))</f>
        <v>7122387.7998732105</v>
      </c>
      <c r="AZ62" s="22">
        <f>((AZ17*Constants!$H75*Constants!$H93*(1-Constants!$H111))+(AZ17*Constants!$H75*Constants!$H127))</f>
        <v>7255616.4857752174</v>
      </c>
      <c r="BA62" s="22">
        <f>((BA17*Constants!$H75*Constants!$H93*(1-Constants!$H111))+(BA17*Constants!$H75*Constants!$H127))</f>
        <v>7327539.1183104618</v>
      </c>
      <c r="BB62" s="22">
        <f>((BB17*Constants!$H75*Constants!$H93*(1-Constants!$H111))+(BB17*Constants!$H75*Constants!$H127))</f>
        <v>7390356.2550580334</v>
      </c>
      <c r="BC62" s="22">
        <f>((BC17*Constants!$H75*Constants!$H93*(1-Constants!$H111))+(BC17*Constants!$H75*Constants!$H127))</f>
        <v>7469299.3952171905</v>
      </c>
      <c r="BD62" s="22">
        <f>((BD17*Constants!$H75*Constants!$H93*(1-Constants!$H111))+(BD17*Constants!$H75*Constants!$H127))</f>
        <v>7537839.0369844297</v>
      </c>
      <c r="BE62" s="22">
        <f>((BE17*Constants!$H75*Constants!$H93*(1-Constants!$H111))+(BE17*Constants!$H75*Constants!$H127))</f>
        <v>7613677.4415375479</v>
      </c>
      <c r="BF62" s="22">
        <f>((BF17*Constants!$H75*Constants!$H93*(1-Constants!$H111))+(BF17*Constants!$H75*Constants!$H127))</f>
        <v>7687651.852086544</v>
      </c>
      <c r="BG62" s="22">
        <f>((BG17*Constants!$H75*Constants!$H93*(1-Constants!$H111))+(BG17*Constants!$H75*Constants!$H127))</f>
        <v>7787246.2315615909</v>
      </c>
      <c r="BH62" s="22">
        <f>((BH17*Constants!$H75*Constants!$H93*(1-Constants!$H111))+(BH17*Constants!$H75*Constants!$H127))</f>
        <v>7873730.6618896183</v>
      </c>
      <c r="BI62" s="22">
        <f>((BI17*Constants!$H75*Constants!$H93*(1-Constants!$H111))+(BI17*Constants!$H75*Constants!$H127))</f>
        <v>7960138.2327717757</v>
      </c>
      <c r="BJ62" s="22">
        <f>((BJ17*Constants!$H75*Constants!$H93*(1-Constants!$H111))+(BJ17*Constants!$H75*Constants!$H127))</f>
        <v>8049614.637012532</v>
      </c>
      <c r="BK62" s="22">
        <f>((BK17*Constants!$H75*Constants!$H93*(1-Constants!$H111))+(BK17*Constants!$H75*Constants!$H127))</f>
        <v>8143165.6766666947</v>
      </c>
      <c r="BL62" s="22">
        <f>((BL17*Constants!$H75*Constants!$H93*(1-Constants!$H111))+(BL17*Constants!$H75*Constants!$H127))</f>
        <v>8265081.1272461321</v>
      </c>
      <c r="BM62" s="22">
        <f>((BM17*Constants!$H75*Constants!$H93*(1-Constants!$H111))+(BM17*Constants!$H75*Constants!$H127))</f>
        <v>8302837.310170711</v>
      </c>
      <c r="BN62" s="22">
        <f>((BN17*Constants!$H75*Constants!$H93*(1-Constants!$H111))+(BN17*Constants!$H75*Constants!$H127))</f>
        <v>8332993.7300041039</v>
      </c>
      <c r="BO62" s="22">
        <f>((BO17*Constants!$H75*Constants!$H93*(1-Constants!$H111))+(BO17*Constants!$H75*Constants!$H127))</f>
        <v>8364093.7359206118</v>
      </c>
      <c r="BP62" s="22">
        <f>((BP17*Constants!$H75*Constants!$H93*(1-Constants!$H111))+(BP17*Constants!$H75*Constants!$H127))</f>
        <v>8392556.8417220842</v>
      </c>
    </row>
    <row r="63" spans="1:72" x14ac:dyDescent="0.2">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2012104.5308388225</v>
      </c>
      <c r="AE63" s="22">
        <f>((AE18*Constants!$H76*Constants!$H94*(1-Constants!$H112))+(AE18*Constants!$H76*Constants!$H128))</f>
        <v>2001167.4043936597</v>
      </c>
      <c r="AF63" s="22">
        <f>((AF18*Constants!$H76*Constants!$H94*(1-Constants!$H112))+(AF18*Constants!$H76*Constants!$H128))</f>
        <v>2002065.0898019946</v>
      </c>
      <c r="AG63" s="22">
        <f>((AG18*Constants!$H76*Constants!$H94*(1-Constants!$H112))+(AG18*Constants!$H76*Constants!$H128))</f>
        <v>1983684.5980978459</v>
      </c>
      <c r="AH63" s="22">
        <f>((AH18*Constants!$H76*Constants!$H94*(1-Constants!$H112))+(AH18*Constants!$H76*Constants!$H128))</f>
        <v>1953665.0157333175</v>
      </c>
      <c r="AI63" s="22">
        <f>((AI18*Constants!$H76*Constants!$H94*(1-Constants!$H112))+(AI18*Constants!$H76*Constants!$H128))</f>
        <v>1912486.2375610499</v>
      </c>
      <c r="AJ63" s="22">
        <f>((AJ18*Constants!$H76*Constants!$H94*(1-Constants!$H112))+(AJ18*Constants!$H76*Constants!$H128))</f>
        <v>1882585.8779983774</v>
      </c>
      <c r="AK63" s="22">
        <f>((AK18*Constants!$H76*Constants!$H94*(1-Constants!$H112))+(AK18*Constants!$H76*Constants!$H128))</f>
        <v>1855331.2992651616</v>
      </c>
      <c r="AL63" s="22">
        <f>((AL18*Constants!$H76*Constants!$H94*(1-Constants!$H112))+(AL18*Constants!$H76*Constants!$H128))</f>
        <v>1653088.9038583331</v>
      </c>
      <c r="AM63" s="22">
        <f>((AM18*Constants!$H76*Constants!$H94*(1-Constants!$H112))+(AM18*Constants!$H76*Constants!$H128))</f>
        <v>1678898.9743737858</v>
      </c>
      <c r="AN63" s="22">
        <f>((AN18*Constants!$H76*Constants!$H94*(1-Constants!$H112))+(AN18*Constants!$H76*Constants!$H128))</f>
        <v>1689860.7483396013</v>
      </c>
      <c r="AO63" s="22">
        <f>((AO18*Constants!$H76*Constants!$H94*(1-Constants!$H112))+(AO18*Constants!$H76*Constants!$H128))</f>
        <v>1697079.8979433707</v>
      </c>
      <c r="AP63" s="22">
        <f>((AP18*Constants!$H76*Constants!$H94*(1-Constants!$H112))+(AP18*Constants!$H76*Constants!$H128))</f>
        <v>1710447.4292070195</v>
      </c>
      <c r="AQ63" s="22">
        <f>((AQ18*Constants!$H76*Constants!$H94*(1-Constants!$H112))+(AQ18*Constants!$H76*Constants!$H128))</f>
        <v>1720403.6563700293</v>
      </c>
      <c r="AR63" s="22">
        <f>((AR18*Constants!$H76*Constants!$H94*(1-Constants!$H112))+(AR18*Constants!$H76*Constants!$H128))</f>
        <v>1725626.0668598763</v>
      </c>
      <c r="AS63" s="22">
        <f>((AS18*Constants!$H76*Constants!$H94*(1-Constants!$H112))+(AS18*Constants!$H76*Constants!$H128))</f>
        <v>1728825.808476167</v>
      </c>
      <c r="AT63" s="22">
        <f>((AT18*Constants!$H76*Constants!$H94*(1-Constants!$H112))+(AT18*Constants!$H76*Constants!$H128))</f>
        <v>1729259.8575339969</v>
      </c>
      <c r="AU63" s="22">
        <f>((AU18*Constants!$H76*Constants!$H94*(1-Constants!$H112))+(AU18*Constants!$H76*Constants!$H128))</f>
        <v>1739301.6357687057</v>
      </c>
      <c r="AV63" s="22">
        <f>((AV18*Constants!$H76*Constants!$H94*(1-Constants!$H112))+(AV18*Constants!$H76*Constants!$H128))</f>
        <v>1748073.0670792856</v>
      </c>
      <c r="AW63" s="22">
        <f>((AW18*Constants!$H76*Constants!$H94*(1-Constants!$H112))+(AW18*Constants!$H76*Constants!$H128))</f>
        <v>1760693.5591453675</v>
      </c>
      <c r="AX63" s="22">
        <f>((AX18*Constants!$H76*Constants!$H94*(1-Constants!$H112))+(AX18*Constants!$H76*Constants!$H128))</f>
        <v>1782011.95538107</v>
      </c>
      <c r="AY63" s="22">
        <f>((AY18*Constants!$H76*Constants!$H94*(1-Constants!$H112))+(AY18*Constants!$H76*Constants!$H128))</f>
        <v>1806976.9833439472</v>
      </c>
      <c r="AZ63" s="22">
        <f>((AZ18*Constants!$H76*Constants!$H94*(1-Constants!$H112))+(AZ18*Constants!$H76*Constants!$H128))</f>
        <v>1840777.6097224168</v>
      </c>
      <c r="BA63" s="22">
        <f>((BA18*Constants!$H76*Constants!$H94*(1-Constants!$H112))+(BA18*Constants!$H76*Constants!$H128))</f>
        <v>1859024.6562501283</v>
      </c>
      <c r="BB63" s="22">
        <f>((BB18*Constants!$H76*Constants!$H94*(1-Constants!$H112))+(BB18*Constants!$H76*Constants!$H128))</f>
        <v>1874961.6037250259</v>
      </c>
      <c r="BC63" s="22">
        <f>((BC18*Constants!$H76*Constants!$H94*(1-Constants!$H112))+(BC18*Constants!$H76*Constants!$H128))</f>
        <v>1894989.779846387</v>
      </c>
      <c r="BD63" s="22">
        <f>((BD18*Constants!$H76*Constants!$H94*(1-Constants!$H112))+(BD18*Constants!$H76*Constants!$H128))</f>
        <v>1912378.5486975077</v>
      </c>
      <c r="BE63" s="22">
        <f>((BE18*Constants!$H76*Constants!$H94*(1-Constants!$H112))+(BE18*Constants!$H76*Constants!$H128))</f>
        <v>1931619.0415394523</v>
      </c>
      <c r="BF63" s="22">
        <f>((BF18*Constants!$H76*Constants!$H94*(1-Constants!$H112))+(BF18*Constants!$H76*Constants!$H128))</f>
        <v>1950386.6319844502</v>
      </c>
      <c r="BG63" s="22">
        <f>((BG18*Constants!$H76*Constants!$H94*(1-Constants!$H112))+(BG18*Constants!$H76*Constants!$H128))</f>
        <v>1975654.1063818757</v>
      </c>
      <c r="BH63" s="22">
        <f>((BH18*Constants!$H76*Constants!$H94*(1-Constants!$H112))+(BH18*Constants!$H76*Constants!$H128))</f>
        <v>1997595.5366172725</v>
      </c>
      <c r="BI63" s="22">
        <f>((BI18*Constants!$H76*Constants!$H94*(1-Constants!$H112))+(BI18*Constants!$H76*Constants!$H128))</f>
        <v>2019517.467317746</v>
      </c>
      <c r="BJ63" s="22">
        <f>((BJ18*Constants!$H76*Constants!$H94*(1-Constants!$H112))+(BJ18*Constants!$H76*Constants!$H128))</f>
        <v>2042217.9727603595</v>
      </c>
      <c r="BK63" s="22">
        <f>((BK18*Constants!$H76*Constants!$H94*(1-Constants!$H112))+(BK18*Constants!$H76*Constants!$H128))</f>
        <v>2065952.22876731</v>
      </c>
      <c r="BL63" s="22">
        <f>((BL18*Constants!$H76*Constants!$H94*(1-Constants!$H112))+(BL18*Constants!$H76*Constants!$H128))</f>
        <v>2096882.6441421886</v>
      </c>
      <c r="BM63" s="22">
        <f>((BM18*Constants!$H76*Constants!$H94*(1-Constants!$H112))+(BM18*Constants!$H76*Constants!$H128))</f>
        <v>2106461.5319310357</v>
      </c>
      <c r="BN63" s="22">
        <f>((BN18*Constants!$H76*Constants!$H94*(1-Constants!$H112))+(BN18*Constants!$H76*Constants!$H128))</f>
        <v>2114112.3308021626</v>
      </c>
      <c r="BO63" s="22">
        <f>((BO18*Constants!$H76*Constants!$H94*(1-Constants!$H112))+(BO18*Constants!$H76*Constants!$H128))</f>
        <v>2122002.5210658819</v>
      </c>
      <c r="BP63" s="22">
        <f>((BP18*Constants!$H76*Constants!$H94*(1-Constants!$H112))+(BP18*Constants!$H76*Constants!$H128))</f>
        <v>2129223.7197007919</v>
      </c>
    </row>
    <row r="64" spans="1:72" x14ac:dyDescent="0.2">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10194527.393101329</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10760627.916590165</v>
      </c>
      <c r="AI64" s="22">
        <f>((AI19*Constants!$H77*Constants!$H95*(1-Constants!$H113))+(AI19*Constants!$H77*Constants!$H129))</f>
        <v>10870140.745282179</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10710303.464636415</v>
      </c>
      <c r="AM64" s="22">
        <f>((AM19*Constants!$H77*Constants!$H95*(1-Constants!$H113))+(AM19*Constants!$H77*Constants!$H129))</f>
        <v>10994372.654490085</v>
      </c>
      <c r="AN64" s="22">
        <f>((AN19*Constants!$H77*Constants!$H95*(1-Constants!$H113))+(AN19*Constants!$H77*Constants!$H129))</f>
        <v>11231400.1367264</v>
      </c>
      <c r="AO64" s="22">
        <f>((AO19*Constants!$H77*Constants!$H95*(1-Constants!$H113))+(AO19*Constants!$H77*Constants!$H129))</f>
        <v>11458061.298826911</v>
      </c>
      <c r="AP64" s="22">
        <f>((AP19*Constants!$H77*Constants!$H95*(1-Constants!$H113))+(AP19*Constants!$H77*Constants!$H129))</f>
        <v>11710058.99499004</v>
      </c>
      <c r="AQ64" s="22">
        <f>((AQ19*Constants!$H77*Constants!$H95*(1-Constants!$H113))+(AQ19*Constants!$H77*Constants!$H129))</f>
        <v>11952984.564101353</v>
      </c>
      <c r="AR64" s="22">
        <f>((AR19*Constants!$H77*Constants!$H95*(1-Constants!$H113))+(AR19*Constants!$H77*Constants!$H129))</f>
        <v>12171102.030511944</v>
      </c>
      <c r="AS64" s="22">
        <f>((AS19*Constants!$H77*Constants!$H95*(1-Constants!$H113))+(AS19*Constants!$H77*Constants!$H129))</f>
        <v>12383769.185071761</v>
      </c>
      <c r="AT64" s="22">
        <f>((AT19*Constants!$H77*Constants!$H95*(1-Constants!$H113))+(AT19*Constants!$H77*Constants!$H129))</f>
        <v>12587617.018165184</v>
      </c>
      <c r="AU64" s="22">
        <f>((AU19*Constants!$H77*Constants!$H95*(1-Constants!$H113))+(AU19*Constants!$H77*Constants!$H129))</f>
        <v>12832727.678664703</v>
      </c>
      <c r="AV64" s="22">
        <f>((AV19*Constants!$H77*Constants!$H95*(1-Constants!$H113))+(AV19*Constants!$H77*Constants!$H129))</f>
        <v>13076157.85556367</v>
      </c>
      <c r="AW64" s="22">
        <f>((AW19*Constants!$H77*Constants!$H95*(1-Constants!$H113))+(AW19*Constants!$H77*Constants!$H129))</f>
        <v>13331305.886024131</v>
      </c>
      <c r="AX64" s="22">
        <f>((AX19*Constants!$H77*Constants!$H95*(1-Constants!$H113))+(AX19*Constants!$H77*Constants!$H129))</f>
        <v>13628431.271230768</v>
      </c>
      <c r="AY64" s="22">
        <f>((AY19*Constants!$H77*Constants!$H95*(1-Constants!$H113))+(AY19*Constants!$H77*Constants!$H129))</f>
        <v>13947513.933693949</v>
      </c>
      <c r="AZ64" s="22">
        <f>((AZ19*Constants!$H77*Constants!$H95*(1-Constants!$H113))+(AZ19*Constants!$H77*Constants!$H129))</f>
        <v>14313129.068051679</v>
      </c>
      <c r="BA64" s="22">
        <f>((BA19*Constants!$H77*Constants!$H95*(1-Constants!$H113))+(BA19*Constants!$H77*Constants!$H129))</f>
        <v>14615348.061379433</v>
      </c>
      <c r="BB64" s="22">
        <f>((BB19*Constants!$H77*Constants!$H95*(1-Constants!$H113))+(BB19*Constants!$H77*Constants!$H129))</f>
        <v>14904511.219647441</v>
      </c>
      <c r="BC64" s="22">
        <f>((BC19*Constants!$H77*Constants!$H95*(1-Constants!$H113))+(BC19*Constants!$H77*Constants!$H129))</f>
        <v>15218622.212449079</v>
      </c>
      <c r="BD64" s="22">
        <f>((BD19*Constants!$H77*Constants!$H95*(1-Constants!$H113))+(BD19*Constants!$H77*Constants!$H129))</f>
        <v>15526102.630409626</v>
      </c>
      <c r="BE64" s="22">
        <f>((BE19*Constants!$H77*Constants!$H95*(1-Constants!$H113))+(BE19*Constants!$H77*Constants!$H129))</f>
        <v>15848734.774418624</v>
      </c>
      <c r="BF64" s="22">
        <f>((BF19*Constants!$H77*Constants!$H95*(1-Constants!$H113))+(BF19*Constants!$H77*Constants!$H129))</f>
        <v>16175428.29542481</v>
      </c>
      <c r="BG64" s="22">
        <f>((BG19*Constants!$H77*Constants!$H95*(1-Constants!$H113))+(BG19*Constants!$H77*Constants!$H129))</f>
        <v>16534715.524528449</v>
      </c>
      <c r="BH64" s="22">
        <f>((BH19*Constants!$H77*Constants!$H95*(1-Constants!$H113))+(BH19*Constants!$H77*Constants!$H129))</f>
        <v>16884399.420097206</v>
      </c>
      <c r="BI64" s="22">
        <f>((BI19*Constants!$H77*Constants!$H95*(1-Constants!$H113))+(BI19*Constants!$H77*Constants!$H129))</f>
        <v>17241443.854431707</v>
      </c>
      <c r="BJ64" s="22">
        <f>((BJ19*Constants!$H77*Constants!$H95*(1-Constants!$H113))+(BJ19*Constants!$H77*Constants!$H129))</f>
        <v>17610415.894571539</v>
      </c>
      <c r="BK64" s="22">
        <f>((BK19*Constants!$H77*Constants!$H95*(1-Constants!$H113))+(BK19*Constants!$H77*Constants!$H129))</f>
        <v>17993195.091040943</v>
      </c>
      <c r="BL64" s="22">
        <f>((BL19*Constants!$H77*Constants!$H95*(1-Constants!$H113))+(BL19*Constants!$H77*Constants!$H129))</f>
        <v>18417511.199191276</v>
      </c>
      <c r="BM64" s="22">
        <f>((BM19*Constants!$H77*Constants!$H95*(1-Constants!$H113))+(BM19*Constants!$H77*Constants!$H129))</f>
        <v>18728797.739212025</v>
      </c>
      <c r="BN64" s="22">
        <f>((BN19*Constants!$H77*Constants!$H95*(1-Constants!$H113))+(BN19*Constants!$H77*Constants!$H129))</f>
        <v>19034671.444452167</v>
      </c>
      <c r="BO64" s="22">
        <f>((BO19*Constants!$H77*Constants!$H95*(1-Constants!$H113))+(BO19*Constants!$H77*Constants!$H129))</f>
        <v>19347670.590936031</v>
      </c>
      <c r="BP64" s="22">
        <f>((BP19*Constants!$H77*Constants!$H95*(1-Constants!$H113))+(BP19*Constants!$H77*Constants!$H129))</f>
        <v>19662525.367234178</v>
      </c>
    </row>
    <row r="65" spans="1:68" x14ac:dyDescent="0.2">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50689904.185566783</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50687682.526318602</v>
      </c>
      <c r="AL65" s="22">
        <f>((AL20*Constants!$H78*Constants!$H96*(1-Constants!$H114))+(AL20*Constants!$H78*Constants!$H130))</f>
        <v>43332515.83780472</v>
      </c>
      <c r="AM65" s="22">
        <f>((AM20*Constants!$H78*Constants!$H96*(1-Constants!$H114))+(AM20*Constants!$H78*Constants!$H130))</f>
        <v>45242411.291472271</v>
      </c>
      <c r="AN65" s="22">
        <f>((AN20*Constants!$H78*Constants!$H96*(1-Constants!$H114))+(AN20*Constants!$H78*Constants!$H130))</f>
        <v>46558560.275036</v>
      </c>
      <c r="AO65" s="22">
        <f>((AO20*Constants!$H78*Constants!$H96*(1-Constants!$H114))+(AO20*Constants!$H78*Constants!$H130))</f>
        <v>47726614.738263972</v>
      </c>
      <c r="AP65" s="22">
        <f>((AP20*Constants!$H78*Constants!$H96*(1-Constants!$H114))+(AP20*Constants!$H78*Constants!$H130))</f>
        <v>49164761.375426106</v>
      </c>
      <c r="AQ65" s="22">
        <f>((AQ20*Constants!$H78*Constants!$H96*(1-Constants!$H114))+(AQ20*Constants!$H78*Constants!$H130))</f>
        <v>50470133.840781398</v>
      </c>
      <c r="AR65" s="22">
        <f>((AR20*Constants!$H78*Constants!$H96*(1-Constants!$H114))+(AR20*Constants!$H78*Constants!$H130))</f>
        <v>51622308.892009228</v>
      </c>
      <c r="AS65" s="22">
        <f>((AS20*Constants!$H78*Constants!$H96*(1-Constants!$H114))+(AS20*Constants!$H78*Constants!$H130))</f>
        <v>52692810.56873174</v>
      </c>
      <c r="AT65" s="22">
        <f>((AT20*Constants!$H78*Constants!$H96*(1-Constants!$H114))+(AT20*Constants!$H78*Constants!$H130))</f>
        <v>53645672.058875352</v>
      </c>
      <c r="AU65" s="22">
        <f>((AU20*Constants!$H78*Constants!$H96*(1-Constants!$H114))+(AU20*Constants!$H78*Constants!$H130))</f>
        <v>55041778.68182043</v>
      </c>
      <c r="AV65" s="22">
        <f>((AV20*Constants!$H78*Constants!$H96*(1-Constants!$H114))+(AV20*Constants!$H78*Constants!$H130))</f>
        <v>56396003.067401759</v>
      </c>
      <c r="AW65" s="22">
        <f>((AW20*Constants!$H78*Constants!$H96*(1-Constants!$H114))+(AW20*Constants!$H78*Constants!$H130))</f>
        <v>57980418.644081697</v>
      </c>
      <c r="AX65" s="22">
        <f>((AX20*Constants!$H78*Constants!$H96*(1-Constants!$H114))+(AX20*Constants!$H78*Constants!$H130))</f>
        <v>59999337.750962332</v>
      </c>
      <c r="AY65" s="22">
        <f>((AY20*Constants!$H78*Constants!$H96*(1-Constants!$H114))+(AY20*Constants!$H78*Constants!$H130))</f>
        <v>62227003.469454981</v>
      </c>
      <c r="AZ65" s="22">
        <f>((AZ20*Constants!$H78*Constants!$H96*(1-Constants!$H114))+(AZ20*Constants!$H78*Constants!$H130))</f>
        <v>64923710.866144873</v>
      </c>
      <c r="BA65" s="22">
        <f>((BA20*Constants!$H78*Constants!$H96*(1-Constants!$H114))+(BA20*Constants!$H78*Constants!$H130))</f>
        <v>66905878.169113509</v>
      </c>
      <c r="BB65" s="22">
        <f>((BB20*Constants!$H78*Constants!$H96*(1-Constants!$H114))+(BB20*Constants!$H78*Constants!$H130))</f>
        <v>68837785.686430648</v>
      </c>
      <c r="BC65" s="22">
        <f>((BC20*Constants!$H78*Constants!$H96*(1-Constants!$H114))+(BC20*Constants!$H78*Constants!$H130))</f>
        <v>71008371.289164439</v>
      </c>
      <c r="BD65" s="22">
        <f>((BD20*Constants!$H78*Constants!$H96*(1-Constants!$H114))+(BD20*Constants!$H78*Constants!$H130))</f>
        <v>73082380.415655836</v>
      </c>
      <c r="BE65" s="22">
        <f>((BE20*Constants!$H78*Constants!$H96*(1-Constants!$H114))+(BE20*Constants!$H78*Constants!$H130))</f>
        <v>75288671.068129048</v>
      </c>
      <c r="BF65" s="22">
        <f>((BF20*Constants!$H78*Constants!$H96*(1-Constants!$H114))+(BF20*Constants!$H78*Constants!$H130))</f>
        <v>77510217.697244078</v>
      </c>
      <c r="BG65" s="22">
        <f>((BG20*Constants!$H78*Constants!$H96*(1-Constants!$H114))+(BG20*Constants!$H78*Constants!$H130))</f>
        <v>80146839.333480716</v>
      </c>
      <c r="BH65" s="22">
        <f>((BH20*Constants!$H78*Constants!$H96*(1-Constants!$H114))+(BH20*Constants!$H78*Constants!$H130))</f>
        <v>82655525.083631635</v>
      </c>
      <c r="BI65" s="22">
        <f>((BI20*Constants!$H78*Constants!$H96*(1-Constants!$H114))+(BI20*Constants!$H78*Constants!$H130))</f>
        <v>85211273.397275239</v>
      </c>
      <c r="BJ65" s="22">
        <f>((BJ20*Constants!$H78*Constants!$H96*(1-Constants!$H114))+(BJ20*Constants!$H78*Constants!$H130))</f>
        <v>87859690.196190953</v>
      </c>
      <c r="BK65" s="22">
        <f>((BK20*Constants!$H78*Constants!$H96*(1-Constants!$H114))+(BK20*Constants!$H78*Constants!$H130))</f>
        <v>90618341.209029764</v>
      </c>
      <c r="BL65" s="22">
        <f>((BL20*Constants!$H78*Constants!$H96*(1-Constants!$H114))+(BL20*Constants!$H78*Constants!$H130))</f>
        <v>93869088.657616109</v>
      </c>
      <c r="BM65" s="22">
        <f>((BM20*Constants!$H78*Constants!$H96*(1-Constants!$H114))+(BM20*Constants!$H78*Constants!$H130))</f>
        <v>95962632.978201896</v>
      </c>
      <c r="BN65" s="22">
        <f>((BN20*Constants!$H78*Constants!$H96*(1-Constants!$H114))+(BN20*Constants!$H78*Constants!$H130))</f>
        <v>97982353.294952989</v>
      </c>
      <c r="BO65" s="22">
        <f>((BO20*Constants!$H78*Constants!$H96*(1-Constants!$H114))+(BO20*Constants!$H78*Constants!$H130))</f>
        <v>100052908.19085179</v>
      </c>
      <c r="BP65" s="22">
        <f>((BP20*Constants!$H78*Constants!$H96*(1-Constants!$H114))+(BP20*Constants!$H78*Constants!$H130))</f>
        <v>102122033.30754922</v>
      </c>
    </row>
    <row r="66" spans="1:68" x14ac:dyDescent="0.2">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34478309.195238709</v>
      </c>
      <c r="AF67" s="22">
        <f>AF6*Constants!$H64*(1-Constants!$H82)</f>
        <v>34750269.993448354</v>
      </c>
      <c r="AG67" s="22">
        <f>AG6*Constants!$H64*(1-Constants!$H82)</f>
        <v>34925033.77609212</v>
      </c>
      <c r="AH67" s="22">
        <f>AH6*Constants!$H64*(1-Constants!$H82)</f>
        <v>35041165.108961262</v>
      </c>
      <c r="AI67" s="22">
        <f>AI6*Constants!$H64*(1-Constants!$H82)</f>
        <v>35097521.000428297</v>
      </c>
      <c r="AJ67" s="22">
        <f>AJ6*Constants!$H64*(1-Constants!$H82)</f>
        <v>35222032.138192892</v>
      </c>
      <c r="AK67" s="22">
        <f>AK6*Constants!$H64*(1-Constants!$H82)</f>
        <v>35364867.326667361</v>
      </c>
      <c r="AL67" s="22">
        <f>AL6*Constants!$H64*(1-Constants!$H82)</f>
        <v>34396746.385207653</v>
      </c>
      <c r="AM67" s="22">
        <f>AM6*Constants!$H64*(1-Constants!$H82)</f>
        <v>34513703.509123124</v>
      </c>
      <c r="AN67" s="22">
        <f>AN6*Constants!$H64*(1-Constants!$H82)</f>
        <v>34540165.237922162</v>
      </c>
      <c r="AO67" s="22">
        <f>AO6*Constants!$H64*(1-Constants!$H82)</f>
        <v>34545765.881064311</v>
      </c>
      <c r="AP67" s="22">
        <f>AP6*Constants!$H64*(1-Constants!$H82)</f>
        <v>34594706.326530747</v>
      </c>
      <c r="AQ67" s="22">
        <f>AQ6*Constants!$H64*(1-Constants!$H82)</f>
        <v>34624216.778036289</v>
      </c>
      <c r="AR67" s="22">
        <f>AR6*Constants!$H64*(1-Constants!$H82)</f>
        <v>34598015.32284151</v>
      </c>
      <c r="AS67" s="22">
        <f>AS6*Constants!$H64*(1-Constants!$H82)</f>
        <v>34560179.908744343</v>
      </c>
      <c r="AT67" s="22">
        <f>AT6*Constants!$H64*(1-Constants!$H82)</f>
        <v>34505147.148037843</v>
      </c>
      <c r="AU67" s="22">
        <f>AU6*Constants!$H64*(1-Constants!$H82)</f>
        <v>34516987.636251397</v>
      </c>
      <c r="AV67" s="22">
        <f>AV6*Constants!$H64*(1-Constants!$H82)</f>
        <v>34521975.433197916</v>
      </c>
      <c r="AW67" s="22">
        <f>AW6*Constants!$H64*(1-Constants!$H82)</f>
        <v>34780820.060188785</v>
      </c>
      <c r="AX67" s="22">
        <f>AX6*Constants!$H64*(1-Constants!$H82)</f>
        <v>35107843.824740052</v>
      </c>
      <c r="AY67" s="22">
        <f>AY6*Constants!$H64*(1-Constants!$H82)</f>
        <v>35469336.748143636</v>
      </c>
      <c r="AZ67" s="22">
        <f>AZ6*Constants!$H64*(1-Constants!$H82)</f>
        <v>35904234.938246995</v>
      </c>
      <c r="BA67" s="22">
        <f>BA6*Constants!$H64*(1-Constants!$H82)</f>
        <v>36235137.77549053</v>
      </c>
      <c r="BB67" s="22">
        <f>BB6*Constants!$H64*(1-Constants!$H82)</f>
        <v>36537122.57965675</v>
      </c>
      <c r="BC67" s="22">
        <f>BC6*Constants!$H64*(1-Constants!$H82)</f>
        <v>36877489.627373256</v>
      </c>
      <c r="BD67" s="22">
        <f>BD6*Constants!$H64*(1-Constants!$H82)</f>
        <v>37205798.768706508</v>
      </c>
      <c r="BE67" s="22">
        <f>BE6*Constants!$H64*(1-Constants!$H82)</f>
        <v>37556344.512481607</v>
      </c>
      <c r="BF67" s="22">
        <f>BF6*Constants!$H64*(1-Constants!$H82)</f>
        <v>37911439.626704127</v>
      </c>
      <c r="BG67" s="22">
        <f>BG6*Constants!$H64*(1-Constants!$H82)</f>
        <v>38308950.59387897</v>
      </c>
      <c r="BH67" s="22">
        <f>BH6*Constants!$H64*(1-Constants!$H82)</f>
        <v>38689235.740400083</v>
      </c>
      <c r="BI67" s="22">
        <f>BI6*Constants!$H64*(1-Constants!$H82)</f>
        <v>39078579.228501916</v>
      </c>
      <c r="BJ67" s="22">
        <f>BJ6*Constants!$H64*(1-Constants!$H82)</f>
        <v>39483795.996552557</v>
      </c>
      <c r="BK67" s="22">
        <f>BK6*Constants!$H64*(1-Constants!$H82)</f>
        <v>39907483.304289088</v>
      </c>
      <c r="BL67" s="22">
        <f>BL6*Constants!$H64*(1-Constants!$H82)</f>
        <v>40385003.506873786</v>
      </c>
      <c r="BM67" s="22">
        <f>BM6*Constants!$H64*(1-Constants!$H82)</f>
        <v>40688982.783739664</v>
      </c>
      <c r="BN67" s="22">
        <f>BN6*Constants!$H64*(1-Constants!$H82)</f>
        <v>40983184.102753825</v>
      </c>
      <c r="BO67" s="22">
        <f>BO6*Constants!$H64*(1-Constants!$H82)</f>
        <v>41286420.637776144</v>
      </c>
      <c r="BP67" s="22">
        <f>BP6*Constants!$H64*(1-Constants!$H82)</f>
        <v>41590712.062413275</v>
      </c>
    </row>
    <row r="68" spans="1:68" x14ac:dyDescent="0.2">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23479964.465574864</v>
      </c>
      <c r="AF68" s="22">
        <f>AF7*Constants!$H65*(1-Constants!$H83)</f>
        <v>23665171.629935287</v>
      </c>
      <c r="AG68" s="22">
        <f>AG7*Constants!$H65*(1-Constants!$H83)</f>
        <v>23784186.961664833</v>
      </c>
      <c r="AH68" s="22">
        <f>AH7*Constants!$H65*(1-Constants!$H83)</f>
        <v>23863273.193929486</v>
      </c>
      <c r="AI68" s="22">
        <f>AI7*Constants!$H65*(1-Constants!$H83)</f>
        <v>23901651.941610489</v>
      </c>
      <c r="AJ68" s="22">
        <f>AJ7*Constants!$H65*(1-Constants!$H83)</f>
        <v>23986444.878344316</v>
      </c>
      <c r="AK68" s="22">
        <f>AK7*Constants!$H65*(1-Constants!$H83)</f>
        <v>24083716.61898632</v>
      </c>
      <c r="AL68" s="22">
        <f>AL7*Constants!$H65*(1-Constants!$H83)</f>
        <v>23424419.633883812</v>
      </c>
      <c r="AM68" s="22">
        <f>AM7*Constants!$H65*(1-Constants!$H83)</f>
        <v>23504068.235501159</v>
      </c>
      <c r="AN68" s="22">
        <f>AN7*Constants!$H65*(1-Constants!$H83)</f>
        <v>23522088.853866778</v>
      </c>
      <c r="AO68" s="22">
        <f>AO7*Constants!$H65*(1-Constants!$H83)</f>
        <v>23525902.930166669</v>
      </c>
      <c r="AP68" s="22">
        <f>AP7*Constants!$H65*(1-Constants!$H83)</f>
        <v>23559231.708384138</v>
      </c>
      <c r="AQ68" s="22">
        <f>AQ7*Constants!$H65*(1-Constants!$H83)</f>
        <v>23579328.527772509</v>
      </c>
      <c r="AR68" s="22">
        <f>AR7*Constants!$H65*(1-Constants!$H83)</f>
        <v>23561485.15751221</v>
      </c>
      <c r="AS68" s="22">
        <f>AS7*Constants!$H65*(1-Constants!$H83)</f>
        <v>23535718.981638808</v>
      </c>
      <c r="AT68" s="22">
        <f>AT7*Constants!$H65*(1-Constants!$H83)</f>
        <v>23498241.295058705</v>
      </c>
      <c r="AU68" s="22">
        <f>AU7*Constants!$H65*(1-Constants!$H83)</f>
        <v>23506304.748545796</v>
      </c>
      <c r="AV68" s="22">
        <f>AV7*Constants!$H65*(1-Constants!$H83)</f>
        <v>23509701.472393319</v>
      </c>
      <c r="AW68" s="22">
        <f>AW7*Constants!$H65*(1-Constants!$H83)</f>
        <v>23685976.434411757</v>
      </c>
      <c r="AX68" s="22">
        <f>AX7*Constants!$H65*(1-Constants!$H83)</f>
        <v>23908681.855596468</v>
      </c>
      <c r="AY68" s="22">
        <f>AY7*Constants!$H65*(1-Constants!$H83)</f>
        <v>24154861.009800613</v>
      </c>
      <c r="AZ68" s="22">
        <f>AZ7*Constants!$H65*(1-Constants!$H83)</f>
        <v>24451029.652872585</v>
      </c>
      <c r="BA68" s="22">
        <f>BA7*Constants!$H65*(1-Constants!$H83)</f>
        <v>24676376.749101683</v>
      </c>
      <c r="BB68" s="22">
        <f>BB7*Constants!$H65*(1-Constants!$H83)</f>
        <v>24882030.46694541</v>
      </c>
      <c r="BC68" s="22">
        <f>BC7*Constants!$H65*(1-Constants!$H83)</f>
        <v>25113822.755261563</v>
      </c>
      <c r="BD68" s="22">
        <f>BD7*Constants!$H65*(1-Constants!$H83)</f>
        <v>25337403.526829462</v>
      </c>
      <c r="BE68" s="22">
        <f>BE7*Constants!$H65*(1-Constants!$H83)</f>
        <v>25576127.576805048</v>
      </c>
      <c r="BF68" s="22">
        <f>BF7*Constants!$H65*(1-Constants!$H83)</f>
        <v>25817949.77918252</v>
      </c>
      <c r="BG68" s="22">
        <f>BG7*Constants!$H65*(1-Constants!$H83)</f>
        <v>26088657.467633512</v>
      </c>
      <c r="BH68" s="22">
        <f>BH7*Constants!$H65*(1-Constants!$H83)</f>
        <v>26347634.254358731</v>
      </c>
      <c r="BI68" s="22">
        <f>BI7*Constants!$H65*(1-Constants!$H83)</f>
        <v>26612779.833678398</v>
      </c>
      <c r="BJ68" s="22">
        <f>BJ7*Constants!$H65*(1-Constants!$H83)</f>
        <v>26888735.225249574</v>
      </c>
      <c r="BK68" s="22">
        <f>BK7*Constants!$H65*(1-Constants!$H83)</f>
        <v>27177269.180723891</v>
      </c>
      <c r="BL68" s="22">
        <f>BL7*Constants!$H65*(1-Constants!$H83)</f>
        <v>27502463.70591921</v>
      </c>
      <c r="BM68" s="22">
        <f>BM7*Constants!$H65*(1-Constants!$H83)</f>
        <v>27709475.673317757</v>
      </c>
      <c r="BN68" s="22">
        <f>BN7*Constants!$H65*(1-Constants!$H83)</f>
        <v>27909828.784517646</v>
      </c>
      <c r="BO68" s="22">
        <f>BO7*Constants!$H65*(1-Constants!$H83)</f>
        <v>28116334.939638823</v>
      </c>
      <c r="BP68" s="22">
        <f>BP7*Constants!$H65*(1-Constants!$H83)</f>
        <v>28323559.481805343</v>
      </c>
    </row>
    <row r="69" spans="1:68" x14ac:dyDescent="0.2">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484284533.51604748</v>
      </c>
      <c r="AF69" s="22">
        <f>AF8*Constants!$H66*(1-Constants!$H84)</f>
        <v>482671716.04202372</v>
      </c>
      <c r="AG69" s="22">
        <f>AG8*Constants!$H66*(1-Constants!$H84)</f>
        <v>476226267.07794696</v>
      </c>
      <c r="AH69" s="22">
        <f>AH8*Constants!$H66*(1-Constants!$H84)</f>
        <v>466870540.49783516</v>
      </c>
      <c r="AI69" s="22">
        <f>AI8*Constants!$H66*(1-Constants!$H84)</f>
        <v>454797998.08090121</v>
      </c>
      <c r="AJ69" s="22">
        <f>AJ8*Constants!$H66*(1-Constants!$H84)</f>
        <v>445276030.79173326</v>
      </c>
      <c r="AK69" s="22">
        <f>AK8*Constants!$H66*(1-Constants!$H84)</f>
        <v>436267167.24004084</v>
      </c>
      <c r="AL69" s="22">
        <f>AL8*Constants!$H66*(1-Constants!$H84)</f>
        <v>387196656.64024311</v>
      </c>
      <c r="AM69" s="22">
        <f>AM8*Constants!$H66*(1-Constants!$H84)</f>
        <v>391446130.63593638</v>
      </c>
      <c r="AN69" s="22">
        <f>AN8*Constants!$H66*(1-Constants!$H84)</f>
        <v>392185813.41289181</v>
      </c>
      <c r="AO69" s="22">
        <f>AO8*Constants!$H66*(1-Constants!$H84)</f>
        <v>391972419.33027864</v>
      </c>
      <c r="AP69" s="22">
        <f>AP8*Constants!$H66*(1-Constants!$H84)</f>
        <v>393028767.46366578</v>
      </c>
      <c r="AQ69" s="22">
        <f>AQ8*Constants!$H66*(1-Constants!$H84)</f>
        <v>393216675.49160266</v>
      </c>
      <c r="AR69" s="22">
        <f>AR8*Constants!$H66*(1-Constants!$H84)</f>
        <v>392136498.7731635</v>
      </c>
      <c r="AS69" s="22">
        <f>AS8*Constants!$H66*(1-Constants!$H84)</f>
        <v>390536776.32089442</v>
      </c>
      <c r="AT69" s="22">
        <f>AT8*Constants!$H66*(1-Constants!$H84)</f>
        <v>388269102.72136021</v>
      </c>
      <c r="AU69" s="22">
        <f>AU8*Constants!$H66*(1-Constants!$H84)</f>
        <v>388008810.60265136</v>
      </c>
      <c r="AV69" s="22">
        <f>AV8*Constants!$H66*(1-Constants!$H84)</f>
        <v>387391869.69960707</v>
      </c>
      <c r="AW69" s="22">
        <f>AW8*Constants!$H66*(1-Constants!$H84)</f>
        <v>386900721.21346539</v>
      </c>
      <c r="AX69" s="22">
        <f>AX8*Constants!$H66*(1-Constants!$H84)</f>
        <v>388090399.24645865</v>
      </c>
      <c r="AY69" s="22">
        <f>AY8*Constants!$H66*(1-Constants!$H84)</f>
        <v>389860360.03205436</v>
      </c>
      <c r="AZ69" s="22">
        <f>AZ8*Constants!$H66*(1-Constants!$H84)</f>
        <v>393252374.57077068</v>
      </c>
      <c r="BA69" s="22">
        <f>BA8*Constants!$H66*(1-Constants!$H84)</f>
        <v>393249716.72944927</v>
      </c>
      <c r="BB69" s="22">
        <f>BB8*Constants!$H66*(1-Constants!$H84)</f>
        <v>392535922.38827139</v>
      </c>
      <c r="BC69" s="22">
        <f>BC8*Constants!$H66*(1-Constants!$H84)</f>
        <v>392478075.2197839</v>
      </c>
      <c r="BD69" s="22">
        <f>BD8*Constants!$H66*(1-Constants!$H84)</f>
        <v>391722339.9108339</v>
      </c>
      <c r="BE69" s="22">
        <f>BE8*Constants!$H66*(1-Constants!$H84)</f>
        <v>391158052.5542562</v>
      </c>
      <c r="BF69" s="22">
        <f>BF8*Constants!$H66*(1-Constants!$H84)</f>
        <v>390323125.17136842</v>
      </c>
      <c r="BG69" s="22">
        <f>BG8*Constants!$H66*(1-Constants!$H84)</f>
        <v>392473021.02681756</v>
      </c>
      <c r="BH69" s="22">
        <f>BH8*Constants!$H66*(1-Constants!$H84)</f>
        <v>393864083.8385821</v>
      </c>
      <c r="BI69" s="22">
        <f>BI8*Constants!$H66*(1-Constants!$H84)</f>
        <v>395130693.15147018</v>
      </c>
      <c r="BJ69" s="22">
        <f>BJ8*Constants!$H66*(1-Constants!$H84)</f>
        <v>396420217.51752317</v>
      </c>
      <c r="BK69" s="22">
        <f>BK8*Constants!$H66*(1-Constants!$H84)</f>
        <v>397774677.61975163</v>
      </c>
      <c r="BL69" s="22">
        <f>BL8*Constants!$H66*(1-Constants!$H84)</f>
        <v>400263732.60587794</v>
      </c>
      <c r="BM69" s="22">
        <f>BM8*Constants!$H66*(1-Constants!$H84)</f>
        <v>398706821.34937602</v>
      </c>
      <c r="BN69" s="22">
        <f>BN8*Constants!$H66*(1-Constants!$H84)</f>
        <v>396710827.6518923</v>
      </c>
      <c r="BO69" s="22">
        <f>BO8*Constants!$H66*(1-Constants!$H84)</f>
        <v>394671946.71606767</v>
      </c>
      <c r="BP69" s="22">
        <f>BP8*Constants!$H66*(1-Constants!$H84)</f>
        <v>392426467.90036356</v>
      </c>
    </row>
    <row r="70" spans="1:68" x14ac:dyDescent="0.2">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307182602.50561374</v>
      </c>
      <c r="AE70" s="94">
        <f>IF('Net zero activities &amp; levers'!$C$10="Off",AE9*Constants!$H67*(1-Constants!$H85),IF('Net zero activities &amp; levers'!$C$10="On",('Net zero supporting data'!C197*Constants!$H67*(1-Constants!$H85-'Net zero supporting data'!C199))+('Net zero supporting data'!C198*Constants!$H67*(1-Constants!$H85)),"ERROR"))</f>
        <v>304518505.89528352</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293568573.01785618</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243469570.48511413</v>
      </c>
      <c r="AM70" s="94">
        <f>IF('Net zero activities &amp; levers'!$C$10="Off",AM9*Constants!$H67*(1-Constants!$H85),IF('Net zero activities &amp; levers'!$C$10="On",('Net zero supporting data'!K197*Constants!$H67*(1-Constants!$H85-'Net zero supporting data'!K199))+('Net zero supporting data'!K198*Constants!$H67*(1-Constants!$H85)),"ERROR"))</f>
        <v>242859754.59091297</v>
      </c>
      <c r="AN70" s="94">
        <f>IF('Net zero activities &amp; levers'!$C$10="Off",AN9*Constants!$H67*(1-Constants!$H85),IF('Net zero activities &amp; levers'!$C$10="On",('Net zero supporting data'!L197*Constants!$H67*(1-Constants!$H85-'Net zero supporting data'!L199))+('Net zero supporting data'!L198*Constants!$H67*(1-Constants!$H85)),"ERROR"))</f>
        <v>240030576.1263105</v>
      </c>
      <c r="AO70" s="94">
        <f>IF('Net zero activities &amp; levers'!$C$10="Off",AO9*Constants!$H67*(1-Constants!$H85),IF('Net zero activities &amp; levers'!$C$10="On",('Net zero supporting data'!M197*Constants!$H67*(1-Constants!$H85-'Net zero supporting data'!M199))+('Net zero supporting data'!M198*Constants!$H67*(1-Constants!$H85)),"ERROR"))</f>
        <v>236613670.96571606</v>
      </c>
      <c r="AP70" s="94">
        <f>IF('Net zero activities &amp; levers'!$C$10="Off",AP9*Constants!$H67*(1-Constants!$H85),IF('Net zero activities &amp; levers'!$C$10="On",('Net zero supporting data'!N197*Constants!$H67*(1-Constants!$H85-'Net zero supporting data'!N199))+('Net zero supporting data'!N198*Constants!$H67*(1-Constants!$H85)),"ERROR"))</f>
        <v>233956176.80319312</v>
      </c>
      <c r="AQ70" s="94">
        <f>IF('Net zero activities &amp; levers'!$C$10="Off",AQ9*Constants!$H67*(1-Constants!$H85),IF('Net zero activities &amp; levers'!$C$10="On",('Net zero supporting data'!O197*Constants!$H67*(1-Constants!$H85-'Net zero supporting data'!O199))+('Net zero supporting data'!O198*Constants!$H67*(1-Constants!$H85)),"ERROR"))</f>
        <v>230771298.98854363</v>
      </c>
      <c r="AR70" s="94">
        <f>IF('Net zero activities &amp; levers'!$C$10="Off",AR9*Constants!$H67*(1-Constants!$H85),IF('Net zero activities &amp; levers'!$C$10="On",('Net zero supporting data'!P197*Constants!$H67*(1-Constants!$H85-'Net zero supporting data'!P199))+('Net zero supporting data'!P198*Constants!$H67*(1-Constants!$H85)),"ERROR"))</f>
        <v>226849687.43214703</v>
      </c>
      <c r="AS70" s="94">
        <f>IF('Net zero activities &amp; levers'!$C$10="Off",AS9*Constants!$H67*(1-Constants!$H85),IF('Net zero activities &amp; levers'!$C$10="On",('Net zero supporting data'!Q197*Constants!$H67*(1-Constants!$H85-'Net zero supporting data'!Q199))+('Net zero supporting data'!Q198*Constants!$H67*(1-Constants!$H85)),"ERROR"))</f>
        <v>222649988.66429642</v>
      </c>
      <c r="AT70" s="94">
        <f>IF('Net zero activities &amp; levers'!$C$10="Off",AT9*Constants!$H67*(1-Constants!$H85),IF('Net zero activities &amp; levers'!$C$10="On",('Net zero supporting data'!R197*Constants!$H67*(1-Constants!$H85-'Net zero supporting data'!R199))+('Net zero supporting data'!R198*Constants!$H67*(1-Constants!$H85)),"ERROR"))</f>
        <v>218101906.73290032</v>
      </c>
      <c r="AU70" s="94">
        <f>IF('Net zero activities &amp; levers'!$C$10="Off",AU9*Constants!$H67*(1-Constants!$H85),IF('Net zero activities &amp; levers'!$C$10="On",('Net zero supporting data'!S197*Constants!$H67*(1-Constants!$H85-'Net zero supporting data'!S199))+('Net zero supporting data'!S198*Constants!$H67*(1-Constants!$H85)),"ERROR"))</f>
        <v>214702623.12642896</v>
      </c>
      <c r="AV70" s="94">
        <f>IF('Net zero activities &amp; levers'!$C$10="Off",AV9*Constants!$H67*(1-Constants!$H85),IF('Net zero activities &amp; levers'!$C$10="On",('Net zero supporting data'!T197*Constants!$H67*(1-Constants!$H85-'Net zero supporting data'!T199))+('Net zero supporting data'!T198*Constants!$H67*(1-Constants!$H85)),"ERROR"))</f>
        <v>211113344.53260261</v>
      </c>
      <c r="AW70" s="94">
        <f>IF('Net zero activities &amp; levers'!$C$10="Off",AW9*Constants!$H67*(1-Constants!$H85),IF('Net zero activities &amp; levers'!$C$10="On",('Net zero supporting data'!U197*Constants!$H67*(1-Constants!$H85-'Net zero supporting data'!U199))+('Net zero supporting data'!U198*Constants!$H67*(1-Constants!$H85)),"ERROR"))</f>
        <v>209764427.97173294</v>
      </c>
      <c r="AX70" s="94">
        <f>IF('Net zero activities &amp; levers'!$C$10="Off",AX9*Constants!$H67*(1-Constants!$H85),IF('Net zero activities &amp; levers'!$C$10="On",('Net zero supporting data'!V197*Constants!$H67*(1-Constants!$H85-'Net zero supporting data'!V199))+('Net zero supporting data'!V198*Constants!$H67*(1-Constants!$H85)),"ERROR"))</f>
        <v>209324846.29188412</v>
      </c>
      <c r="AY70" s="94">
        <f>IF('Net zero activities &amp; levers'!$C$10="Off",AY9*Constants!$H67*(1-Constants!$H85),IF('Net zero activities &amp; levers'!$C$10="On",('Net zero supporting data'!W197*Constants!$H67*(1-Constants!$H85-'Net zero supporting data'!W199))+('Net zero supporting data'!W198*Constants!$H67*(1-Constants!$H85)),"ERROR"))</f>
        <v>209189981.29468504</v>
      </c>
      <c r="AZ70" s="94">
        <f>IF('Net zero activities &amp; levers'!$C$10="Off",AZ9*Constants!$H67*(1-Constants!$H85),IF('Net zero activities &amp; levers'!$C$10="On",('Net zero supporting data'!X197*Constants!$H67*(1-Constants!$H85-'Net zero supporting data'!X199))+('Net zero supporting data'!X198*Constants!$H67*(1-Constants!$H85)),"ERROR"))</f>
        <v>209911046.51137632</v>
      </c>
      <c r="BA70" s="94">
        <f>IF('Net zero activities &amp; levers'!$C$10="Off",BA9*Constants!$H67*(1-Constants!$H85),IF('Net zero activities &amp; levers'!$C$10="On",('Net zero supporting data'!Y197*Constants!$H67*(1-Constants!$H85-'Net zero supporting data'!Y199))+('Net zero supporting data'!Y198*Constants!$H67*(1-Constants!$H85)),"ERROR"))</f>
        <v>208810624.51654017</v>
      </c>
      <c r="BB70" s="94">
        <f>IF('Net zero activities &amp; levers'!$C$10="Off",BB9*Constants!$H67*(1-Constants!$H85),IF('Net zero activities &amp; levers'!$C$10="On",('Net zero supporting data'!Z197*Constants!$H67*(1-Constants!$H85-'Net zero supporting data'!Z199))+('Net zero supporting data'!Z198*Constants!$H67*(1-Constants!$H85)),"ERROR"))</f>
        <v>207334600.28459001</v>
      </c>
      <c r="BC70" s="94">
        <f>IF('Net zero activities &amp; levers'!$C$10="Off",BC9*Constants!$H67*(1-Constants!$H85),IF('Net zero activities &amp; levers'!$C$10="On",('Net zero supporting data'!AA197*Constants!$H67*(1-Constants!$H85-'Net zero supporting data'!AA199))+('Net zero supporting data'!AA198*Constants!$H67*(1-Constants!$H85)),"ERROR"))</f>
        <v>206207199.03036538</v>
      </c>
      <c r="BD70" s="94">
        <f>IF('Net zero activities &amp; levers'!$C$10="Off",BD9*Constants!$H67*(1-Constants!$H85),IF('Net zero activities &amp; levers'!$C$10="On",('Net zero supporting data'!AB197*Constants!$H67*(1-Constants!$H85-'Net zero supporting data'!AB199))+('Net zero supporting data'!AB198*Constants!$H67*(1-Constants!$H85)),"ERROR"))</f>
        <v>204715402.43186185</v>
      </c>
      <c r="BE70" s="94">
        <f>IF('Net zero activities &amp; levers'!$C$10="Off",BE9*Constants!$H67*(1-Constants!$H85),IF('Net zero activities &amp; levers'!$C$10="On",('Net zero supporting data'!AC197*Constants!$H67*(1-Constants!$H85-'Net zero supporting data'!AC199))+('Net zero supporting data'!AC198*Constants!$H67*(1-Constants!$H85)),"ERROR"))</f>
        <v>203327346.20041561</v>
      </c>
      <c r="BF70" s="94">
        <f>IF('Net zero activities &amp; levers'!$C$10="Off",BF9*Constants!$H67*(1-Constants!$H85),IF('Net zero activities &amp; levers'!$C$10="On",('Net zero supporting data'!AD197*Constants!$H67*(1-Constants!$H85-'Net zero supporting data'!AD199))+('Net zero supporting data'!AD198*Constants!$H67*(1-Constants!$H85)),"ERROR"))</f>
        <v>201802519.2812534</v>
      </c>
      <c r="BG70" s="94">
        <f>IF('Net zero activities &amp; levers'!$C$10="Off",BG9*Constants!$H67*(1-Constants!$H85),IF('Net zero activities &amp; levers'!$C$10="On",('Net zero supporting data'!AE197*Constants!$H67*(1-Constants!$H85-'Net zero supporting data'!AE199))+('Net zero supporting data'!AE198*Constants!$H67*(1-Constants!$H85)),"ERROR"))</f>
        <v>201817212.85324615</v>
      </c>
      <c r="BH70" s="94">
        <f>IF('Net zero activities &amp; levers'!$C$10="Off",BH9*Constants!$H67*(1-Constants!$H85),IF('Net zero activities &amp; levers'!$C$10="On",('Net zero supporting data'!AF197*Constants!$H67*(1-Constants!$H85-'Net zero supporting data'!AF199))+('Net zero supporting data'!AF198*Constants!$H67*(1-Constants!$H85)),"ERROR"))</f>
        <v>201431803.99611881</v>
      </c>
      <c r="BI70" s="94">
        <f>IF('Net zero activities &amp; levers'!$C$10="Off",BI9*Constants!$H67*(1-Constants!$H85),IF('Net zero activities &amp; levers'!$C$10="On",('Net zero supporting data'!AG197*Constants!$H67*(1-Constants!$H85-'Net zero supporting data'!AG199))+('Net zero supporting data'!AG198*Constants!$H67*(1-Constants!$H85)),"ERROR"))</f>
        <v>200975319.23377177</v>
      </c>
      <c r="BJ70" s="94">
        <f>IF('Net zero activities &amp; levers'!$C$10="Off",BJ9*Constants!$H67*(1-Constants!$H85),IF('Net zero activities &amp; levers'!$C$10="On",('Net zero supporting data'!AH197*Constants!$H67*(1-Constants!$H85-'Net zero supporting data'!AH199))+('Net zero supporting data'!AH198*Constants!$H67*(1-Constants!$H85)),"ERROR"))</f>
        <v>200523346.20384753</v>
      </c>
      <c r="BK70" s="94">
        <f>IF('Net zero activities &amp; levers'!$C$10="Off",BK9*Constants!$H67*(1-Constants!$H85),IF('Net zero activities &amp; levers'!$C$10="On",('Net zero supporting data'!AI197*Constants!$H67*(1-Constants!$H85-'Net zero supporting data'!AI199))+('Net zero supporting data'!AI198*Constants!$H67*(1-Constants!$H85)),"ERROR"))</f>
        <v>200096830.89783165</v>
      </c>
      <c r="BL70" s="94">
        <f>IF('Net zero activities &amp; levers'!$C$10="Off",BL9*Constants!$H67*(1-Constants!$H85),IF('Net zero activities &amp; levers'!$C$10="On",('Net zero supporting data'!AJ197*Constants!$H67*(1-Constants!$H85-'Net zero supporting data'!AJ199))+('Net zero supporting data'!AJ198*Constants!$H67*(1-Constants!$H85)),"ERROR"))</f>
        <v>200230321.57816136</v>
      </c>
      <c r="BM70" s="94">
        <f>IF('Net zero activities &amp; levers'!$C$10="Off",BM9*Constants!$H67*(1-Constants!$H85),IF('Net zero activities &amp; levers'!$C$10="On",('Net zero supporting data'!AK197*Constants!$H67*(1-Constants!$H85-'Net zero supporting data'!AK199))+('Net zero supporting data'!AK198*Constants!$H67*(1-Constants!$H85)),"ERROR"))</f>
        <v>198337228.89219424</v>
      </c>
      <c r="BN70" s="94">
        <f>IF('Net zero activities &amp; levers'!$C$10="Off",BN9*Constants!$H67*(1-Constants!$H85),IF('Net zero activities &amp; levers'!$C$10="On",('Net zero supporting data'!AL197*Constants!$H67*(1-Constants!$H85-'Net zero supporting data'!AL199))+('Net zero supporting data'!AL198*Constants!$H67*(1-Constants!$H85)),"ERROR"))</f>
        <v>196235643.27042919</v>
      </c>
      <c r="BO70" s="94">
        <f>IF('Net zero activities &amp; levers'!$C$10="Off",BO9*Constants!$H67*(1-Constants!$H85),IF('Net zero activities &amp; levers'!$C$10="On",('Net zero supporting data'!AM197*Constants!$H67*(1-Constants!$H85-'Net zero supporting data'!AM199))+('Net zero supporting data'!AM198*Constants!$H67*(1-Constants!$H85)),"ERROR"))</f>
        <v>194124119.33576941</v>
      </c>
      <c r="BP70" s="94">
        <f>IF('Net zero activities &amp; levers'!$C$10="Off",BP9*Constants!$H67*(1-Constants!$H85),IF('Net zero activities &amp; levers'!$C$10="On",('Net zero supporting data'!AN197*Constants!$H67*(1-Constants!$H85-'Net zero supporting data'!AN199))+('Net zero supporting data'!AN198*Constants!$H67*(1-Constants!$H85)),"ERROR"))</f>
        <v>191922951.1346662</v>
      </c>
    </row>
    <row r="71" spans="1:68" x14ac:dyDescent="0.2">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376583519.24290884</v>
      </c>
      <c r="AM72" s="22">
        <f>AM11*Constants!$H69*(1-Constants!$H87)</f>
        <v>377157025.37438202</v>
      </c>
      <c r="AN72" s="22">
        <f>AN11*Constants!$H69*(1-Constants!$H87)</f>
        <v>377805224.55315232</v>
      </c>
      <c r="AO72" s="22">
        <f>AO11*Constants!$H69*(1-Constants!$H87)</f>
        <v>378536450.53461206</v>
      </c>
      <c r="AP72" s="22">
        <f>AP11*Constants!$H69*(1-Constants!$H87)</f>
        <v>379359026.01339078</v>
      </c>
      <c r="AQ72" s="22">
        <f>AQ11*Constants!$H69*(1-Constants!$H87)</f>
        <v>380255798.54805142</v>
      </c>
      <c r="AR72" s="22">
        <f>AR11*Constants!$H69*(1-Constants!$H87)</f>
        <v>380801208.2505275</v>
      </c>
      <c r="AS72" s="22">
        <f>AS11*Constants!$H69*(1-Constants!$H87)</f>
        <v>381410399.52224785</v>
      </c>
      <c r="AT72" s="22">
        <f>AT11*Constants!$H69*(1-Constants!$H87)</f>
        <v>382078903.57555962</v>
      </c>
      <c r="AU72" s="22">
        <f>AU11*Constants!$H69*(1-Constants!$H87)</f>
        <v>382821855.81327641</v>
      </c>
      <c r="AV72" s="22">
        <f>AV11*Constants!$H69*(1-Constants!$H87)</f>
        <v>383621001.86844999</v>
      </c>
      <c r="AW72" s="22">
        <f>AW11*Constants!$H69*(1-Constants!$H87)</f>
        <v>384143188.58756876</v>
      </c>
      <c r="AX72" s="22">
        <f>AX11*Constants!$H69*(1-Constants!$H87)</f>
        <v>384729345.51356471</v>
      </c>
      <c r="AY72" s="22">
        <f>AY11*Constants!$H69*(1-Constants!$H87)</f>
        <v>385370108.68336421</v>
      </c>
      <c r="AZ72" s="22">
        <f>AZ11*Constants!$H69*(1-Constants!$H87)</f>
        <v>386072132.56418031</v>
      </c>
      <c r="BA72" s="22">
        <f>BA11*Constants!$H69*(1-Constants!$H87)</f>
        <v>386794934.456164</v>
      </c>
      <c r="BB72" s="22">
        <f>BB11*Constants!$H69*(1-Constants!$H87)</f>
        <v>387237921.78270018</v>
      </c>
      <c r="BC72" s="22">
        <f>BC11*Constants!$H69*(1-Constants!$H87)</f>
        <v>387727289.48461068</v>
      </c>
      <c r="BD72" s="22">
        <f>BD11*Constants!$H69*(1-Constants!$H87)</f>
        <v>388250563.16696227</v>
      </c>
      <c r="BE72" s="22">
        <f>BE11*Constants!$H69*(1-Constants!$H87)</f>
        <v>388813968.31658548</v>
      </c>
      <c r="BF72" s="22">
        <f>BF11*Constants!$H69*(1-Constants!$H87)</f>
        <v>389412413.72282773</v>
      </c>
      <c r="BG72" s="22">
        <f>BG11*Constants!$H69*(1-Constants!$H87)</f>
        <v>389759463.24937063</v>
      </c>
      <c r="BH72" s="22">
        <f>BH11*Constants!$H69*(1-Constants!$H87)</f>
        <v>390132759.88670808</v>
      </c>
      <c r="BI72" s="22">
        <f>BI11*Constants!$H69*(1-Constants!$H87)</f>
        <v>390537074.40005213</v>
      </c>
      <c r="BJ72" s="22">
        <f>BJ11*Constants!$H69*(1-Constants!$H87)</f>
        <v>390972964.93985891</v>
      </c>
      <c r="BK72" s="22">
        <f>BK11*Constants!$H69*(1-Constants!$H87)</f>
        <v>391440126.7957961</v>
      </c>
      <c r="BL72" s="22">
        <f>BL11*Constants!$H69*(1-Constants!$H87)</f>
        <v>391649018.2898314</v>
      </c>
      <c r="BM72" s="22">
        <f>BM11*Constants!$H69*(1-Constants!$H87)</f>
        <v>391843446.41509658</v>
      </c>
      <c r="BN72" s="22">
        <f>BN11*Constants!$H69*(1-Constants!$H87)</f>
        <v>392058989.75292712</v>
      </c>
      <c r="BO72" s="22">
        <f>BO11*Constants!$H69*(1-Constants!$H87)</f>
        <v>392299103.25348741</v>
      </c>
      <c r="BP72" s="22">
        <f>BP11*Constants!$H69*(1-Constants!$H87)</f>
        <v>392561315.1166392</v>
      </c>
    </row>
    <row r="73" spans="1:68" x14ac:dyDescent="0.2">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42037840.096857853</v>
      </c>
      <c r="AM73" s="22">
        <f>AM12*Constants!$H70*(1-Constants!$H88)</f>
        <v>42101860.314996727</v>
      </c>
      <c r="AN73" s="22">
        <f>AN12*Constants!$H70*(1-Constants!$H88)</f>
        <v>42174218.482669167</v>
      </c>
      <c r="AO73" s="22">
        <f>AO12*Constants!$H70*(1-Constants!$H88)</f>
        <v>42255844.893047065</v>
      </c>
      <c r="AP73" s="22">
        <f>AP12*Constants!$H70*(1-Constants!$H88)</f>
        <v>42347668.604594544</v>
      </c>
      <c r="AQ73" s="22">
        <f>AQ12*Constants!$H70*(1-Constants!$H88)</f>
        <v>42447774.898388565</v>
      </c>
      <c r="AR73" s="22">
        <f>AR12*Constants!$H70*(1-Constants!$H88)</f>
        <v>42508658.725450516</v>
      </c>
      <c r="AS73" s="22">
        <f>AS12*Constants!$H70*(1-Constants!$H88)</f>
        <v>42576662.458913051</v>
      </c>
      <c r="AT73" s="22">
        <f>AT12*Constants!$H70*(1-Constants!$H88)</f>
        <v>42651287.250124641</v>
      </c>
      <c r="AU73" s="22">
        <f>AU12*Constants!$H70*(1-Constants!$H88)</f>
        <v>42734222.656940974</v>
      </c>
      <c r="AV73" s="22">
        <f>AV12*Constants!$H70*(1-Constants!$H88)</f>
        <v>42823430.953015536</v>
      </c>
      <c r="AW73" s="22">
        <f>AW12*Constants!$H70*(1-Constants!$H88)</f>
        <v>42881722.409431763</v>
      </c>
      <c r="AX73" s="22">
        <f>AX12*Constants!$H70*(1-Constants!$H88)</f>
        <v>42947154.829778299</v>
      </c>
      <c r="AY73" s="22">
        <f>AY12*Constants!$H70*(1-Constants!$H88)</f>
        <v>43018682.919287227</v>
      </c>
      <c r="AZ73" s="22">
        <f>AZ12*Constants!$H70*(1-Constants!$H88)</f>
        <v>43097049.512985349</v>
      </c>
      <c r="BA73" s="22">
        <f>BA12*Constants!$H70*(1-Constants!$H88)</f>
        <v>43177735.546240352</v>
      </c>
      <c r="BB73" s="22">
        <f>BB12*Constants!$H70*(1-Constants!$H88)</f>
        <v>43227186.011930674</v>
      </c>
      <c r="BC73" s="22">
        <f>BC12*Constants!$H70*(1-Constants!$H88)</f>
        <v>43281813.896982141</v>
      </c>
      <c r="BD73" s="22">
        <f>BD12*Constants!$H70*(1-Constants!$H88)</f>
        <v>43340226.690589823</v>
      </c>
      <c r="BE73" s="22">
        <f>BE12*Constants!$H70*(1-Constants!$H88)</f>
        <v>43403119.340903424</v>
      </c>
      <c r="BF73" s="22">
        <f>BF12*Constants!$H70*(1-Constants!$H88)</f>
        <v>43469923.518486358</v>
      </c>
      <c r="BG73" s="22">
        <f>BG12*Constants!$H70*(1-Constants!$H88)</f>
        <v>43508664.492950223</v>
      </c>
      <c r="BH73" s="22">
        <f>BH12*Constants!$H70*(1-Constants!$H88)</f>
        <v>43550335.419974945</v>
      </c>
      <c r="BI73" s="22">
        <f>BI12*Constants!$H70*(1-Constants!$H88)</f>
        <v>43595468.857824184</v>
      </c>
      <c r="BJ73" s="22">
        <f>BJ12*Constants!$H70*(1-Constants!$H88)</f>
        <v>43644127.112569287</v>
      </c>
      <c r="BK73" s="22">
        <f>BK12*Constants!$H70*(1-Constants!$H88)</f>
        <v>43696276.169540025</v>
      </c>
      <c r="BL73" s="22">
        <f>BL12*Constants!$H70*(1-Constants!$H88)</f>
        <v>43719594.628195629</v>
      </c>
      <c r="BM73" s="22">
        <f>BM12*Constants!$H70*(1-Constants!$H88)</f>
        <v>43741298.547837846</v>
      </c>
      <c r="BN73" s="22">
        <f>BN12*Constants!$H70*(1-Constants!$H88)</f>
        <v>43765359.548669428</v>
      </c>
      <c r="BO73" s="22">
        <f>BO12*Constants!$H70*(1-Constants!$H88)</f>
        <v>43792163.305142745</v>
      </c>
      <c r="BP73" s="22">
        <f>BP12*Constants!$H70*(1-Constants!$H88)</f>
        <v>43821433.891377725</v>
      </c>
    </row>
    <row r="74" spans="1:68" x14ac:dyDescent="0.2">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45631309.487661712</v>
      </c>
      <c r="AE74" s="22">
        <f>AE13*Constants!$H71*(1-Constants!$H89)</f>
        <v>45749928.866340876</v>
      </c>
      <c r="AF74" s="22">
        <f>AF13*Constants!$H71*(1-Constants!$H89)</f>
        <v>45913560.107367672</v>
      </c>
      <c r="AG74" s="22">
        <f>AG13*Constants!$H71*(1-Constants!$H89)</f>
        <v>46112906.174093798</v>
      </c>
      <c r="AH74" s="22">
        <f>AH13*Constants!$H71*(1-Constants!$H89)</f>
        <v>46347682.746242367</v>
      </c>
      <c r="AI74" s="22">
        <f>AI13*Constants!$H71*(1-Constants!$H89)</f>
        <v>46616460.850456975</v>
      </c>
      <c r="AJ74" s="22">
        <f>AJ13*Constants!$H71*(1-Constants!$H89)</f>
        <v>46905723.935145356</v>
      </c>
      <c r="AK74" s="22">
        <f>AK13*Constants!$H71*(1-Constants!$H89)</f>
        <v>47214326.947409034</v>
      </c>
      <c r="AL74" s="22">
        <f>AL13*Constants!$H71*(1-Constants!$H89)</f>
        <v>47497840.875535138</v>
      </c>
      <c r="AM74" s="22">
        <f>AM13*Constants!$H71*(1-Constants!$H89)</f>
        <v>47635860.183468208</v>
      </c>
      <c r="AN74" s="22">
        <f>AN13*Constants!$H71*(1-Constants!$H89)</f>
        <v>47784207.674376555</v>
      </c>
      <c r="AO74" s="22">
        <f>AO13*Constants!$H71*(1-Constants!$H89)</f>
        <v>47944697.506639145</v>
      </c>
      <c r="AP74" s="22">
        <f>AP13*Constants!$H71*(1-Constants!$H89)</f>
        <v>48119091.814606875</v>
      </c>
      <c r="AQ74" s="22">
        <f>AQ13*Constants!$H71*(1-Constants!$H89)</f>
        <v>48304287.530479677</v>
      </c>
      <c r="AR74" s="22">
        <f>AR13*Constants!$H71*(1-Constants!$H89)</f>
        <v>48420064.083210252</v>
      </c>
      <c r="AS74" s="22">
        <f>AS13*Constants!$H71*(1-Constants!$H89)</f>
        <v>48545303.654500693</v>
      </c>
      <c r="AT74" s="22">
        <f>AT13*Constants!$H71*(1-Constants!$H89)</f>
        <v>48679269.655911043</v>
      </c>
      <c r="AU74" s="22">
        <f>AU13*Constants!$H71*(1-Constants!$H89)</f>
        <v>48824895.306357242</v>
      </c>
      <c r="AV74" s="22">
        <f>AV13*Constants!$H71*(1-Constants!$H89)</f>
        <v>48978825.970559001</v>
      </c>
      <c r="AW74" s="22">
        <f>AW13*Constants!$H71*(1-Constants!$H89)</f>
        <v>49078897.401172474</v>
      </c>
      <c r="AX74" s="22">
        <f>AX13*Constants!$H71*(1-Constants!$H89)</f>
        <v>49189112.923474148</v>
      </c>
      <c r="AY74" s="22">
        <f>AY13*Constants!$H71*(1-Constants!$H89)</f>
        <v>49307768.195623308</v>
      </c>
      <c r="AZ74" s="22">
        <f>AZ13*Constants!$H71*(1-Constants!$H89)</f>
        <v>49436140.135406628</v>
      </c>
      <c r="BA74" s="22">
        <f>BA13*Constants!$H71*(1-Constants!$H89)</f>
        <v>49566753.431249395</v>
      </c>
      <c r="BB74" s="22">
        <f>BB13*Constants!$H71*(1-Constants!$H89)</f>
        <v>49644068.419100225</v>
      </c>
      <c r="BC74" s="22">
        <f>BC13*Constants!$H71*(1-Constants!$H89)</f>
        <v>49728683.689669259</v>
      </c>
      <c r="BD74" s="22">
        <f>BD13*Constants!$H71*(1-Constants!$H89)</f>
        <v>49818321.861275576</v>
      </c>
      <c r="BE74" s="22">
        <f>BE13*Constants!$H71*(1-Constants!$H89)</f>
        <v>49914158.46828948</v>
      </c>
      <c r="BF74" s="22">
        <f>BF13*Constants!$H71*(1-Constants!$H89)</f>
        <v>50015278.904326387</v>
      </c>
      <c r="BG74" s="22">
        <f>BG13*Constants!$H71*(1-Constants!$H89)</f>
        <v>50069199.089767501</v>
      </c>
      <c r="BH74" s="22">
        <f>BH13*Constants!$H71*(1-Constants!$H89)</f>
        <v>50127017.950711653</v>
      </c>
      <c r="BI74" s="22">
        <f>BI13*Constants!$H71*(1-Constants!$H89)</f>
        <v>50189627.436191738</v>
      </c>
      <c r="BJ74" s="22">
        <f>BJ13*Constants!$H71*(1-Constants!$H89)</f>
        <v>50257142.863185331</v>
      </c>
      <c r="BK74" s="22">
        <f>BK13*Constants!$H71*(1-Constants!$H89)</f>
        <v>50329519.65815568</v>
      </c>
      <c r="BL74" s="22">
        <f>BL13*Constants!$H71*(1-Constants!$H89)</f>
        <v>50354140.536642544</v>
      </c>
      <c r="BM74" s="22">
        <f>BM13*Constants!$H71*(1-Constants!$H89)</f>
        <v>50375512.568166584</v>
      </c>
      <c r="BN74" s="22">
        <f>BN13*Constants!$H71*(1-Constants!$H89)</f>
        <v>50400124.22620903</v>
      </c>
      <c r="BO74" s="22">
        <f>BO13*Constants!$H71*(1-Constants!$H89)</f>
        <v>50428610.036759555</v>
      </c>
      <c r="BP74" s="22">
        <f>BP13*Constants!$H71*(1-Constants!$H89)</f>
        <v>50460528.918833002</v>
      </c>
    </row>
    <row r="75" spans="1:68" x14ac:dyDescent="0.2">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75518890.310465008</v>
      </c>
      <c r="AE75" s="22">
        <f>AE14*Constants!$H72*(1-Constants!$H90)</f>
        <v>75715202.97270821</v>
      </c>
      <c r="AF75" s="22">
        <f>AF14*Constants!$H72*(1-Constants!$H90)</f>
        <v>75986009.352827772</v>
      </c>
      <c r="AG75" s="22">
        <f>AG14*Constants!$H72*(1-Constants!$H90)</f>
        <v>76315923.044017896</v>
      </c>
      <c r="AH75" s="22">
        <f>AH14*Constants!$H72*(1-Constants!$H90)</f>
        <v>76704473.501995638</v>
      </c>
      <c r="AI75" s="22">
        <f>AI14*Constants!$H72*(1-Constants!$H90)</f>
        <v>77149295.804882318</v>
      </c>
      <c r="AJ75" s="22">
        <f>AJ14*Constants!$H72*(1-Constants!$H90)</f>
        <v>77628020.334349424</v>
      </c>
      <c r="AK75" s="22">
        <f>AK14*Constants!$H72*(1-Constants!$H90)</f>
        <v>78138752.051108971</v>
      </c>
      <c r="AL75" s="22">
        <f>AL14*Constants!$H72*(1-Constants!$H90)</f>
        <v>78607961.843245953</v>
      </c>
      <c r="AM75" s="22">
        <f>AM14*Constants!$H72*(1-Constants!$H90)</f>
        <v>78836380.994340926</v>
      </c>
      <c r="AN75" s="22">
        <f>AN14*Constants!$H72*(1-Constants!$H90)</f>
        <v>79081893.078467518</v>
      </c>
      <c r="AO75" s="22">
        <f>AO14*Constants!$H72*(1-Constants!$H90)</f>
        <v>79347500.490892544</v>
      </c>
      <c r="AP75" s="22">
        <f>AP14*Constants!$H72*(1-Constants!$H90)</f>
        <v>79636119.528173193</v>
      </c>
      <c r="AQ75" s="22">
        <f>AQ14*Constants!$H72*(1-Constants!$H90)</f>
        <v>79942614.676131785</v>
      </c>
      <c r="AR75" s="22">
        <f>AR14*Constants!$H72*(1-Constants!$H90)</f>
        <v>80134222.51917538</v>
      </c>
      <c r="AS75" s="22">
        <f>AS14*Constants!$H72*(1-Constants!$H90)</f>
        <v>80341491.465716764</v>
      </c>
      <c r="AT75" s="22">
        <f>AT14*Constants!$H72*(1-Constants!$H90)</f>
        <v>80563202.476849928</v>
      </c>
      <c r="AU75" s="22">
        <f>AU14*Constants!$H72*(1-Constants!$H90)</f>
        <v>80804209.970299363</v>
      </c>
      <c r="AV75" s="22">
        <f>AV14*Constants!$H72*(1-Constants!$H90)</f>
        <v>81058962.092817634</v>
      </c>
      <c r="AW75" s="22">
        <f>AW14*Constants!$H72*(1-Constants!$H90)</f>
        <v>81224578.27776961</v>
      </c>
      <c r="AX75" s="22">
        <f>AX14*Constants!$H72*(1-Constants!$H90)</f>
        <v>81406982.728412464</v>
      </c>
      <c r="AY75" s="22">
        <f>AY14*Constants!$H72*(1-Constants!$H90)</f>
        <v>81603354.793619454</v>
      </c>
      <c r="AZ75" s="22">
        <f>AZ14*Constants!$H72*(1-Constants!$H90)</f>
        <v>81815807.74638994</v>
      </c>
      <c r="BA75" s="22">
        <f>BA14*Constants!$H72*(1-Constants!$H90)</f>
        <v>82031970.097911</v>
      </c>
      <c r="BB75" s="22">
        <f>BB14*Constants!$H72*(1-Constants!$H90)</f>
        <v>82159924.832333863</v>
      </c>
      <c r="BC75" s="22">
        <f>BC14*Constants!$H72*(1-Constants!$H90)</f>
        <v>82299961.386367485</v>
      </c>
      <c r="BD75" s="22">
        <f>BD14*Constants!$H72*(1-Constants!$H90)</f>
        <v>82448310.739589512</v>
      </c>
      <c r="BE75" s="22">
        <f>BE14*Constants!$H72*(1-Constants!$H90)</f>
        <v>82606918.377504572</v>
      </c>
      <c r="BF75" s="22">
        <f>BF14*Constants!$H72*(1-Constants!$H90)</f>
        <v>82774270.645124286</v>
      </c>
      <c r="BG75" s="22">
        <f>BG14*Constants!$H72*(1-Constants!$H90)</f>
        <v>82863507.456768915</v>
      </c>
      <c r="BH75" s="22">
        <f>BH14*Constants!$H72*(1-Constants!$H90)</f>
        <v>82959196.497178718</v>
      </c>
      <c r="BI75" s="22">
        <f>BI14*Constants!$H72*(1-Constants!$H90)</f>
        <v>83062813.923885345</v>
      </c>
      <c r="BJ75" s="22">
        <f>BJ14*Constants!$H72*(1-Constants!$H90)</f>
        <v>83174550.584144294</v>
      </c>
      <c r="BK75" s="22">
        <f>BK14*Constants!$H72*(1-Constants!$H90)</f>
        <v>83294332.709657624</v>
      </c>
      <c r="BL75" s="22">
        <f>BL14*Constants!$H72*(1-Constants!$H90)</f>
        <v>83335079.763438746</v>
      </c>
      <c r="BM75" s="22">
        <f>BM14*Constants!$H72*(1-Constants!$H90)</f>
        <v>83370450.041489005</v>
      </c>
      <c r="BN75" s="22">
        <f>BN14*Constants!$H72*(1-Constants!$H90)</f>
        <v>83411181.835621893</v>
      </c>
      <c r="BO75" s="22">
        <f>BO14*Constants!$H72*(1-Constants!$H90)</f>
        <v>83458325.273461476</v>
      </c>
      <c r="BP75" s="22">
        <f>BP14*Constants!$H72*(1-Constants!$H90)</f>
        <v>83511150.374936774</v>
      </c>
    </row>
    <row r="76" spans="1:68" x14ac:dyDescent="0.2">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12243954.503070904</v>
      </c>
      <c r="AF76" s="22">
        <f>AF15*Constants!$H73*(1-Constants!$H91)</f>
        <v>12333541.940265566</v>
      </c>
      <c r="AG76" s="22">
        <f>AG15*Constants!$H73*(1-Constants!$H91)</f>
        <v>12352693.798490599</v>
      </c>
      <c r="AH76" s="22">
        <f>AH15*Constants!$H73*(1-Constants!$H91)</f>
        <v>12325276.158381391</v>
      </c>
      <c r="AI76" s="22">
        <f>AI15*Constants!$H73*(1-Constants!$H91)</f>
        <v>12252292.423443839</v>
      </c>
      <c r="AJ76" s="22">
        <f>AJ15*Constants!$H73*(1-Constants!$H91)</f>
        <v>12211826.078492031</v>
      </c>
      <c r="AK76" s="22">
        <f>AK15*Constants!$H73*(1-Constants!$H91)</f>
        <v>12175458.752937714</v>
      </c>
      <c r="AL76" s="22">
        <f>AL15*Constants!$H73*(1-Constants!$H91)</f>
        <v>11530894.473081894</v>
      </c>
      <c r="AM76" s="22">
        <f>AM15*Constants!$H73*(1-Constants!$H91)</f>
        <v>11691440.120139277</v>
      </c>
      <c r="AN76" s="22">
        <f>AN15*Constants!$H73*(1-Constants!$H91)</f>
        <v>11799817.178527689</v>
      </c>
      <c r="AO76" s="22">
        <f>AO15*Constants!$H73*(1-Constants!$H91)</f>
        <v>11894009.788953485</v>
      </c>
      <c r="AP76" s="22">
        <f>AP15*Constants!$H73*(1-Constants!$H91)</f>
        <v>12009357.062937154</v>
      </c>
      <c r="AQ76" s="22">
        <f>AQ15*Constants!$H73*(1-Constants!$H91)</f>
        <v>12111817.651020631</v>
      </c>
      <c r="AR76" s="22">
        <f>AR15*Constants!$H73*(1-Constants!$H91)</f>
        <v>12206189.808059853</v>
      </c>
      <c r="AS76" s="22">
        <f>AS15*Constants!$H73*(1-Constants!$H91)</f>
        <v>12292441.797141798</v>
      </c>
      <c r="AT76" s="22">
        <f>AT15*Constants!$H73*(1-Constants!$H91)</f>
        <v>12367611.25888158</v>
      </c>
      <c r="AU76" s="22">
        <f>AU15*Constants!$H73*(1-Constants!$H91)</f>
        <v>12478537.556143736</v>
      </c>
      <c r="AV76" s="22">
        <f>AV15*Constants!$H73*(1-Constants!$H91)</f>
        <v>12584614.891000433</v>
      </c>
      <c r="AW76" s="22">
        <f>AW15*Constants!$H73*(1-Constants!$H91)</f>
        <v>12714148.887689697</v>
      </c>
      <c r="AX76" s="22">
        <f>AX15*Constants!$H73*(1-Constants!$H91)</f>
        <v>12878599.545601591</v>
      </c>
      <c r="AY76" s="22">
        <f>AY15*Constants!$H73*(1-Constants!$H91)</f>
        <v>13059081.557105292</v>
      </c>
      <c r="AZ76" s="22">
        <f>AZ15*Constants!$H73*(1-Constants!$H91)</f>
        <v>13277005.427032374</v>
      </c>
      <c r="BA76" s="22">
        <f>BA15*Constants!$H73*(1-Constants!$H91)</f>
        <v>13434412.48571449</v>
      </c>
      <c r="BB76" s="22">
        <f>BB15*Constants!$H73*(1-Constants!$H91)</f>
        <v>13592676.06332026</v>
      </c>
      <c r="BC76" s="22">
        <f>BC15*Constants!$H73*(1-Constants!$H91)</f>
        <v>13769633.04006782</v>
      </c>
      <c r="BD76" s="22">
        <f>BD15*Constants!$H73*(1-Constants!$H91)</f>
        <v>13937596.08512122</v>
      </c>
      <c r="BE76" s="22">
        <f>BE15*Constants!$H73*(1-Constants!$H91)</f>
        <v>14115387.305942642</v>
      </c>
      <c r="BF76" s="22">
        <f>BF15*Constants!$H73*(1-Constants!$H91)</f>
        <v>14293329.280025233</v>
      </c>
      <c r="BG76" s="22">
        <f>BG15*Constants!$H73*(1-Constants!$H91)</f>
        <v>14511019.172336299</v>
      </c>
      <c r="BH76" s="22">
        <f>BH15*Constants!$H73*(1-Constants!$H91)</f>
        <v>14717422.465515371</v>
      </c>
      <c r="BI76" s="22">
        <f>BI15*Constants!$H73*(1-Constants!$H91)</f>
        <v>14926879.784275431</v>
      </c>
      <c r="BJ76" s="22">
        <f>BJ15*Constants!$H73*(1-Constants!$H91)</f>
        <v>15143095.910392791</v>
      </c>
      <c r="BK76" s="22">
        <f>BK15*Constants!$H73*(1-Constants!$H91)</f>
        <v>15367467.502018906</v>
      </c>
      <c r="BL76" s="22">
        <f>BL15*Constants!$H73*(1-Constants!$H91)</f>
        <v>15639280.621768335</v>
      </c>
      <c r="BM76" s="22">
        <f>BM15*Constants!$H73*(1-Constants!$H91)</f>
        <v>15815708.870655632</v>
      </c>
      <c r="BN76" s="22">
        <f>BN15*Constants!$H73*(1-Constants!$H91)</f>
        <v>15985554.877888378</v>
      </c>
      <c r="BO76" s="22">
        <f>BO15*Constants!$H73*(1-Constants!$H91)</f>
        <v>16159030.844090464</v>
      </c>
      <c r="BP76" s="22">
        <f>BP15*Constants!$H73*(1-Constants!$H91)</f>
        <v>16331831.282176627</v>
      </c>
    </row>
    <row r="77" spans="1:68" x14ac:dyDescent="0.2">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101085866.44910184</v>
      </c>
      <c r="AN82" s="22">
        <f>((AN41*Constants!$H$45*Constants!$H$48)*(1+Constants!$H$51))*Constants!$H$54*Constants!$H$42*Constants!$H$57*Constants!$H$58*ttokg</f>
        <v>101613982.47834931</v>
      </c>
      <c r="AO82" s="22">
        <f>((AO41*Constants!$H$45*Constants!$H$48)*(1+Constants!$H$51))*Constants!$H$54*Constants!$H$42*Constants!$H$57*Constants!$H$58*ttokg</f>
        <v>102027354.26111871</v>
      </c>
      <c r="AP82" s="22">
        <f>((AP41*Constants!$H$45*Constants!$H$48)*(1+Constants!$H$51))*Constants!$H$54*Constants!$H$42*Constants!$H$57*Constants!$H$58*ttokg</f>
        <v>102410009.35691056</v>
      </c>
      <c r="AQ82" s="22">
        <f>((AQ41*Constants!$H$45*Constants!$H$48)*(1+Constants!$H$51))*Constants!$H$54*Constants!$H$42*Constants!$H$57*Constants!$H$58*ttokg</f>
        <v>102837736.07989646</v>
      </c>
      <c r="AR82" s="22">
        <f>((AR41*Constants!$H$45*Constants!$H$48)*(1+Constants!$H$51))*Constants!$H$54*Constants!$H$42*Constants!$H$57*Constants!$H$58*ttokg</f>
        <v>103237677.79849203</v>
      </c>
      <c r="AS82" s="22">
        <f>((AS41*Constants!$H$45*Constants!$H$48)*(1+Constants!$H$51))*Constants!$H$54*Constants!$H$42*Constants!$H$57*Constants!$H$58*ttokg</f>
        <v>103593839.85569745</v>
      </c>
      <c r="AT82" s="22">
        <f>((AT41*Constants!$H$45*Constants!$H$48)*(1+Constants!$H$51))*Constants!$H$54*Constants!$H$42*Constants!$H$57*Constants!$H$58*ttokg</f>
        <v>103932742.60468498</v>
      </c>
      <c r="AU82" s="22">
        <f>((AU41*Constants!$H$45*Constants!$H$48)*(1+Constants!$H$51))*Constants!$H$54*Constants!$H$42*Constants!$H$57*Constants!$H$58*ttokg</f>
        <v>104248509.90320137</v>
      </c>
      <c r="AV82" s="22">
        <f>((AV41*Constants!$H$45*Constants!$H$48)*(1+Constants!$H$51))*Constants!$H$54*Constants!$H$42*Constants!$H$57*Constants!$H$58*ttokg</f>
        <v>104638200.08052093</v>
      </c>
      <c r="AW82" s="22">
        <f>((AW41*Constants!$H$45*Constants!$H$48)*(1+Constants!$H$51))*Constants!$H$54*Constants!$H$42*Constants!$H$57*Constants!$H$58*ttokg</f>
        <v>105017152.31320129</v>
      </c>
      <c r="AX82" s="22">
        <f>((AX41*Constants!$H$45*Constants!$H$48)*(1+Constants!$H$51))*Constants!$H$54*Constants!$H$42*Constants!$H$57*Constants!$H$58*ttokg</f>
        <v>105421448.2232869</v>
      </c>
      <c r="AY82" s="22">
        <f>((AY41*Constants!$H$45*Constants!$H$48)*(1+Constants!$H$51))*Constants!$H$54*Constants!$H$42*Constants!$H$57*Constants!$H$58*ttokg</f>
        <v>105893959.41744839</v>
      </c>
      <c r="AZ82" s="22">
        <f>((AZ41*Constants!$H$45*Constants!$H$48)*(1+Constants!$H$51))*Constants!$H$54*Constants!$H$42*Constants!$H$57*Constants!$H$58*ttokg</f>
        <v>106394839.95068327</v>
      </c>
      <c r="BA82" s="22">
        <f>((BA41*Constants!$H$45*Constants!$H$48)*(1+Constants!$H$51))*Constants!$H$54*Constants!$H$42*Constants!$H$57*Constants!$H$58*ttokg</f>
        <v>106964367.53212632</v>
      </c>
      <c r="BB82" s="22">
        <f>((BB41*Constants!$H$45*Constants!$H$48)*(1+Constants!$H$51))*Constants!$H$54*Constants!$H$42*Constants!$H$57*Constants!$H$58*ttokg</f>
        <v>107412157.92924675</v>
      </c>
      <c r="BC82" s="22">
        <f>((BC41*Constants!$H$45*Constants!$H$48)*(1+Constants!$H$51))*Constants!$H$54*Constants!$H$42*Constants!$H$57*Constants!$H$58*ttokg</f>
        <v>107838229.27801409</v>
      </c>
      <c r="BD82" s="22">
        <f>((BD41*Constants!$H$45*Constants!$H$48)*(1+Constants!$H$51))*Constants!$H$54*Constants!$H$42*Constants!$H$57*Constants!$H$58*ttokg</f>
        <v>108296326.98739994</v>
      </c>
      <c r="BE82" s="22">
        <f>((BE41*Constants!$H$45*Constants!$H$48)*(1+Constants!$H$51))*Constants!$H$54*Constants!$H$42*Constants!$H$57*Constants!$H$58*ttokg</f>
        <v>108734146.83092308</v>
      </c>
      <c r="BF82" s="22">
        <f>((BF41*Constants!$H$45*Constants!$H$48)*(1+Constants!$H$51))*Constants!$H$54*Constants!$H$42*Constants!$H$57*Constants!$H$58*ttokg</f>
        <v>109186662.25071469</v>
      </c>
      <c r="BG82" s="22">
        <f>((BG41*Constants!$H$45*Constants!$H$48)*(1+Constants!$H$51))*Constants!$H$54*Constants!$H$42*Constants!$H$57*Constants!$H$58*ttokg</f>
        <v>109635880.23782983</v>
      </c>
      <c r="BH82" s="22">
        <f>((BH41*Constants!$H$45*Constants!$H$48)*(1+Constants!$H$51))*Constants!$H$54*Constants!$H$42*Constants!$H$57*Constants!$H$58*ttokg</f>
        <v>110132494.03760129</v>
      </c>
      <c r="BI82" s="22">
        <f>((BI41*Constants!$H$45*Constants!$H$48)*(1+Constants!$H$51))*Constants!$H$54*Constants!$H$42*Constants!$H$57*Constants!$H$58*ttokg</f>
        <v>110603857.82776785</v>
      </c>
      <c r="BJ82" s="22">
        <f>((BJ41*Constants!$H$45*Constants!$H$48)*(1+Constants!$H$51))*Constants!$H$54*Constants!$H$42*Constants!$H$57*Constants!$H$58*ttokg</f>
        <v>111075607.78636846</v>
      </c>
      <c r="BK82" s="22">
        <f>((BK41*Constants!$H$45*Constants!$H$48)*(1+Constants!$H$51))*Constants!$H$54*Constants!$H$42*Constants!$H$57*Constants!$H$58*ttokg</f>
        <v>111553901.54070519</v>
      </c>
      <c r="BL82" s="22">
        <f>((BL41*Constants!$H$45*Constants!$H$48)*(1+Constants!$H$51))*Constants!$H$54*Constants!$H$42*Constants!$H$57*Constants!$H$58*ttokg</f>
        <v>112040679.94301893</v>
      </c>
      <c r="BM82" s="22">
        <f>((BM41*Constants!$H$45*Constants!$H$48)*(1+Constants!$H$51))*Constants!$H$54*Constants!$H$42*Constants!$H$57*Constants!$H$58*ttokg</f>
        <v>112579640.3266021</v>
      </c>
      <c r="BN82" s="22">
        <f>((BN41*Constants!$H$45*Constants!$H$48)*(1+Constants!$H$51))*Constants!$H$54*Constants!$H$42*Constants!$H$57*Constants!$H$58*ttokg</f>
        <v>112957630.88019344</v>
      </c>
      <c r="BO82" s="22">
        <f>((BO41*Constants!$H$45*Constants!$H$48)*(1+Constants!$H$51))*Constants!$H$54*Constants!$H$42*Constants!$H$57*Constants!$H$58*ttokg</f>
        <v>113322085.9543971</v>
      </c>
      <c r="BP82" s="22">
        <f>((BP41*Constants!$H$45*Constants!$H$48)*(1+Constants!$H$51))*Constants!$H$54*Constants!$H$42*Constants!$H$57*Constants!$H$58*ttokg</f>
        <v>113689495.44081658</v>
      </c>
    </row>
    <row r="83" spans="1:72" x14ac:dyDescent="0.2">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188915786.69683638</v>
      </c>
      <c r="AN85" s="22">
        <f>SUM(AN82:AN84)/Constants!$H$41</f>
        <v>189795980.07891554</v>
      </c>
      <c r="AO85" s="22">
        <f>SUM(AO82:AO84)/Constants!$H$41</f>
        <v>190484933.05019784</v>
      </c>
      <c r="AP85" s="22">
        <f>SUM(AP82:AP84)/Constants!$H$41</f>
        <v>191122691.54318425</v>
      </c>
      <c r="AQ85" s="22">
        <f>SUM(AQ82:AQ84)/Constants!$H$41</f>
        <v>191835569.41482747</v>
      </c>
      <c r="AR85" s="22">
        <f>SUM(AR82:AR84)/Constants!$H$41</f>
        <v>192502138.94582006</v>
      </c>
      <c r="AS85" s="22">
        <f>SUM(AS82:AS84)/Constants!$H$41</f>
        <v>193095742.37449574</v>
      </c>
      <c r="AT85" s="22">
        <f>SUM(AT82:AT84)/Constants!$H$41</f>
        <v>193660580.28947496</v>
      </c>
      <c r="AU85" s="22">
        <f>SUM(AU82:AU84)/Constants!$H$41</f>
        <v>194186859.12033561</v>
      </c>
      <c r="AV85" s="22">
        <f>SUM(AV82:AV84)/Constants!$H$41</f>
        <v>194836342.74920154</v>
      </c>
      <c r="AW85" s="22">
        <f>SUM(AW82:AW84)/Constants!$H$41</f>
        <v>195467929.80366883</v>
      </c>
      <c r="AX85" s="22">
        <f>SUM(AX82:AX84)/Constants!$H$41</f>
        <v>196141756.32047814</v>
      </c>
      <c r="AY85" s="22">
        <f>SUM(AY82:AY84)/Constants!$H$41</f>
        <v>196929274.97741398</v>
      </c>
      <c r="AZ85" s="22">
        <f>SUM(AZ82:AZ84)/Constants!$H$41</f>
        <v>197764075.86613876</v>
      </c>
      <c r="BA85" s="22">
        <f>SUM(BA82:BA84)/Constants!$H$41</f>
        <v>198713288.50187722</v>
      </c>
      <c r="BB85" s="22">
        <f>SUM(BB82:BB84)/Constants!$H$41</f>
        <v>199459605.83041126</v>
      </c>
      <c r="BC85" s="22">
        <f>SUM(BC82:BC84)/Constants!$H$41</f>
        <v>200169724.74502349</v>
      </c>
      <c r="BD85" s="22">
        <f>SUM(BD82:BD84)/Constants!$H$41</f>
        <v>200933220.92733321</v>
      </c>
      <c r="BE85" s="22">
        <f>SUM(BE82:BE84)/Constants!$H$41</f>
        <v>201662920.66653845</v>
      </c>
      <c r="BF85" s="22">
        <f>SUM(BF82:BF84)/Constants!$H$41</f>
        <v>202417113.03285781</v>
      </c>
      <c r="BG85" s="22">
        <f>SUM(BG82:BG84)/Constants!$H$41</f>
        <v>203165809.67804971</v>
      </c>
      <c r="BH85" s="22">
        <f>SUM(BH82:BH84)/Constants!$H$41</f>
        <v>203993499.34433547</v>
      </c>
      <c r="BI85" s="22">
        <f>SUM(BI82:BI84)/Constants!$H$41</f>
        <v>204779105.66127974</v>
      </c>
      <c r="BJ85" s="22">
        <f>SUM(BJ82:BJ84)/Constants!$H$41</f>
        <v>205565355.59228075</v>
      </c>
      <c r="BK85" s="22">
        <f>SUM(BK82:BK84)/Constants!$H$41</f>
        <v>206362511.84950867</v>
      </c>
      <c r="BL85" s="22">
        <f>SUM(BL82:BL84)/Constants!$H$41</f>
        <v>207173809.18669823</v>
      </c>
      <c r="BM85" s="22">
        <f>SUM(BM82:BM84)/Constants!$H$41</f>
        <v>208072076.49267015</v>
      </c>
      <c r="BN85" s="22">
        <f>SUM(BN82:BN84)/Constants!$H$41</f>
        <v>208702060.74865574</v>
      </c>
      <c r="BO85" s="22">
        <f>SUM(BO82:BO84)/Constants!$H$41</f>
        <v>209309485.87232852</v>
      </c>
      <c r="BP85" s="22">
        <f>SUM(BP82:BP84)/Constants!$H$41</f>
        <v>209921835.01636097</v>
      </c>
    </row>
    <row r="86" spans="1:72" ht="18.75" customHeight="1" x14ac:dyDescent="0.2">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2">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2">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2">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2">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2">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2">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2">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2">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2">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2">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2">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2">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2">
      <c r="AB99" s="11"/>
    </row>
    <row r="100" spans="1:69" x14ac:dyDescent="0.2">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baseColWidth="10" defaultColWidth="8.83203125" defaultRowHeight="15" x14ac:dyDescent="0.2"/>
  <cols>
    <col min="1" max="1" width="29.5" customWidth="1"/>
    <col min="2" max="2" width="12.83203125" customWidth="1"/>
    <col min="3" max="29" width="12.6640625" customWidth="1"/>
    <col min="30" max="30" width="13.83203125" customWidth="1"/>
    <col min="31" max="33" width="12.6640625" customWidth="1"/>
    <col min="34" max="35" width="11.5" customWidth="1"/>
    <col min="36" max="36" width="11.33203125" customWidth="1"/>
    <col min="37" max="63" width="11.5" bestFit="1" customWidth="1"/>
    <col min="64" max="64" width="12.1640625" customWidth="1"/>
  </cols>
  <sheetData>
    <row r="1" spans="1:67" ht="19" x14ac:dyDescent="0.25">
      <c r="A1" s="1" t="s">
        <v>326</v>
      </c>
      <c r="Y1" s="104" t="str">
        <f>IF(AND('Net zero activities &amp; levers'!$C$8="Off",'Net zero activities &amp; levers'!$C$7="Off"),"Off",IF(AND('Net zero activities &amp; levers'!$C$8="On",'Net zero activities &amp; levers'!$C$7="Off"),"PQ",IF(AND('Net zero activities &amp; levers'!$C$8="Off",'Net zero activities &amp; levers'!$C$7="On"),"GS","PQGS")))</f>
        <v>PQGS</v>
      </c>
      <c r="AF1" s="11"/>
    </row>
    <row r="2" spans="1:67" x14ac:dyDescent="0.2">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2">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2">
      <c r="A4" t="s">
        <v>807</v>
      </c>
      <c r="B4" t="s">
        <v>808</v>
      </c>
      <c r="C4" s="22">
        <f>(Drivers!D5*1000000)/Drivers!D4</f>
        <v>53.622810793906829</v>
      </c>
      <c r="D4" s="22">
        <f>(Drivers!E5*1000000)/Drivers!E4</f>
        <v>53.886630809268532</v>
      </c>
      <c r="E4" s="22">
        <f>(Drivers!F5*1000000)/Drivers!F4</f>
        <v>54.134533706459393</v>
      </c>
      <c r="F4" s="22">
        <f>(Drivers!G5*1000000)/Drivers!G4</f>
        <v>54.406389846353214</v>
      </c>
      <c r="G4" s="22">
        <f>(Drivers!H5*1000000)/Drivers!H4</f>
        <v>54.753374931736715</v>
      </c>
      <c r="H4" s="22">
        <f>(Drivers!I5*1000000)/Drivers!I4</f>
        <v>55.209553668970941</v>
      </c>
      <c r="I4" s="22">
        <f>(Drivers!J5*1000000)/Drivers!J4</f>
        <v>56.431674723181764</v>
      </c>
      <c r="J4" s="22">
        <f>(Drivers!K5*1000000)/Drivers!K4</f>
        <v>56.893520613867651</v>
      </c>
      <c r="K4" s="22">
        <f>(Drivers!L5*1000000)/Drivers!L4</f>
        <v>56.380506744182213</v>
      </c>
      <c r="L4" s="22">
        <f>(Drivers!M5*1000000)/Drivers!M4</f>
        <v>57.045724513398213</v>
      </c>
      <c r="M4" s="22">
        <f>(Drivers!N5*1000000)/Drivers!N4</f>
        <v>58.722463215443696</v>
      </c>
      <c r="N4" s="22">
        <f>(Drivers!O5*1000000)/Drivers!O4</f>
        <v>59.625113875492801</v>
      </c>
      <c r="O4" s="22">
        <f>(Drivers!P5*1000000)/Drivers!P4</f>
        <v>61.113788430182993</v>
      </c>
      <c r="P4" s="22">
        <f>(Drivers!Q5*1000000)/Drivers!Q4</f>
        <v>62.170337979533471</v>
      </c>
      <c r="Q4" s="22">
        <f>(Drivers!R5*1000000)/Drivers!R4</f>
        <v>64.180209010666076</v>
      </c>
      <c r="R4" s="22">
        <f>(Drivers!S5*1000000)/Drivers!S4</f>
        <v>66.758299397044382</v>
      </c>
      <c r="S4" s="22">
        <f>(Drivers!T5*1000000)/Drivers!T4</f>
        <v>69.562904957948831</v>
      </c>
      <c r="T4" s="22">
        <f>(Drivers!U5*1000000)/Drivers!U4</f>
        <v>72.505988712433634</v>
      </c>
      <c r="U4" s="22">
        <f>(Drivers!V5*1000000)/Drivers!V4</f>
        <v>74.236547378686069</v>
      </c>
      <c r="V4" s="22">
        <f>(Drivers!W5*1000000)/Drivers!W4</f>
        <v>72.227995799185251</v>
      </c>
      <c r="W4" s="22">
        <f>(Drivers!X5*1000000)/Drivers!X4</f>
        <v>73.376760198385327</v>
      </c>
      <c r="X4" s="22">
        <f>(Drivers!Y5*1000000)/Drivers!Y4</f>
        <v>74.745825380001122</v>
      </c>
      <c r="Y4" s="22">
        <f>(Drivers!Z5*1000000)/Drivers!Z4</f>
        <v>76.098573381601653</v>
      </c>
      <c r="Z4" s="22">
        <f>(Drivers!AA5*1000000)/Drivers!AA4</f>
        <v>76.641958163342665</v>
      </c>
      <c r="AA4" s="22">
        <f>(Drivers!AB5*1000000)/Drivers!AB4</f>
        <v>77.466559353366392</v>
      </c>
      <c r="AB4" s="22">
        <f>(Drivers!AC5*1000000)/Drivers!AC4</f>
        <v>77.64284126942583</v>
      </c>
      <c r="AC4" s="22">
        <f>(Drivers!AD5*1000000)/Drivers!AD4</f>
        <v>77.390477552261203</v>
      </c>
      <c r="AD4" s="22">
        <f>(Drivers!AE5*1000000)/Drivers!AE4</f>
        <v>76.718703958033785</v>
      </c>
      <c r="AE4" s="22">
        <f>(Drivers!AF5*1000000)/Drivers!AF4</f>
        <v>76.346234365777605</v>
      </c>
      <c r="AF4" s="22">
        <f>(Drivers!AG5*1000000)/Drivers!AG4</f>
        <v>76.011493905852305</v>
      </c>
      <c r="AG4" s="22">
        <f>(Drivers!AH5*1000000)/Drivers!AH4</f>
        <v>70.078647863376531</v>
      </c>
      <c r="AH4" s="22">
        <f>(Drivers!AI5*1000000)/Drivers!AI4</f>
        <v>71.556378846226139</v>
      </c>
      <c r="AI4" s="22">
        <f>(Drivers!AJ5*1000000)/Drivers!AJ4</f>
        <v>72.553927767334045</v>
      </c>
      <c r="AJ4" s="22">
        <f>(Drivers!AK5*1000000)/Drivers!AK4</f>
        <v>73.420916946629177</v>
      </c>
      <c r="AK4" s="22">
        <f>(Drivers!AL5*1000000)/Drivers!AL4</f>
        <v>74.482622721136963</v>
      </c>
      <c r="AL4" s="22">
        <f>(Drivers!AM5*1000000)/Drivers!AM4</f>
        <v>75.425713912378214</v>
      </c>
      <c r="AM4" s="22">
        <f>(Drivers!AN5*1000000)/Drivers!AN4</f>
        <v>76.294355715698899</v>
      </c>
      <c r="AN4" s="22">
        <f>(Drivers!AO5*1000000)/Drivers!AO4</f>
        <v>77.088256010941691</v>
      </c>
      <c r="AO4" s="22">
        <f>(Drivers!AP5*1000000)/Drivers!AP4</f>
        <v>77.780147971969456</v>
      </c>
      <c r="AP4" s="22">
        <f>(Drivers!AQ5*1000000)/Drivers!AQ4</f>
        <v>78.801161180870025</v>
      </c>
      <c r="AQ4" s="22">
        <f>(Drivers!AR5*1000000)/Drivers!AR4</f>
        <v>79.777542460393789</v>
      </c>
      <c r="AR4" s="22">
        <f>(Drivers!AS5*1000000)/Drivers!AS4</f>
        <v>80.969828914424198</v>
      </c>
      <c r="AS4" s="22">
        <f>(Drivers!AT5*1000000)/Drivers!AT4</f>
        <v>82.483503291777808</v>
      </c>
      <c r="AT4" s="22">
        <f>(Drivers!AU5*1000000)/Drivers!AU4</f>
        <v>84.144737122370017</v>
      </c>
      <c r="AU4" s="22">
        <f>(Drivers!AV5*1000000)/Drivers!AV4</f>
        <v>86.150601874209968</v>
      </c>
      <c r="AV4" s="22">
        <f>(Drivers!AW5*1000000)/Drivers!AW4</f>
        <v>87.599443943722164</v>
      </c>
      <c r="AW4" s="22">
        <f>(Drivers!AX5*1000000)/Drivers!AX4</f>
        <v>89.056169780711599</v>
      </c>
      <c r="AX4" s="22">
        <f>(Drivers!AY5*1000000)/Drivers!AY4</f>
        <v>90.684957679755698</v>
      </c>
      <c r="AY4" s="22">
        <f>(Drivers!AZ5*1000000)/Drivers!AZ4</f>
        <v>92.230961574588576</v>
      </c>
      <c r="AZ4" s="22">
        <f>(Drivers!BA5*1000000)/Drivers!BA4</f>
        <v>93.867428213840199</v>
      </c>
      <c r="BA4" s="22">
        <f>(Drivers!BB5*1000000)/Drivers!BB4</f>
        <v>95.505282450755701</v>
      </c>
      <c r="BB4" s="22">
        <f>(Drivers!BC5*1000000)/Drivers!BC4</f>
        <v>97.508993572280431</v>
      </c>
      <c r="BC4" s="22">
        <f>(Drivers!BD5*1000000)/Drivers!BD4</f>
        <v>99.408817995323759</v>
      </c>
      <c r="BD4" s="22">
        <f>(Drivers!BE5*1000000)/Drivers!BE4</f>
        <v>101.33675297948265</v>
      </c>
      <c r="BE4" s="22">
        <f>(Drivers!BF5*1000000)/Drivers!BF4</f>
        <v>103.32689892496035</v>
      </c>
      <c r="BF4" s="22">
        <f>(Drivers!BG5*1000000)/Drivers!BG4</f>
        <v>105.39211127231653</v>
      </c>
      <c r="BG4" s="22">
        <f>(Drivers!BH5*1000000)/Drivers!BH4</f>
        <v>107.89399578903085</v>
      </c>
      <c r="BH4" s="22">
        <f>(Drivers!BI5*1000000)/Drivers!BI4</f>
        <v>109.51791705011296</v>
      </c>
      <c r="BI4" s="22">
        <f>(Drivers!BJ5*1000000)/Drivers!BJ4</f>
        <v>111.08125253632154</v>
      </c>
      <c r="BJ4" s="22">
        <f>(Drivers!BK5*1000000)/Drivers!BK4</f>
        <v>112.67799972153159</v>
      </c>
      <c r="BK4" s="22">
        <f>(Drivers!BL5*1000000)/Drivers!BL4</f>
        <v>114.26852905627365</v>
      </c>
      <c r="BL4">
        <v>89.344659551365254</v>
      </c>
    </row>
    <row r="5" spans="1:67" s="79" customFormat="1" x14ac:dyDescent="0.2">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920446.2624380854</v>
      </c>
      <c r="Z5" s="93">
        <f>IF('Net zero activities &amp; levers'!$C$12="Off",((Data!$AJ$5*'Intermediate calculations'!Z4)+Data!$AK$5)*Drivers!AA4,'Net zero supporting data'!C205)</f>
        <v>941691.58339834912</v>
      </c>
      <c r="AA5" s="93">
        <f>IF('Net zero activities &amp; levers'!$C$12="Off",((Data!$AJ$5*'Intermediate calculations'!AA4)+Data!$AK$5)*Drivers!AB4,'Net zero supporting data'!D205)</f>
        <v>967640.07013586559</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997182.14033234748</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949959.7348579329</v>
      </c>
      <c r="AH5" s="93">
        <f>IF('Net zero activities &amp; levers'!$C$12="Off",((Data!$AJ$5*'Intermediate calculations'!AH4)+Data!$AK$5)*Drivers!AI4,'Net zero supporting data'!K205)</f>
        <v>984070.95457609126</v>
      </c>
      <c r="AI5" s="93">
        <f>IF('Net zero activities &amp; levers'!$C$12="Off",((Data!$AJ$5*'Intermediate calculations'!AI4)+Data!$AK$5)*Drivers!AJ4,'Net zero supporting data'!L205)</f>
        <v>1011225.0210395671</v>
      </c>
      <c r="AJ5" s="93">
        <f>IF('Net zero activities &amp; levers'!$C$12="Off",((Data!$AJ$5*'Intermediate calculations'!AJ4)+Data!$AK$5)*Drivers!AK4,'Net zero supporting data'!M205)</f>
        <v>1036779.1282906962</v>
      </c>
      <c r="AK5" s="93">
        <f>IF('Net zero activities &amp; levers'!$C$12="Off",((Data!$AJ$5*'Intermediate calculations'!AK4)+Data!$AK$5)*Drivers!AL4,'Net zero supporting data'!N205)</f>
        <v>1065947.8059346841</v>
      </c>
      <c r="AL5" s="93">
        <f>IF('Net zero activities &amp; levers'!$C$12="Off",((Data!$AJ$5*'Intermediate calculations'!AL4)+Data!$AK$5)*Drivers!AM4,'Net zero supporting data'!O205)</f>
        <v>1093703.5089350778</v>
      </c>
      <c r="AM5" s="93">
        <f>IF('Net zero activities &amp; levers'!$C$12="Off",((Data!$AJ$5*'Intermediate calculations'!AM4)+Data!$AK$5)*Drivers!AN4,'Net zero supporting data'!P205)</f>
        <v>1118873.0171472225</v>
      </c>
      <c r="AN5" s="93">
        <f>IF('Net zero activities &amp; levers'!$C$12="Off",((Data!$AJ$5*'Intermediate calculations'!AN4)+Data!$AK$5)*Drivers!AO4,'Net zero supporting data'!Q205)</f>
        <v>1143180.877373751</v>
      </c>
      <c r="AO5" s="93">
        <f>IF('Net zero activities &amp; levers'!$C$12="Off",((Data!$AJ$5*'Intermediate calculations'!AO4)+Data!$AK$5)*Drivers!AP4,'Net zero supporting data'!R205)</f>
        <v>1166134.3831779684</v>
      </c>
      <c r="AP5" s="93">
        <f>IF('Net zero activities &amp; levers'!$C$12="Off",((Data!$AJ$5*'Intermediate calculations'!AP4)+Data!$AK$5)*Drivers!AQ4,'Net zero supporting data'!S205)</f>
        <v>1195048.0388530286</v>
      </c>
      <c r="AQ5" s="93">
        <f>IF('Net zero activities &amp; levers'!$C$12="Off",((Data!$AJ$5*'Intermediate calculations'!AQ4)+Data!$AK$5)*Drivers!AR4,'Net zero supporting data'!T205)</f>
        <v>1223648.5414894817</v>
      </c>
      <c r="AR5" s="93">
        <f>IF('Net zero activities &amp; levers'!$C$12="Off",((Data!$AJ$5*'Intermediate calculations'!AR4)+Data!$AK$5)*Drivers!AS4,'Net zero supporting data'!U205)</f>
        <v>1254822.806808339</v>
      </c>
      <c r="AS5" s="93">
        <f>IF('Net zero activities &amp; levers'!$C$12="Off",((Data!$AJ$5*'Intermediate calculations'!AS4)+Data!$AK$5)*Drivers!AT4,'Net zero supporting data'!V205)</f>
        <v>1292075.9900160297</v>
      </c>
      <c r="AT5" s="93">
        <f>IF('Net zero activities &amp; levers'!$C$12="Off",((Data!$AJ$5*'Intermediate calculations'!AT4)+Data!$AK$5)*Drivers!AU4,'Net zero supporting data'!W205)</f>
        <v>1332483.3615682092</v>
      </c>
      <c r="AU5" s="93">
        <f>IF('Net zero activities &amp; levers'!$C$12="Off",((Data!$AJ$5*'Intermediate calculations'!AU4)+Data!$AK$5)*Drivers!AV4,'Net zero supporting data'!X205)</f>
        <v>1379633.4526047797</v>
      </c>
      <c r="AV5" s="93">
        <f>IF('Net zero activities &amp; levers'!$C$12="Off",((Data!$AJ$5*'Intermediate calculations'!AV4)+Data!$AK$5)*Drivers!AW4,'Net zero supporting data'!Y205)</f>
        <v>1417470.9526008083</v>
      </c>
      <c r="AW5" s="93">
        <f>IF('Net zero activities &amp; levers'!$C$12="Off",((Data!$AJ$5*'Intermediate calculations'!AW4)+Data!$AK$5)*Drivers!AX4,'Net zero supporting data'!Z205)</f>
        <v>1454245.4862434531</v>
      </c>
      <c r="AX5" s="93">
        <f>IF('Net zero activities &amp; levers'!$C$12="Off",((Data!$AJ$5*'Intermediate calculations'!AX4)+Data!$AK$5)*Drivers!AY4,'Net zero supporting data'!AA205)</f>
        <v>1494623.2338533446</v>
      </c>
      <c r="AY5" s="93">
        <f>IF('Net zero activities &amp; levers'!$C$12="Off",((Data!$AJ$5*'Intermediate calculations'!AY4)+Data!$AK$5)*Drivers!AZ4,'Net zero supporting data'!AB205)</f>
        <v>1533992.1023463469</v>
      </c>
      <c r="AZ5" s="93">
        <f>IF('Net zero activities &amp; levers'!$C$12="Off",((Data!$AJ$5*'Intermediate calculations'!AZ4)+Data!$AK$5)*Drivers!BA4,'Net zero supporting data'!AC205)</f>
        <v>1575532.8346963918</v>
      </c>
      <c r="BA5" s="93">
        <f>IF('Net zero activities &amp; levers'!$C$12="Off",((Data!$AJ$5*'Intermediate calculations'!BA4)+Data!$AK$5)*Drivers!BB4,'Net zero supporting data'!AD205)</f>
        <v>1617625.4873148764</v>
      </c>
      <c r="BB5" s="93">
        <f>IF('Net zero activities &amp; levers'!$C$12="Off",((Data!$AJ$5*'Intermediate calculations'!BB4)+Data!$AK$5)*Drivers!BC4,'Net zero supporting data'!AE205)</f>
        <v>1665288.4637536379</v>
      </c>
      <c r="BC5" s="93">
        <f>IF('Net zero activities &amp; levers'!$C$12="Off",((Data!$AJ$5*'Intermediate calculations'!BC4)+Data!$AK$5)*Drivers!BD4,'Net zero supporting data'!AF205)</f>
        <v>1711518.7058289871</v>
      </c>
      <c r="BD5" s="93">
        <f>IF('Net zero activities &amp; levers'!$C$12="Off",((Data!$AJ$5*'Intermediate calculations'!BD4)+Data!$AK$5)*Drivers!BE4,'Net zero supporting data'!AG205)</f>
        <v>1758793.2740228956</v>
      </c>
      <c r="BE5" s="93">
        <f>IF('Net zero activities &amp; levers'!$C$12="Off",((Data!$AJ$5*'Intermediate calculations'!BE4)+Data!$AK$5)*Drivers!BF4,'Net zero supporting data'!AH205)</f>
        <v>1807778.8511525053</v>
      </c>
      <c r="BF5" s="93">
        <f>IF('Net zero activities &amp; levers'!$C$12="Off",((Data!$AJ$5*'Intermediate calculations'!BF4)+Data!$AK$5)*Drivers!BG4,'Net zero supporting data'!AI205)</f>
        <v>1858749.6464465922</v>
      </c>
      <c r="BG5" s="93">
        <f>IF('Net zero activities &amp; levers'!$C$12="Off",((Data!$AJ$5*'Intermediate calculations'!BG4)+Data!$AK$5)*Drivers!BH4,'Net zero supporting data'!AJ205)</f>
        <v>1916630.1423640517</v>
      </c>
      <c r="BH5" s="93">
        <f>IF('Net zero activities &amp; levers'!$C$12="Off",((Data!$AJ$5*'Intermediate calculations'!BH4)+Data!$AK$5)*Drivers!BI4,'Net zero supporting data'!AK205)</f>
        <v>1957984.7379870382</v>
      </c>
      <c r="BI5" s="93">
        <f>IF('Net zero activities &amp; levers'!$C$12="Off",((Data!$AJ$5*'Intermediate calculations'!BI4)+Data!$AK$5)*Drivers!BJ4,'Net zero supporting data'!AL205)</f>
        <v>1998527.7493484586</v>
      </c>
      <c r="BJ5" s="93">
        <f>IF('Net zero activities &amp; levers'!$C$12="Off",((Data!$AJ$5*'Intermediate calculations'!BJ4)+Data!$AK$5)*Drivers!BK4,'Net zero supporting data'!AM205)</f>
        <v>2040089.8704531272</v>
      </c>
      <c r="BK5" s="93">
        <f>IF('Net zero activities &amp; levers'!$C$12="Off",((Data!$AJ$5*'Intermediate calculations'!BK4)+Data!$AK$5)*Drivers!BL4,'Net zero supporting data'!AN205)</f>
        <v>2081901.5057355589</v>
      </c>
      <c r="BL5" s="79">
        <v>2265947.5040882924</v>
      </c>
    </row>
    <row r="6" spans="1:67" x14ac:dyDescent="0.2">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0.14996186635063738</v>
      </c>
      <c r="AP6" s="22"/>
      <c r="AQ6" s="22">
        <f>(AQ8-AD8)/AD8</f>
        <v>0.24795940138645053</v>
      </c>
      <c r="AR6" s="22"/>
      <c r="AS6" s="22"/>
      <c r="AT6" s="22"/>
      <c r="AU6" s="22"/>
      <c r="AV6" s="22"/>
      <c r="AW6" s="22"/>
      <c r="AX6" s="22"/>
      <c r="AY6" s="22"/>
      <c r="AZ6" s="22"/>
      <c r="BA6" s="22"/>
      <c r="BB6" s="22"/>
      <c r="BC6" s="22"/>
      <c r="BD6" s="22"/>
      <c r="BE6" s="22"/>
      <c r="BF6" s="22"/>
      <c r="BG6" s="22"/>
      <c r="BH6" s="22"/>
      <c r="BI6" s="22"/>
      <c r="BJ6" s="22"/>
      <c r="BK6" s="22"/>
    </row>
    <row r="7" spans="1:67" x14ac:dyDescent="0.2">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17.732839906466509</v>
      </c>
      <c r="AA7" s="45">
        <f>AA5*ttokg/Drivers!AB4</f>
        <v>17.948388235719666</v>
      </c>
      <c r="AB7" s="45">
        <f>AB5*ttokg/Drivers!AC4</f>
        <v>17.99446781084502</v>
      </c>
      <c r="AC7" s="45">
        <f>AC5*ttokg/Drivers!AD4</f>
        <v>17.928500676359821</v>
      </c>
      <c r="AD7" s="45">
        <f>AD5*ttokg/Drivers!AE4</f>
        <v>17.752901031799592</v>
      </c>
      <c r="AE7" s="45">
        <f>AE5*ttokg/Drivers!AF4</f>
        <v>17.655538574311368</v>
      </c>
      <c r="AF7" s="45">
        <f>AF5*ttokg/Drivers!AG4</f>
        <v>17.568038401205563</v>
      </c>
      <c r="AG7" s="45">
        <f>AG5*ttokg/Drivers!AH4</f>
        <v>16.017209870221933</v>
      </c>
      <c r="AH7" s="45">
        <f>AH5*ttokg/Drivers!AI4</f>
        <v>16.403484409105012</v>
      </c>
      <c r="AI7" s="45">
        <f>AI5*ttokg/Drivers!AJ4</f>
        <v>16.664240767323356</v>
      </c>
      <c r="AJ7" s="45">
        <f>AJ5*ttokg/Drivers!AK4</f>
        <v>16.890869192480313</v>
      </c>
      <c r="AK7" s="45">
        <f>AK5*ttokg/Drivers!AL4</f>
        <v>17.168395963751404</v>
      </c>
      <c r="AL7" s="45">
        <f>AL5*ttokg/Drivers!AM4</f>
        <v>17.414917231322661</v>
      </c>
      <c r="AM7" s="45">
        <f>AM5*ttokg/Drivers!AN4</f>
        <v>17.641977647546209</v>
      </c>
      <c r="AN7" s="45">
        <f>AN5*ttokg/Drivers!AO4</f>
        <v>17.849500853070865</v>
      </c>
      <c r="AO7" s="45">
        <f>AO5*ttokg/Drivers!AP4</f>
        <v>18.03035937962591</v>
      </c>
      <c r="AP7" s="45">
        <f>AP5*ttokg/Drivers!AQ4</f>
        <v>18.297249233759626</v>
      </c>
      <c r="AQ7" s="45">
        <f>AQ5*ttokg/Drivers!AR4</f>
        <v>18.552472432636346</v>
      </c>
      <c r="AR7" s="45">
        <f>AR5*ttokg/Drivers!AS4</f>
        <v>18.864132610024676</v>
      </c>
      <c r="AS7" s="45">
        <f>AS5*ttokg/Drivers!AT4</f>
        <v>19.259802646666863</v>
      </c>
      <c r="AT7" s="45">
        <f>AT5*ttokg/Drivers!AU4</f>
        <v>19.694044291009707</v>
      </c>
      <c r="AU7" s="45">
        <f>AU5*ttokg/Drivers!AV4</f>
        <v>20.218371446000177</v>
      </c>
      <c r="AV7" s="45">
        <f>AV5*ttokg/Drivers!AW4</f>
        <v>20.597094507782391</v>
      </c>
      <c r="AW7" s="45">
        <f>AW5*ttokg/Drivers!AX4</f>
        <v>20.977878363228854</v>
      </c>
      <c r="AX7" s="45">
        <f>AX5*ttokg/Drivers!AY4</f>
        <v>21.403638736357362</v>
      </c>
      <c r="AY7" s="45">
        <f>AY5*ttokg/Drivers!AZ4</f>
        <v>21.807759613918194</v>
      </c>
      <c r="AZ7" s="45">
        <f>AZ5*ttokg/Drivers!BA4</f>
        <v>22.235527187184811</v>
      </c>
      <c r="BA7" s="45">
        <f>BA5*ttokg/Drivers!BB4</f>
        <v>22.663657474405451</v>
      </c>
      <c r="BB7" s="45">
        <f>BB5*ttokg/Drivers!BC4</f>
        <v>23.187421676756646</v>
      </c>
      <c r="BC7" s="45">
        <f>BC5*ttokg/Drivers!BD4</f>
        <v>23.684030201235668</v>
      </c>
      <c r="BD7" s="45">
        <f>BD5*ttokg/Drivers!BE4</f>
        <v>24.187986743830763</v>
      </c>
      <c r="BE7" s="45">
        <f>BE5*ttokg/Drivers!BF4</f>
        <v>24.708205049003613</v>
      </c>
      <c r="BF7" s="45">
        <f>BF5*ttokg/Drivers!BG4</f>
        <v>25.248045491160635</v>
      </c>
      <c r="BG7" s="45">
        <f>BG5*ttokg/Drivers!BH4</f>
        <v>25.902030755900057</v>
      </c>
      <c r="BH7" s="45">
        <f>BH5*ttokg/Drivers!BI4</f>
        <v>26.326519004158406</v>
      </c>
      <c r="BI7" s="45">
        <f>BI5*ttokg/Drivers!BJ4</f>
        <v>26.735170308802701</v>
      </c>
      <c r="BJ7" s="45">
        <f>BJ5*ttokg/Drivers!BK4</f>
        <v>27.152555333437217</v>
      </c>
      <c r="BK7" s="45">
        <f>BK5*ttokg/Drivers!BL4</f>
        <v>27.568315030220969</v>
      </c>
      <c r="BL7">
        <v>30.005396118651085</v>
      </c>
    </row>
    <row r="8" spans="1:67" x14ac:dyDescent="0.2">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944208.34947610251</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1007610.016686125</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953655.26470360882</v>
      </c>
      <c r="AH8" s="94">
        <f>IF('Net zero activities &amp; levers'!$C$14="Off",((Data!$AJ$14*'Net zero Intermediate calcs'!AH5)+Data!$AK$14),IF('Net zero activities &amp; levers'!$C$14="On",((Data!$AJ$14*'Net zero Intermediate calcs'!AH5)+Data!$AK$14)*(1-'Net zero supporting data'!K213),"ERROR"))</f>
        <v>992629.61133471224</v>
      </c>
      <c r="AI8" s="94">
        <f>IF('Net zero activities &amp; levers'!$C$14="Off",((Data!$AJ$14*'Net zero Intermediate calcs'!AI5)+Data!$AK$14),IF('Net zero activities &amp; levers'!$C$14="On",((Data!$AJ$14*'Net zero Intermediate calcs'!AI5)+Data!$AK$14)*(1-'Net zero supporting data'!L213),"ERROR"))</f>
        <v>1023654.945741859</v>
      </c>
      <c r="AJ8" s="94">
        <f>IF('Net zero activities &amp; levers'!$C$14="Off",((Data!$AJ$14*'Net zero Intermediate calcs'!AJ5)+Data!$AK$14),IF('Net zero activities &amp; levers'!$C$14="On",((Data!$AJ$14*'Net zero Intermediate calcs'!AJ5)+Data!$AK$14)*(1-'Net zero supporting data'!M213),"ERROR"))</f>
        <v>1052852.2198963133</v>
      </c>
      <c r="AK8" s="94">
        <f>IF('Net zero activities &amp; levers'!$C$14="Off",((Data!$AJ$14*'Net zero Intermediate calcs'!AK5)+Data!$AK$14),IF('Net zero activities &amp; levers'!$C$14="On",((Data!$AJ$14*'Net zero Intermediate calcs'!AK5)+Data!$AK$14)*(1-'Net zero supporting data'!N213),"ERROR"))</f>
        <v>1086179.3821221348</v>
      </c>
      <c r="AL8" s="94">
        <f>IF('Net zero activities &amp; levers'!$C$14="Off",((Data!$AJ$14*'Net zero Intermediate calcs'!AL5)+Data!$AK$14),IF('Net zero activities &amp; levers'!$C$14="On",((Data!$AJ$14*'Net zero Intermediate calcs'!AL5)+Data!$AK$14)*(1-'Net zero supporting data'!O213),"ERROR"))</f>
        <v>1117892.126452747</v>
      </c>
      <c r="AM8" s="94">
        <f>IF('Net zero activities &amp; levers'!$C$14="Off",((Data!$AJ$14*'Net zero Intermediate calcs'!AM5)+Data!$AK$14),IF('Net zero activities &amp; levers'!$C$14="On",((Data!$AJ$14*'Net zero Intermediate calcs'!AM5)+Data!$AK$14)*(1-'Net zero supporting data'!P213),"ERROR"))</f>
        <v>1146649.9705198808</v>
      </c>
      <c r="AN8" s="94">
        <f>IF('Net zero activities &amp; levers'!$C$14="Off",((Data!$AJ$14*'Net zero Intermediate calcs'!AN5)+Data!$AK$14),IF('Net zero activities &amp; levers'!$C$14="On",((Data!$AJ$14*'Net zero Intermediate calcs'!AN5)+Data!$AK$14)*(1-'Net zero supporting data'!Q213),"ERROR"))</f>
        <v>1174423.3242186583</v>
      </c>
      <c r="AO8" s="94">
        <f>IF('Net zero activities &amp; levers'!$C$14="Off",((Data!$AJ$14*'Net zero Intermediate calcs'!AO5)+Data!$AK$14),IF('Net zero activities &amp; levers'!$C$14="On",((Data!$AJ$14*'Net zero Intermediate calcs'!AO5)+Data!$AK$14)*(1-'Net zero supporting data'!R213),"ERROR"))</f>
        <v>1200649.2375399692</v>
      </c>
      <c r="AP8" s="94">
        <f>IF('Net zero activities &amp; levers'!$C$14="Off",((Data!$AJ$14*'Net zero Intermediate calcs'!AP5)+Data!$AK$14),IF('Net zero activities &amp; levers'!$C$14="On",((Data!$AJ$14*'Net zero Intermediate calcs'!AP5)+Data!$AK$14)*(1-'Net zero supporting data'!S213),"ERROR"))</f>
        <v>1233685.0201347582</v>
      </c>
      <c r="AQ8" s="94">
        <f>IF('Net zero activities &amp; levers'!$C$14="Off",((Data!$AJ$14*'Net zero Intermediate calcs'!AQ5)+Data!$AK$14),IF('Net zero activities &amp; levers'!$C$14="On",((Data!$AJ$14*'Net zero Intermediate calcs'!AQ5)+Data!$AK$14)*(1-'Net zero supporting data'!T213),"ERROR"))</f>
        <v>1266363.0044691481</v>
      </c>
      <c r="AR8" s="94">
        <f>IF('Net zero activities &amp; levers'!$C$14="Off",((Data!$AJ$14*'Net zero Intermediate calcs'!AR5)+Data!$AK$14),IF('Net zero activities &amp; levers'!$C$14="On",((Data!$AJ$14*'Net zero Intermediate calcs'!AR5)+Data!$AK$14)*(1-'Net zero supporting data'!U213),"ERROR"))</f>
        <v>1301981.6845558162</v>
      </c>
      <c r="AS8" s="94">
        <f>IF('Net zero activities &amp; levers'!$C$14="Off",((Data!$AJ$14*'Net zero Intermediate calcs'!AS5)+Data!$AK$14),IF('Net zero activities &amp; levers'!$C$14="On",((Data!$AJ$14*'Net zero Intermediate calcs'!AS5)+Data!$AK$14)*(1-'Net zero supporting data'!V213),"ERROR"))</f>
        <v>1344545.9343083878</v>
      </c>
      <c r="AT8" s="94">
        <f>IF('Net zero activities &amp; levers'!$C$14="Off",((Data!$AJ$14*'Net zero Intermediate calcs'!AT5)+Data!$AK$14),IF('Net zero activities &amp; levers'!$C$14="On",((Data!$AJ$14*'Net zero Intermediate calcs'!AT5)+Data!$AK$14)*(1-'Net zero supporting data'!W213),"ERROR"))</f>
        <v>1390714.0548956471</v>
      </c>
      <c r="AU8" s="94">
        <f>IF('Net zero activities &amp; levers'!$C$14="Off",((Data!$AJ$14*'Net zero Intermediate calcs'!AU5)+Data!$AK$14),IF('Net zero activities &amp; levers'!$C$14="On",((Data!$AJ$14*'Net zero Intermediate calcs'!AU5)+Data!$AK$14)*(1-'Net zero supporting data'!X213),"ERROR"))</f>
        <v>1444586.1828034378</v>
      </c>
      <c r="AV8" s="94">
        <f>IF('Net zero activities &amp; levers'!$C$14="Off",((Data!$AJ$14*'Net zero Intermediate calcs'!AV5)+Data!$AK$14),IF('Net zero activities &amp; levers'!$C$14="On",((Data!$AJ$14*'Net zero Intermediate calcs'!AV5)+Data!$AK$14)*(1-'Net zero supporting data'!Y213),"ERROR"))</f>
        <v>1487818.0535100303</v>
      </c>
      <c r="AW8" s="94">
        <f>IF('Net zero activities &amp; levers'!$C$14="Off",((Data!$AJ$14*'Net zero Intermediate calcs'!AW5)+Data!$AK$14),IF('Net zero activities &amp; levers'!$C$14="On",((Data!$AJ$14*'Net zero Intermediate calcs'!AW5)+Data!$AK$14)*(1-'Net zero supporting data'!Z213),"ERROR"))</f>
        <v>1529835.414168132</v>
      </c>
      <c r="AX8" s="94">
        <f>IF('Net zero activities &amp; levers'!$C$14="Off",((Data!$AJ$14*'Net zero Intermediate calcs'!AX5)+Data!$AK$14),IF('Net zero activities &amp; levers'!$C$14="On",((Data!$AJ$14*'Net zero Intermediate calcs'!AX5)+Data!$AK$14)*(1-'Net zero supporting data'!AA213),"ERROR"))</f>
        <v>1575969.6874229049</v>
      </c>
      <c r="AY8" s="94">
        <f>IF('Net zero activities &amp; levers'!$C$14="Off",((Data!$AJ$14*'Net zero Intermediate calcs'!AY5)+Data!$AK$14),IF('Net zero activities &amp; levers'!$C$14="On",((Data!$AJ$14*'Net zero Intermediate calcs'!AY5)+Data!$AK$14)*(1-'Net zero supporting data'!AB213),"ERROR"))</f>
        <v>1620951.2489090748</v>
      </c>
      <c r="AZ8" s="94">
        <f>IF('Net zero activities &amp; levers'!$C$14="Off",((Data!$AJ$14*'Net zero Intermediate calcs'!AZ5)+Data!$AK$14),IF('Net zero activities &amp; levers'!$C$14="On",((Data!$AJ$14*'Net zero Intermediate calcs'!AZ5)+Data!$AK$14)*(1-'Net zero supporting data'!AC213),"ERROR"))</f>
        <v>1668414.3098989078</v>
      </c>
      <c r="BA8" s="94">
        <f>IF('Net zero activities &amp; levers'!$C$14="Off",((Data!$AJ$14*'Net zero Intermediate calcs'!BA5)+Data!$AK$14),IF('Net zero activities &amp; levers'!$C$14="On",((Data!$AJ$14*'Net zero Intermediate calcs'!BA5)+Data!$AK$14)*(1-'Net zero supporting data'!AD213),"ERROR"))</f>
        <v>1716507.9766551901</v>
      </c>
      <c r="BB8" s="94">
        <f>IF('Net zero activities &amp; levers'!$C$14="Off",((Data!$AJ$14*'Net zero Intermediate calcs'!BB5)+Data!$AK$14),IF('Net zero activities &amp; levers'!$C$14="On",((Data!$AJ$14*'Net zero Intermediate calcs'!BB5)+Data!$AK$14)*(1-'Net zero supporting data'!AE213),"ERROR"))</f>
        <v>1770966.1103878145</v>
      </c>
      <c r="BC8" s="94">
        <f>IF('Net zero activities &amp; levers'!$C$14="Off",((Data!$AJ$14*'Net zero Intermediate calcs'!BC5)+Data!$AK$14),IF('Net zero activities &amp; levers'!$C$14="On",((Data!$AJ$14*'Net zero Intermediate calcs'!BC5)+Data!$AK$14)*(1-'Net zero supporting data'!AF213),"ERROR"))</f>
        <v>1823787.2494256934</v>
      </c>
      <c r="BD8" s="94">
        <f>IF('Net zero activities &amp; levers'!$C$14="Off",((Data!$AJ$14*'Net zero Intermediate calcs'!BD5)+Data!$AK$14),IF('Net zero activities &amp; levers'!$C$14="On",((Data!$AJ$14*'Net zero Intermediate calcs'!BD5)+Data!$AK$14)*(1-'Net zero supporting data'!AG213),"ERROR"))</f>
        <v>1877801.600798896</v>
      </c>
      <c r="BE8" s="94">
        <f>IF('Net zero activities &amp; levers'!$C$14="Off",((Data!$AJ$14*'Net zero Intermediate calcs'!BE5)+Data!$AK$14),IF('Net zero activities &amp; levers'!$C$14="On",((Data!$AJ$14*'Net zero Intermediate calcs'!BE5)+Data!$AK$14)*(1-'Net zero supporting data'!AH213),"ERROR"))</f>
        <v>1933770.8941501316</v>
      </c>
      <c r="BF8" s="94">
        <f>IF('Net zero activities &amp; levers'!$C$14="Off",((Data!$AJ$14*'Net zero Intermediate calcs'!BF5)+Data!$AK$14),IF('Net zero activities &amp; levers'!$C$14="On",((Data!$AJ$14*'Net zero Intermediate calcs'!BF5)+Data!$AK$14)*(1-'Net zero supporting data'!AI213),"ERROR"))</f>
        <v>1992008.4318362218</v>
      </c>
      <c r="BG8" s="94">
        <f>IF('Net zero activities &amp; levers'!$C$14="Off",((Data!$AJ$14*'Net zero Intermediate calcs'!BG5)+Data!$AK$14),IF('Net zero activities &amp; levers'!$C$14="On",((Data!$AJ$14*'Net zero Intermediate calcs'!BG5)+Data!$AK$14)*(1-'Net zero supporting data'!AJ213),"ERROR"))</f>
        <v>2058140.7639458934</v>
      </c>
      <c r="BH8" s="94">
        <f>IF('Net zero activities &amp; levers'!$C$14="Off",((Data!$AJ$14*'Net zero Intermediate calcs'!BH5)+Data!$AK$14),IF('Net zero activities &amp; levers'!$C$14="On",((Data!$AJ$14*'Net zero Intermediate calcs'!BH5)+Data!$AK$14)*(1-'Net zero supporting data'!AK213),"ERROR"))</f>
        <v>2105391.1512940009</v>
      </c>
      <c r="BI8" s="94">
        <f>IF('Net zero activities &amp; levers'!$C$14="Off",((Data!$AJ$14*'Net zero Intermediate calcs'!BI5)+Data!$AK$14),IF('Net zero activities &amp; levers'!$C$14="On",((Data!$AJ$14*'Net zero Intermediate calcs'!BI5)+Data!$AK$14)*(1-'Net zero supporting data'!AL213),"ERROR"))</f>
        <v>2151714.2494219644</v>
      </c>
      <c r="BJ8" s="94">
        <f>IF('Net zero activities &amp; levers'!$C$14="Off",((Data!$AJ$14*'Net zero Intermediate calcs'!BJ5)+Data!$AK$14),IF('Net zero activities &amp; levers'!$C$14="On",((Data!$AJ$14*'Net zero Intermediate calcs'!BJ5)+Data!$AK$14)*(1-'Net zero supporting data'!AM213),"ERROR"))</f>
        <v>2199201.7484923932</v>
      </c>
      <c r="BK8" s="94">
        <f>IF('Net zero activities &amp; levers'!$C$14="Off",((Data!$AJ$14*'Net zero Intermediate calcs'!BK5)+Data!$AK$14),IF('Net zero activities &amp; levers'!$C$14="On",((Data!$AJ$14*'Net zero Intermediate calcs'!BK5)+Data!$AK$14)*(1-'Net zero supporting data'!AN213),"ERROR"))</f>
        <v>2246974.3341746139</v>
      </c>
      <c r="BL8">
        <v>2457259.1787252906</v>
      </c>
    </row>
    <row r="9" spans="1:67" x14ac:dyDescent="0.2">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665666.8863806522</v>
      </c>
      <c r="AA9" s="22">
        <f t="shared" si="1"/>
        <v>691437.92225787498</v>
      </c>
      <c r="AB9" s="22">
        <f t="shared" si="1"/>
        <v>710657.39490542957</v>
      </c>
      <c r="AC9" s="22">
        <f t="shared" si="1"/>
        <v>725479.21201400994</v>
      </c>
      <c r="AD9" s="22">
        <f t="shared" si="1"/>
        <v>735691.54350705037</v>
      </c>
      <c r="AE9" s="22">
        <f t="shared" si="1"/>
        <v>749635.6315856725</v>
      </c>
      <c r="AF9" s="22">
        <f t="shared" si="1"/>
        <v>764253.10717659467</v>
      </c>
      <c r="AG9" s="22">
        <f t="shared" si="1"/>
        <v>705704.89588067052</v>
      </c>
      <c r="AH9" s="22">
        <f t="shared" si="1"/>
        <v>736531.17161035642</v>
      </c>
      <c r="AI9" s="22">
        <f t="shared" si="1"/>
        <v>761599.27963194309</v>
      </c>
      <c r="AJ9" s="22">
        <f t="shared" si="1"/>
        <v>785427.75604264974</v>
      </c>
      <c r="AK9" s="22">
        <f t="shared" si="1"/>
        <v>812462.17782735685</v>
      </c>
      <c r="AL9" s="22">
        <f t="shared" si="1"/>
        <v>838419.09483956033</v>
      </c>
      <c r="AM9" s="22">
        <f t="shared" si="1"/>
        <v>862280.77783095033</v>
      </c>
      <c r="AN9" s="22">
        <f t="shared" si="1"/>
        <v>885515.18646086834</v>
      </c>
      <c r="AO9" s="22">
        <f t="shared" si="1"/>
        <v>907690.82358021673</v>
      </c>
      <c r="AP9" s="22">
        <f t="shared" si="1"/>
        <v>935133.24526214669</v>
      </c>
      <c r="AQ9" s="22">
        <f t="shared" si="1"/>
        <v>962435.88339655253</v>
      </c>
      <c r="AR9" s="22">
        <f t="shared" si="1"/>
        <v>994714.00700064364</v>
      </c>
      <c r="AS9" s="22">
        <f t="shared" si="1"/>
        <v>1032611.2775488419</v>
      </c>
      <c r="AT9" s="22">
        <f t="shared" si="1"/>
        <v>1073631.2503794397</v>
      </c>
      <c r="AU9" s="22">
        <f t="shared" si="1"/>
        <v>1120998.8778554678</v>
      </c>
      <c r="AV9" s="22">
        <f t="shared" si="1"/>
        <v>1160498.0817378236</v>
      </c>
      <c r="AW9" s="22">
        <f t="shared" si="1"/>
        <v>1199390.9647078156</v>
      </c>
      <c r="AX9" s="22">
        <f t="shared" si="1"/>
        <v>1241864.1136892491</v>
      </c>
      <c r="AY9" s="22">
        <f t="shared" si="1"/>
        <v>1283793.3891359873</v>
      </c>
      <c r="AZ9" s="22">
        <f t="shared" si="1"/>
        <v>1328057.7906795307</v>
      </c>
      <c r="BA9" s="22">
        <f t="shared" si="1"/>
        <v>1373206.3813241522</v>
      </c>
      <c r="BB9" s="22">
        <f t="shared" si="1"/>
        <v>1422085.7866414152</v>
      </c>
      <c r="BC9" s="22">
        <f t="shared" si="1"/>
        <v>1469972.5230371091</v>
      </c>
      <c r="BD9" s="22">
        <f t="shared" si="1"/>
        <v>1519141.4950463071</v>
      </c>
      <c r="BE9" s="22">
        <f t="shared" si="1"/>
        <v>1570221.966049907</v>
      </c>
      <c r="BF9" s="22">
        <f t="shared" si="1"/>
        <v>1623486.8719465209</v>
      </c>
      <c r="BG9" s="22">
        <f t="shared" si="1"/>
        <v>1683559.1449077409</v>
      </c>
      <c r="BH9" s="22">
        <f t="shared" si="1"/>
        <v>1728526.1352123749</v>
      </c>
      <c r="BI9" s="22">
        <f t="shared" si="1"/>
        <v>1773012.5415236987</v>
      </c>
      <c r="BJ9" s="22">
        <f t="shared" si="1"/>
        <v>1818739.8460032092</v>
      </c>
      <c r="BK9" s="22">
        <f t="shared" si="1"/>
        <v>1864988.6973649294</v>
      </c>
      <c r="BL9">
        <v>2039525.118341991</v>
      </c>
    </row>
    <row r="10" spans="1:67" x14ac:dyDescent="0.2">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278541.46309545031</v>
      </c>
      <c r="AA10" s="22">
        <f t="shared" si="2"/>
        <v>282418.3062743434</v>
      </c>
      <c r="AB10" s="22">
        <f t="shared" si="2"/>
        <v>283269.0315357307</v>
      </c>
      <c r="AC10" s="22">
        <f t="shared" si="2"/>
        <v>282130.80467211502</v>
      </c>
      <c r="AD10" s="22">
        <f t="shared" si="2"/>
        <v>279055.41305439838</v>
      </c>
      <c r="AE10" s="22">
        <f t="shared" si="2"/>
        <v>277262.49387415289</v>
      </c>
      <c r="AF10" s="22">
        <f t="shared" si="2"/>
        <v>275547.03864190145</v>
      </c>
      <c r="AG10" s="22">
        <f t="shared" si="2"/>
        <v>247950.3688229383</v>
      </c>
      <c r="AH10" s="22">
        <f t="shared" si="2"/>
        <v>256098.43972435582</v>
      </c>
      <c r="AI10" s="22">
        <f t="shared" si="2"/>
        <v>262055.66610991594</v>
      </c>
      <c r="AJ10" s="22">
        <f t="shared" si="2"/>
        <v>267424.46385366353</v>
      </c>
      <c r="AK10" s="22">
        <f t="shared" si="2"/>
        <v>273717.20429477794</v>
      </c>
      <c r="AL10" s="22">
        <f t="shared" si="2"/>
        <v>279473.0316131867</v>
      </c>
      <c r="AM10" s="22">
        <f t="shared" si="2"/>
        <v>284369.19268893043</v>
      </c>
      <c r="AN10" s="22">
        <f t="shared" si="2"/>
        <v>288908.13775778993</v>
      </c>
      <c r="AO10" s="22">
        <f t="shared" si="2"/>
        <v>292958.41395975242</v>
      </c>
      <c r="AP10" s="22">
        <f t="shared" si="2"/>
        <v>298551.77487261151</v>
      </c>
      <c r="AQ10" s="22">
        <f t="shared" si="2"/>
        <v>303927.12107259559</v>
      </c>
      <c r="AR10" s="22">
        <f t="shared" si="2"/>
        <v>307267.67755517259</v>
      </c>
      <c r="AS10" s="22">
        <f t="shared" si="2"/>
        <v>311934.65675954591</v>
      </c>
      <c r="AT10" s="22">
        <f t="shared" si="2"/>
        <v>317082.80451620743</v>
      </c>
      <c r="AU10" s="22">
        <f t="shared" si="2"/>
        <v>323587.30494796997</v>
      </c>
      <c r="AV10" s="22">
        <f t="shared" si="2"/>
        <v>327319.97177220671</v>
      </c>
      <c r="AW10" s="22">
        <f t="shared" si="2"/>
        <v>330444.44946031645</v>
      </c>
      <c r="AX10" s="22">
        <f t="shared" si="2"/>
        <v>334105.57373365574</v>
      </c>
      <c r="AY10" s="22">
        <f t="shared" si="2"/>
        <v>337157.85977308755</v>
      </c>
      <c r="AZ10" s="22">
        <f t="shared" si="2"/>
        <v>340356.51921937708</v>
      </c>
      <c r="BA10" s="22">
        <f t="shared" si="2"/>
        <v>343301.59533103788</v>
      </c>
      <c r="BB10" s="22">
        <f t="shared" si="2"/>
        <v>348880.32374639926</v>
      </c>
      <c r="BC10" s="22">
        <f t="shared" si="2"/>
        <v>353814.72638858436</v>
      </c>
      <c r="BD10" s="22">
        <f t="shared" si="2"/>
        <v>358660.10575258895</v>
      </c>
      <c r="BE10" s="22">
        <f t="shared" si="2"/>
        <v>363548.92810022458</v>
      </c>
      <c r="BF10" s="22">
        <f t="shared" si="2"/>
        <v>368521.55988970096</v>
      </c>
      <c r="BG10" s="22">
        <f t="shared" si="2"/>
        <v>374581.61903815251</v>
      </c>
      <c r="BH10" s="22">
        <f t="shared" si="2"/>
        <v>376865.01608162606</v>
      </c>
      <c r="BI10" s="22">
        <f t="shared" si="2"/>
        <v>378701.70789826568</v>
      </c>
      <c r="BJ10" s="22">
        <f t="shared" si="2"/>
        <v>380461.90248918394</v>
      </c>
      <c r="BK10" s="22">
        <f t="shared" si="2"/>
        <v>381985.63680968457</v>
      </c>
      <c r="BL10">
        <v>417734.0603832996</v>
      </c>
    </row>
    <row r="11" spans="1:67" x14ac:dyDescent="0.2">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35.154320182069512</v>
      </c>
      <c r="AI11" s="94">
        <f>IF($Y$1="Off",((Data!$AJ$15*LN('Net zero Intermediate calcs'!AI2))+Data!$AK$15),IF($Y$1="PQ",'Net zero supporting data'!L100,IF($Y$1="GS",'Net zero supporting data'!L64,'Net zero supporting data'!L83)))</f>
        <v>34.420086501299252</v>
      </c>
      <c r="AJ11" s="94">
        <f>IF($Y$1="Off",((Data!$AJ$15*LN('Net zero Intermediate calcs'!AJ2))+Data!$AK$15),IF($Y$1="PQ",'Net zero supporting data'!M100,IF($Y$1="GS",'Net zero supporting data'!M64,'Net zero supporting data'!M83)))</f>
        <v>33.710718392662606</v>
      </c>
      <c r="AK11" s="94">
        <f>IF($Y$1="Off",((Data!$AJ$15*LN('Net zero Intermediate calcs'!AK2))+Data!$AK$15),IF($Y$1="PQ",'Net zero supporting data'!N100,IF($Y$1="GS",'Net zero supporting data'!N64,'Net zero supporting data'!N83)))</f>
        <v>33.024471472384498</v>
      </c>
      <c r="AL11" s="94">
        <f>IF($Y$1="Off",((Data!$AJ$15*LN('Net zero Intermediate calcs'!AL2))+Data!$AK$15),IF($Y$1="PQ",'Net zero supporting data'!O100,IF($Y$1="GS",'Net zero supporting data'!O64,'Net zero supporting data'!O83)))</f>
        <v>32.359786902601563</v>
      </c>
      <c r="AM11" s="94">
        <f>IF($Y$1="Off",((Data!$AJ$15*LN('Net zero Intermediate calcs'!AM2))+Data!$AK$15),IF($Y$1="PQ",'Net zero supporting data'!P100,IF($Y$1="GS",'Net zero supporting data'!P64,'Net zero supporting data'!P83)))</f>
        <v>31.715265675444023</v>
      </c>
      <c r="AN11" s="94">
        <f>IF($Y$1="Off",((Data!$AJ$15*LN('Net zero Intermediate calcs'!AN2))+Data!$AK$15),IF($Y$1="PQ",'Net zero supporting data'!Q100,IF($Y$1="GS",'Net zero supporting data'!Q64,'Net zero supporting data'!Q83)))</f>
        <v>31.089647223865136</v>
      </c>
      <c r="AO11" s="94">
        <f>IF($Y$1="Off",((Data!$AJ$15*LN('Net zero Intermediate calcs'!AO2))+Data!$AK$15),IF($Y$1="PQ",'Net zero supporting data'!R100,IF($Y$1="GS",'Net zero supporting data'!R64,'Net zero supporting data'!R83)))</f>
        <v>30.481791512009011</v>
      </c>
      <c r="AP11" s="94">
        <f>IF($Y$1="Off",((Data!$AJ$15*LN('Net zero Intermediate calcs'!AP2))+Data!$AK$15),IF($Y$1="PQ",'Net zero supporting data'!S100,IF($Y$1="GS",'Net zero supporting data'!S64,'Net zero supporting data'!S83)))</f>
        <v>29.89066394559617</v>
      </c>
      <c r="AQ11" s="94">
        <f>IF($Y$1="Off",((Data!$AJ$15*LN('Net zero Intermediate calcs'!AQ2))+Data!$AK$15),IF($Y$1="PQ",'Net zero supporting data'!T100,IF($Y$1="GS",'Net zero supporting data'!T64,'Net zero supporting data'!T83)))</f>
        <v>29.315322584390422</v>
      </c>
      <c r="AR11" s="94">
        <f>IF($Y$1="Off",((Data!$AJ$15*LN('Net zero Intermediate calcs'!AR2))+Data!$AK$15),IF($Y$1="PQ",'Net zero supporting data'!U100,IF($Y$1="GS",'Net zero supporting data'!U64,'Net zero supporting data'!U83)))</f>
        <v>28.959849019799446</v>
      </c>
      <c r="AS11" s="94">
        <f>IF($Y$1="Off",((Data!$AJ$15*LN('Net zero Intermediate calcs'!AS2))+Data!$AK$15),IF($Y$1="PQ",'Net zero supporting data'!V100,IF($Y$1="GS",'Net zero supporting data'!V64,'Net zero supporting data'!V83)))</f>
        <v>28.614285258445342</v>
      </c>
      <c r="AT11" s="94">
        <f>IF($Y$1="Off",((Data!$AJ$15*LN('Net zero Intermediate calcs'!AT2))+Data!$AK$15),IF($Y$1="PQ",'Net zero supporting data'!W100,IF($Y$1="GS",'Net zero supporting data'!W64,'Net zero supporting data'!W83)))</f>
        <v>28.278086636863392</v>
      </c>
      <c r="AU11" s="94">
        <f>IF($Y$1="Off",((Data!$AJ$15*LN('Net zero Intermediate calcs'!AU2))+Data!$AK$15),IF($Y$1="PQ",'Net zero supporting data'!X100,IF($Y$1="GS",'Net zero supporting data'!X64,'Net zero supporting data'!X83)))</f>
        <v>27.950752893251103</v>
      </c>
      <c r="AV11" s="94">
        <f>IF($Y$1="Off",((Data!$AJ$15*LN('Net zero Intermediate calcs'!AV2))+Data!$AK$15),IF($Y$1="PQ",'Net zero supporting data'!Y100,IF($Y$1="GS",'Net zero supporting data'!Y64,'Net zero supporting data'!Y83)))</f>
        <v>27.631823449920894</v>
      </c>
      <c r="AW11" s="94">
        <f>IF($Y$1="Off",((Data!$AJ$15*LN('Net zero Intermediate calcs'!AW2))+Data!$AK$15),IF($Y$1="PQ",'Net zero supporting data'!Z100,IF($Y$1="GS",'Net zero supporting data'!Z64,'Net zero supporting data'!Z83)))</f>
        <v>27.320873307074038</v>
      </c>
      <c r="AX11" s="94">
        <f>IF($Y$1="Off",((Data!$AJ$15*LN('Net zero Intermediate calcs'!AX2))+Data!$AK$15),IF($Y$1="PQ",'Net zero supporting data'!AA100,IF($Y$1="GS",'Net zero supporting data'!AA64,'Net zero supporting data'!AA83)))</f>
        <v>27.017509455158315</v>
      </c>
      <c r="AY11" s="94">
        <f>IF($Y$1="Off",((Data!$AJ$15*LN('Net zero Intermediate calcs'!AY2))+Data!$AK$15),IF($Y$1="PQ",'Net zero supporting data'!AB100,IF($Y$1="GS",'Net zero supporting data'!AB64,'Net zero supporting data'!AB83)))</f>
        <v>26.721367729087959</v>
      </c>
      <c r="AZ11" s="94">
        <f>IF($Y$1="Off",((Data!$AJ$15*LN('Net zero Intermediate calcs'!AZ2))+Data!$AK$15),IF($Y$1="PQ",'Net zero supporting data'!AC100,IF($Y$1="GS",'Net zero supporting data'!AC64,'Net zero supporting data'!AC83)))</f>
        <v>26.432110040534752</v>
      </c>
      <c r="BA11" s="94">
        <f>IF($Y$1="Off",((Data!$AJ$15*LN('Net zero Intermediate calcs'!BA2))+Data!$AK$15),IF($Y$1="PQ",'Net zero supporting data'!AD100,IF($Y$1="GS",'Net zero supporting data'!AD64,'Net zero supporting data'!AD83)))</f>
        <v>26.149421934996191</v>
      </c>
      <c r="BB11" s="94">
        <f>IF($Y$1="Off",((Data!$AJ$15*LN('Net zero Intermediate calcs'!BB2))+Data!$AK$15),IF($Y$1="PQ",'Net zero supporting data'!AE100,IF($Y$1="GS",'Net zero supporting data'!AE64,'Net zero supporting data'!AE83)))</f>
        <v>25.873010428914949</v>
      </c>
      <c r="BC11" s="94">
        <f>IF($Y$1="Off",((Data!$AJ$15*LN('Net zero Intermediate calcs'!BC2))+Data!$AK$15),IF($Y$1="PQ",'Net zero supporting data'!AF100,IF($Y$1="GS",'Net zero supporting data'!AF64,'Net zero supporting data'!AF83)))</f>
        <v>25.602602089151986</v>
      </c>
      <c r="BD11" s="94">
        <f>IF($Y$1="Off",((Data!$AJ$15*LN('Net zero Intermediate calcs'!BD2))+Data!$AK$15),IF($Y$1="PQ",'Net zero supporting data'!AG100,IF($Y$1="GS",'Net zero supporting data'!AG64,'Net zero supporting data'!AG83)))</f>
        <v>25.33794132290933</v>
      </c>
      <c r="BE11" s="94">
        <f>IF($Y$1="Off",((Data!$AJ$15*LN('Net zero Intermediate calcs'!BE2))+Data!$AK$15),IF($Y$1="PQ",'Net zero supporting data'!AH100,IF($Y$1="GS",'Net zero supporting data'!AH64,'Net zero supporting data'!AH83)))</f>
        <v>25.078788850996013</v>
      </c>
      <c r="BF11" s="94">
        <f>IF($Y$1="Off",((Data!$AJ$15*LN('Net zero Intermediate calcs'!BF2))+Data!$AK$15),IF($Y$1="PQ",'Net zero supporting data'!AI100,IF($Y$1="GS",'Net zero supporting data'!AI64,'Net zero supporting data'!AI83)))</f>
        <v>24.82492034132046</v>
      </c>
      <c r="BG11" s="94">
        <f>IF($Y$1="Off",((Data!$AJ$15*LN('Net zero Intermediate calcs'!BG2))+Data!$AK$15),IF($Y$1="PQ",'Net zero supporting data'!AJ100,IF($Y$1="GS",'Net zero supporting data'!AJ64,'Net zero supporting data'!AJ83)))</f>
        <v>24.576125182825315</v>
      </c>
      <c r="BH11" s="94">
        <f>IF($Y$1="Off",((Data!$AJ$15*LN('Net zero Intermediate calcs'!BH2))+Data!$AK$15),IF($Y$1="PQ",'Net zero supporting data'!AK100,IF($Y$1="GS",'Net zero supporting data'!AK64,'Net zero supporting data'!AK83)))</f>
        <v>24.332205382874626</v>
      </c>
      <c r="BI11" s="94">
        <f>IF($Y$1="Off",((Data!$AJ$15*LN('Net zero Intermediate calcs'!BI2))+Data!$AK$15),IF($Y$1="PQ",'Net zero supporting data'!AL100,IF($Y$1="GS",'Net zero supporting data'!AL64,'Net zero supporting data'!AL83)))</f>
        <v>24.092974573455546</v>
      </c>
      <c r="BJ11" s="94">
        <f>IF($Y$1="Off",((Data!$AJ$15*LN('Net zero Intermediate calcs'!BJ2))+Data!$AK$15),IF($Y$1="PQ",'Net zero supporting data'!AM100,IF($Y$1="GS",'Net zero supporting data'!AM64,'Net zero supporting data'!AM83)))</f>
        <v>23.858257113543441</v>
      </c>
      <c r="BK11" s="94">
        <f>IF($Y$1="Off",((Data!$AJ$15*LN('Net zero Intermediate calcs'!BK2))+Data!$AK$15),IF($Y$1="PQ",'Net zero supporting data'!AN100,IF($Y$1="GS",'Net zero supporting data'!AN64,'Net zero supporting data'!AN83)))</f>
        <v>23.627887276663888</v>
      </c>
      <c r="BL11">
        <v>26.72186953300141</v>
      </c>
    </row>
    <row r="12" spans="1:67" x14ac:dyDescent="0.2">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1989214.0809840125</v>
      </c>
      <c r="AA12" s="22">
        <f>((Data!$AJ$6*'Net zero Intermediate calcs'!AA4)+Data!$AK$6)*Drivers!AB4</f>
        <v>2031584.5891224523</v>
      </c>
      <c r="AB12" s="22">
        <f>((Data!$AJ$6*'Net zero Intermediate calcs'!AB4)+Data!$AK$6)*Drivers!AC4</f>
        <v>2065795.7253002254</v>
      </c>
      <c r="AC12" s="22">
        <f>((Data!$AJ$6*'Net zero Intermediate calcs'!AC4)+Data!$AK$6)*Drivers!AD4</f>
        <v>2094779.0652397452</v>
      </c>
      <c r="AD12" s="22">
        <f>((Data!$AJ$6*'Net zero Intermediate calcs'!AD4)+Data!$AK$6)*Drivers!AE4</f>
        <v>2118412.1564230546</v>
      </c>
      <c r="AE12" s="22">
        <f>((Data!$AJ$6*'Net zero Intermediate calcs'!AE4)+Data!$AK$6)*Drivers!AF4</f>
        <v>2146845.3123571589</v>
      </c>
      <c r="AF12" s="22">
        <f>((Data!$AJ$6*'Net zero Intermediate calcs'!AF4)+Data!$AK$6)*Drivers!AG4</f>
        <v>2176243.6654550005</v>
      </c>
      <c r="AG12" s="22">
        <f>((Data!$AJ$6*'Net zero Intermediate calcs'!AG4)+Data!$AK$6)*Drivers!AH4</f>
        <v>2115628.2803271892</v>
      </c>
      <c r="AH12" s="22">
        <f>((Data!$AJ$6*'Net zero Intermediate calcs'!AH4)+Data!$AK$6)*Drivers!AI4</f>
        <v>2164126.4576460533</v>
      </c>
      <c r="AI12" s="22">
        <f>((Data!$AJ$6*'Net zero Intermediate calcs'!AI4)+Data!$AK$6)*Drivers!AJ4</f>
        <v>2205526.98465594</v>
      </c>
      <c r="AJ12" s="22">
        <f>((Data!$AJ$6*'Net zero Intermediate calcs'!AJ4)+Data!$AK$6)*Drivers!AK4</f>
        <v>2245411.9211828713</v>
      </c>
      <c r="AK12" s="22">
        <f>((Data!$AJ$6*'Net zero Intermediate calcs'!AK4)+Data!$AK$6)*Drivers!AL4</f>
        <v>2289214.7399112913</v>
      </c>
      <c r="AL12" s="22">
        <f>((Data!$AJ$6*'Net zero Intermediate calcs'!AL4)+Data!$AK$6)*Drivers!AM4</f>
        <v>2331700.2389165633</v>
      </c>
      <c r="AM12" s="22">
        <f>((Data!$AJ$6*'Net zero Intermediate calcs'!AM4)+Data!$AK$6)*Drivers!AN4</f>
        <v>2369659.4476021719</v>
      </c>
      <c r="AN12" s="22">
        <f>((Data!$AJ$6*'Net zero Intermediate calcs'!AN4)+Data!$AK$6)*Drivers!AO4</f>
        <v>2406836.7275832351</v>
      </c>
      <c r="AO12" s="22">
        <f>((Data!$AJ$6*'Net zero Intermediate calcs'!AO4)+Data!$AK$6)*Drivers!AP4</f>
        <v>2442719.9877408259</v>
      </c>
      <c r="AP12" s="22">
        <f>((Data!$AJ$6*'Net zero Intermediate calcs'!AP4)+Data!$AK$6)*Drivers!AQ4</f>
        <v>2484929.5578669789</v>
      </c>
      <c r="AQ12" s="22">
        <f>((Data!$AJ$6*'Net zero Intermediate calcs'!AQ4)+Data!$AK$6)*Drivers!AR4</f>
        <v>2526931.9898450202</v>
      </c>
      <c r="AR12" s="22">
        <f>((Data!$AJ$6*'Net zero Intermediate calcs'!AR4)+Data!$AK$6)*Drivers!AS4</f>
        <v>2570092.3655683296</v>
      </c>
      <c r="AS12" s="22">
        <f>((Data!$AJ$6*'Net zero Intermediate calcs'!AS4)+Data!$AK$6)*Drivers!AT4</f>
        <v>2619676.0791932181</v>
      </c>
      <c r="AT12" s="22">
        <f>((Data!$AJ$6*'Net zero Intermediate calcs'!AT4)+Data!$AK$6)*Drivers!AU4</f>
        <v>2672637.3538762257</v>
      </c>
      <c r="AU12" s="22">
        <f>((Data!$AJ$6*'Net zero Intermediate calcs'!AU4)+Data!$AK$6)*Drivers!AV4</f>
        <v>2732714.9813067401</v>
      </c>
      <c r="AV12" s="22">
        <f>((Data!$AJ$6*'Net zero Intermediate calcs'!AV4)+Data!$AK$6)*Drivers!AW4</f>
        <v>2783185.6801284607</v>
      </c>
      <c r="AW12" s="22">
        <f>((Data!$AJ$6*'Net zero Intermediate calcs'!AW4)+Data!$AK$6)*Drivers!AX4</f>
        <v>2831058.3571417974</v>
      </c>
      <c r="AX12" s="22">
        <f>((Data!$AJ$6*'Net zero Intermediate calcs'!AX4)+Data!$AK$6)*Drivers!AY4</f>
        <v>2882754.3719431432</v>
      </c>
      <c r="AY12" s="22">
        <f>((Data!$AJ$6*'Net zero Intermediate calcs'!AY4)+Data!$AK$6)*Drivers!AZ4</f>
        <v>2933470.0335990451</v>
      </c>
      <c r="AZ12" s="22">
        <f>((Data!$AJ$6*'Net zero Intermediate calcs'!AZ4)+Data!$AK$6)*Drivers!BA4</f>
        <v>2986519.0912026386</v>
      </c>
      <c r="BA12" s="22">
        <f>((Data!$AJ$6*'Net zero Intermediate calcs'!BA4)+Data!$AK$6)*Drivers!BB4</f>
        <v>3040214.6448563505</v>
      </c>
      <c r="BB12" s="22">
        <f>((Data!$AJ$6*'Net zero Intermediate calcs'!BB4)+Data!$AK$6)*Drivers!BC4</f>
        <v>3098280.0674767047</v>
      </c>
      <c r="BC12" s="22">
        <f>((Data!$AJ$6*'Net zero Intermediate calcs'!BC4)+Data!$AK$6)*Drivers!BD4</f>
        <v>3154905.3551571523</v>
      </c>
      <c r="BD12" s="22">
        <f>((Data!$AJ$6*'Net zero Intermediate calcs'!BD4)+Data!$AK$6)*Drivers!BE4</f>
        <v>3212671.0717327353</v>
      </c>
      <c r="BE12" s="22">
        <f>((Data!$AJ$6*'Net zero Intermediate calcs'!BE4)+Data!$AK$6)*Drivers!BF4</f>
        <v>3272271.9965181104</v>
      </c>
      <c r="BF12" s="22">
        <f>((Data!$AJ$6*'Net zero Intermediate calcs'!BF4)+Data!$AK$6)*Drivers!BG4</f>
        <v>3333994.0893037682</v>
      </c>
      <c r="BG12" s="22">
        <f>((Data!$AJ$6*'Net zero Intermediate calcs'!BG4)+Data!$AK$6)*Drivers!BH4</f>
        <v>3401421.1712419526</v>
      </c>
      <c r="BH12" s="22">
        <f>((Data!$AJ$6*'Net zero Intermediate calcs'!BH4)+Data!$AK$6)*Drivers!BI4</f>
        <v>3451670.4148595287</v>
      </c>
      <c r="BI12" s="22">
        <f>((Data!$AJ$6*'Net zero Intermediate calcs'!BI4)+Data!$AK$6)*Drivers!BJ4</f>
        <v>3501110.8810604643</v>
      </c>
      <c r="BJ12" s="22">
        <f>((Data!$AJ$6*'Net zero Intermediate calcs'!BJ4)+Data!$AK$6)*Drivers!BK4</f>
        <v>3551649.7058718633</v>
      </c>
      <c r="BK12" s="22">
        <f>((Data!$AJ$6*'Net zero Intermediate calcs'!BK4)+Data!$AK$6)*Drivers!BL4</f>
        <v>3602485.4251032704</v>
      </c>
      <c r="BL12">
        <v>3795265.5831033587</v>
      </c>
    </row>
    <row r="13" spans="1:67" x14ac:dyDescent="0.2">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37.458564417111084</v>
      </c>
      <c r="AA13" s="45">
        <f>AA12*ttokg/Drivers!AB4</f>
        <v>37.68309112514838</v>
      </c>
      <c r="AB13" s="45">
        <f>AB12*ttokg/Drivers!AC4</f>
        <v>37.731090083648773</v>
      </c>
      <c r="AC13" s="45">
        <f>AC12*ttokg/Drivers!AD4</f>
        <v>37.662375175971533</v>
      </c>
      <c r="AD13" s="45">
        <f>AD12*ttokg/Drivers!AE4</f>
        <v>37.479461161920788</v>
      </c>
      <c r="AE13" s="45">
        <f>AE12*ttokg/Drivers!AF4</f>
        <v>37.378043200844516</v>
      </c>
      <c r="AF13" s="45">
        <f>AF12*ttokg/Drivers!AG4</f>
        <v>37.286898324481015</v>
      </c>
      <c r="AG13" s="45">
        <f>AG12*ttokg/Drivers!AH4</f>
        <v>35.671472095019958</v>
      </c>
      <c r="AH13" s="45">
        <f>AH12*ttokg/Drivers!AI4</f>
        <v>36.073836385731667</v>
      </c>
      <c r="AI13" s="45">
        <f>AI12*ttokg/Drivers!AJ4</f>
        <v>36.345454203013816</v>
      </c>
      <c r="AJ13" s="45">
        <f>AJ12*ttokg/Drivers!AK4</f>
        <v>36.581522533603398</v>
      </c>
      <c r="AK13" s="45">
        <f>AK12*ttokg/Drivers!AL4</f>
        <v>36.870609313174441</v>
      </c>
      <c r="AL13" s="45">
        <f>AL12*ttokg/Drivers!AM4</f>
        <v>37.127399096053935</v>
      </c>
      <c r="AM13" s="45">
        <f>AM12*ttokg/Drivers!AN4</f>
        <v>37.363917411723058</v>
      </c>
      <c r="AN13" s="45">
        <f>AN12*ttokg/Drivers!AO4</f>
        <v>37.580084720183486</v>
      </c>
      <c r="AO13" s="45">
        <f>AO12*ttokg/Drivers!AP4</f>
        <v>37.768476667959533</v>
      </c>
      <c r="AP13" s="45">
        <f>AP12*ttokg/Drivers!AQ4</f>
        <v>38.046483463766407</v>
      </c>
      <c r="AQ13" s="45">
        <f>AQ12*ttokg/Drivers!AR4</f>
        <v>38.312337645318578</v>
      </c>
      <c r="AR13" s="45">
        <f>AR12*ttokg/Drivers!AS4</f>
        <v>38.636979612610915</v>
      </c>
      <c r="AS13" s="45">
        <f>AS12*ttokg/Drivers!AT4</f>
        <v>39.049130758036512</v>
      </c>
      <c r="AT13" s="45">
        <f>AT12*ttokg/Drivers!AU4</f>
        <v>39.501460160147005</v>
      </c>
      <c r="AU13" s="45">
        <f>AU12*ttokg/Drivers!AV4</f>
        <v>40.047627464957351</v>
      </c>
      <c r="AV13" s="45">
        <f>AV12*ttokg/Drivers!AW4</f>
        <v>40.442125731839724</v>
      </c>
      <c r="AW13" s="45">
        <f>AW12*ttokg/Drivers!AX4</f>
        <v>40.838770632003744</v>
      </c>
      <c r="AX13" s="45">
        <f>AX12*ttokg/Drivers!AY4</f>
        <v>41.282265486835101</v>
      </c>
      <c r="AY13" s="45">
        <f>AY12*ttokg/Drivers!AZ4</f>
        <v>41.70321948171069</v>
      </c>
      <c r="AZ13" s="45">
        <f>AZ12*ttokg/Drivers!BA4</f>
        <v>42.148805143930545</v>
      </c>
      <c r="BA13" s="45">
        <f>BA12*ttokg/Drivers!BB4</f>
        <v>42.594768628471456</v>
      </c>
      <c r="BB13" s="45">
        <f>BB12*ttokg/Drivers!BC4</f>
        <v>43.140349531599547</v>
      </c>
      <c r="BC13" s="45">
        <f>BC12*ttokg/Drivers!BD4</f>
        <v>43.657643623234904</v>
      </c>
      <c r="BD13" s="45">
        <f>BD12*ttokg/Drivers!BE4</f>
        <v>44.182591804901556</v>
      </c>
      <c r="BE13" s="45">
        <f>BE12*ttokg/Drivers!BF4</f>
        <v>44.724479111223545</v>
      </c>
      <c r="BF13" s="45">
        <f>BF12*ttokg/Drivers!BG4</f>
        <v>45.286805888530871</v>
      </c>
      <c r="BG13" s="45">
        <f>BG12*ttokg/Drivers!BH4</f>
        <v>45.968032039091192</v>
      </c>
      <c r="BH13" s="45">
        <f>BH12*ttokg/Drivers!BI4</f>
        <v>46.410201780383986</v>
      </c>
      <c r="BI13" s="45">
        <f>BI12*ttokg/Drivers!BJ4</f>
        <v>46.835874911253697</v>
      </c>
      <c r="BJ13" s="45">
        <f>BJ12*ttokg/Drivers!BK4</f>
        <v>47.270645553596211</v>
      </c>
      <c r="BK13" s="45">
        <f>BK12*ttokg/Drivers!BL4</f>
        <v>47.703723167219465</v>
      </c>
      <c r="BL13">
        <v>50.256436652233361</v>
      </c>
    </row>
    <row r="14" spans="1:67" x14ac:dyDescent="0.2">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1.7769640324401065E-2</v>
      </c>
      <c r="Z14" s="22">
        <f>((Data!$AJ$6*LN('Net zero Intermediate calcs'!Z4))+Data!$AK$6)</f>
        <v>1.7771577678710408E-2</v>
      </c>
      <c r="AA14" s="22">
        <f>((Data!$AJ$6*LN('Net zero Intermediate calcs'!AA4))+Data!$AK$6)</f>
        <v>1.7774491584502127E-2</v>
      </c>
      <c r="AB14" s="22">
        <f>((Data!$AJ$6*LN('Net zero Intermediate calcs'!AB4))+Data!$AK$6)</f>
        <v>1.7775110489339274E-2</v>
      </c>
      <c r="AC14" s="22">
        <f>((Data!$AJ$6*LN('Net zero Intermediate calcs'!AC4))+Data!$AK$6)</f>
        <v>1.7774224035138435E-2</v>
      </c>
      <c r="AD14" s="22">
        <f>((Data!$AJ$6*LN('Net zero Intermediate calcs'!AD4))+Data!$AK$6)</f>
        <v>1.7771850196398646E-2</v>
      </c>
      <c r="AE14" s="22">
        <f>((Data!$AJ$6*LN('Net zero Intermediate calcs'!AE4))+Data!$AK$6)</f>
        <v>1.7770525031244967E-2</v>
      </c>
      <c r="AF14" s="22">
        <f>((Data!$AJ$6*LN('Net zero Intermediate calcs'!AF4))+Data!$AK$6)</f>
        <v>1.7769328570467383E-2</v>
      </c>
      <c r="AG14" s="22">
        <f>((Data!$AJ$6*LN('Net zero Intermediate calcs'!AG4))+Data!$AK$6)</f>
        <v>1.7747200928370878E-2</v>
      </c>
      <c r="AH14" s="22">
        <f>((Data!$AJ$6*LN('Net zero Intermediate calcs'!AH4))+Data!$AK$6)</f>
        <v>1.7752882840548063E-2</v>
      </c>
      <c r="AI14" s="22">
        <f>((Data!$AJ$6*LN('Net zero Intermediate calcs'!AI4))+Data!$AK$6)</f>
        <v>1.7756652482873406E-2</v>
      </c>
      <c r="AJ14" s="22">
        <f>((Data!$AJ$6*LN('Net zero Intermediate calcs'!AJ4))+Data!$AK$6)</f>
        <v>1.7759886890923757E-2</v>
      </c>
      <c r="AK14" s="22">
        <f>((Data!$AJ$6*LN('Net zero Intermediate calcs'!AK4))+Data!$AK$6)</f>
        <v>1.7763796083980519E-2</v>
      </c>
      <c r="AL14" s="22">
        <f>((Data!$AJ$6*LN('Net zero Intermediate calcs'!AL4))+Data!$AK$6)</f>
        <v>1.7767222086516255E-2</v>
      </c>
      <c r="AM14" s="22">
        <f>((Data!$AJ$6*LN('Net zero Intermediate calcs'!AM4))+Data!$AK$6)</f>
        <v>1.77703399456179E-2</v>
      </c>
      <c r="AN14" s="22">
        <f>((Data!$AJ$6*LN('Net zero Intermediate calcs'!AN4))+Data!$AK$6)</f>
        <v>1.7773158638512265E-2</v>
      </c>
      <c r="AO14" s="22">
        <f>((Data!$AJ$6*LN('Net zero Intermediate calcs'!AO4))+Data!$AK$6)</f>
        <v>1.77755915841145E-2</v>
      </c>
      <c r="AP14" s="22">
        <f>((Data!$AJ$6*LN('Net zero Intermediate calcs'!AP4))+Data!$AK$6)</f>
        <v>1.7779142592055364E-2</v>
      </c>
      <c r="AQ14" s="22">
        <f>((Data!$AJ$6*LN('Net zero Intermediate calcs'!AQ4))+Data!$AK$6)</f>
        <v>1.7782495596399564E-2</v>
      </c>
      <c r="AR14" s="22">
        <f>((Data!$AJ$6*LN('Net zero Intermediate calcs'!AR4))+Data!$AK$6)</f>
        <v>1.7786534827871906E-2</v>
      </c>
      <c r="AS14" s="22">
        <f>((Data!$AJ$6*LN('Net zero Intermediate calcs'!AS4))+Data!$AK$6)</f>
        <v>1.7791578015701668E-2</v>
      </c>
      <c r="AT14" s="22">
        <f>((Data!$AJ$6*LN('Net zero Intermediate calcs'!AT4))+Data!$AK$6)</f>
        <v>1.7797007400160141E-2</v>
      </c>
      <c r="AU14" s="22">
        <f>((Data!$AJ$6*LN('Net zero Intermediate calcs'!AU4))+Data!$AK$6)</f>
        <v>1.7803422050946482E-2</v>
      </c>
      <c r="AV14" s="22">
        <f>((Data!$AJ$6*LN('Net zero Intermediate calcs'!AV4))+Data!$AK$6)</f>
        <v>1.7807963142247873E-2</v>
      </c>
      <c r="AW14" s="22">
        <f>((Data!$AJ$6*LN('Net zero Intermediate calcs'!AW4))+Data!$AK$6)</f>
        <v>1.7812453844610703E-2</v>
      </c>
      <c r="AX14" s="22">
        <f>((Data!$AJ$6*LN('Net zero Intermediate calcs'!AX4))+Data!$AK$6)</f>
        <v>1.7817388797464452E-2</v>
      </c>
      <c r="AY14" s="22">
        <f>((Data!$AJ$6*LN('Net zero Intermediate calcs'!AY4))+Data!$AK$6)</f>
        <v>1.7821991611924798E-2</v>
      </c>
      <c r="AZ14" s="22">
        <f>((Data!$AJ$6*LN('Net zero Intermediate calcs'!AZ4))+Data!$AK$6)</f>
        <v>1.7826780445922466E-2</v>
      </c>
      <c r="BA14" s="22">
        <f>((Data!$AJ$6*LN('Net zero Intermediate calcs'!BA4))+Data!$AK$6)</f>
        <v>1.7831490465683945E-2</v>
      </c>
      <c r="BB14" s="22">
        <f>((Data!$AJ$6*LN('Net zero Intermediate calcs'!BB4))+Data!$AK$6)</f>
        <v>1.7837143938726742E-2</v>
      </c>
      <c r="BC14" s="22">
        <f>((Data!$AJ$6*LN('Net zero Intermediate calcs'!BC4))+Data!$AK$6)</f>
        <v>1.7842398010345203E-2</v>
      </c>
      <c r="BD14" s="22">
        <f>((Data!$AJ$6*LN('Net zero Intermediate calcs'!BD4))+Data!$AK$6)</f>
        <v>1.7847628156339796E-2</v>
      </c>
      <c r="BE14" s="22">
        <f>((Data!$AJ$6*LN('Net zero Intermediate calcs'!BE4))+Data!$AK$6)</f>
        <v>1.7852923716951435E-2</v>
      </c>
      <c r="BF14" s="22">
        <f>((Data!$AJ$6*LN('Net zero Intermediate calcs'!BF4))+Data!$AK$6)</f>
        <v>1.7858312254674099E-2</v>
      </c>
      <c r="BG14" s="22">
        <f>((Data!$AJ$6*LN('Net zero Intermediate calcs'!BG4))+Data!$AK$6)</f>
        <v>1.7864700456957393E-2</v>
      </c>
      <c r="BH14" s="22">
        <f>((Data!$AJ$6*LN('Net zero Intermediate calcs'!BH4))+Data!$AK$6)</f>
        <v>1.786876810862199E-2</v>
      </c>
      <c r="BI14" s="22">
        <f>((Data!$AJ$6*LN('Net zero Intermediate calcs'!BI4))+Data!$AK$6)</f>
        <v>1.78726274183191E-2</v>
      </c>
      <c r="BJ14" s="22">
        <f>((Data!$AJ$6*LN('Net zero Intermediate calcs'!BJ4))+Data!$AK$6)</f>
        <v>1.7876513541624037E-2</v>
      </c>
      <c r="BK14" s="22">
        <f>((Data!$AJ$6*LN('Net zero Intermediate calcs'!BK4))+Data!$AK$6)</f>
        <v>1.7880330164920532E-2</v>
      </c>
      <c r="BL14">
        <v>1.8133705365528188E-2</v>
      </c>
    </row>
    <row r="15" spans="1:67" x14ac:dyDescent="0.2">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2896085.5151347183</v>
      </c>
      <c r="AA15" s="22">
        <f>((Data!$AJ$17*'Net zero Intermediate calcs'!AA12)+Data!$AK$17)</f>
        <v>2942445.3105118945</v>
      </c>
      <c r="AB15" s="22">
        <f>((Data!$AJ$17*'Net zero Intermediate calcs'!AB12)+Data!$AK$17)</f>
        <v>2979877.5090505611</v>
      </c>
      <c r="AC15" s="22">
        <f>((Data!$AJ$17*'Net zero Intermediate calcs'!AC12)+Data!$AK$17)</f>
        <v>3011589.701515968</v>
      </c>
      <c r="AD15" s="22">
        <f>((Data!$AJ$17*'Net zero Intermediate calcs'!AD12)+Data!$AK$17)</f>
        <v>3037447.9061853234</v>
      </c>
      <c r="AE15" s="22">
        <f>((Data!$AJ$17*'Net zero Intermediate calcs'!AE12)+Data!$AK$17)</f>
        <v>3068558.1134720882</v>
      </c>
      <c r="AF15" s="22">
        <f>((Data!$AJ$17*'Net zero Intermediate calcs'!AF12)+Data!$AK$17)</f>
        <v>3100724.393602334</v>
      </c>
      <c r="AG15" s="22">
        <f>((Data!$AJ$17*'Net zero Intermediate calcs'!AG12)+Data!$AK$17)</f>
        <v>3034401.9213286387</v>
      </c>
      <c r="AH15" s="22">
        <f>((Data!$AJ$17*'Net zero Intermediate calcs'!AH12)+Data!$AK$17)</f>
        <v>3087466.3209653459</v>
      </c>
      <c r="AI15" s="22">
        <f>((Data!$AJ$17*'Net zero Intermediate calcs'!AI12)+Data!$AK$17)</f>
        <v>3132764.809112208</v>
      </c>
      <c r="AJ15" s="22">
        <f>((Data!$AJ$17*'Net zero Intermediate calcs'!AJ12)+Data!$AK$17)</f>
        <v>3176405.010215736</v>
      </c>
      <c r="AK15" s="22">
        <f>((Data!$AJ$17*'Net zero Intermediate calcs'!AK12)+Data!$AK$17)</f>
        <v>3224331.9717371343</v>
      </c>
      <c r="AL15" s="22">
        <f>((Data!$AJ$17*'Net zero Intermediate calcs'!AL12)+Data!$AK$17)</f>
        <v>3270817.5846532267</v>
      </c>
      <c r="AM15" s="22">
        <f>((Data!$AJ$17*'Net zero Intermediate calcs'!AM12)+Data!$AK$17)</f>
        <v>3312350.7459170595</v>
      </c>
      <c r="AN15" s="22">
        <f>((Data!$AJ$17*'Net zero Intermediate calcs'!AN12)+Data!$AK$17)</f>
        <v>3353028.3579714317</v>
      </c>
      <c r="AO15" s="22">
        <f>((Data!$AJ$17*'Net zero Intermediate calcs'!AO12)+Data!$AK$17)</f>
        <v>3392290.1150628617</v>
      </c>
      <c r="AP15" s="22">
        <f>((Data!$AJ$17*'Net zero Intermediate calcs'!AP12)+Data!$AK$17)</f>
        <v>3438473.8197192559</v>
      </c>
      <c r="AQ15" s="22">
        <f>((Data!$AJ$17*'Net zero Intermediate calcs'!AQ12)+Data!$AK$17)</f>
        <v>3484430.8836629651</v>
      </c>
      <c r="AR15" s="22">
        <f>((Data!$AJ$17*'Net zero Intermediate calcs'!AR12)+Data!$AK$17)</f>
        <v>3531654.9145949753</v>
      </c>
      <c r="AS15" s="22">
        <f>((Data!$AJ$17*'Net zero Intermediate calcs'!AS12)+Data!$AK$17)</f>
        <v>3585907.0564427841</v>
      </c>
      <c r="AT15" s="22">
        <f>((Data!$AJ$17*'Net zero Intermediate calcs'!AT12)+Data!$AK$17)</f>
        <v>3643854.7650045119</v>
      </c>
      <c r="AU15" s="22">
        <f>((Data!$AJ$17*'Net zero Intermediate calcs'!AU12)+Data!$AK$17)</f>
        <v>3709588.8483750653</v>
      </c>
      <c r="AV15" s="22">
        <f>((Data!$AJ$17*'Net zero Intermediate calcs'!AV12)+Data!$AK$17)</f>
        <v>3764811.48725098</v>
      </c>
      <c r="AW15" s="22">
        <f>((Data!$AJ$17*'Net zero Intermediate calcs'!AW12)+Data!$AK$17)</f>
        <v>3817191.4941945942</v>
      </c>
      <c r="AX15" s="22">
        <f>((Data!$AJ$17*'Net zero Intermediate calcs'!AX12)+Data!$AK$17)</f>
        <v>3873754.8155542351</v>
      </c>
      <c r="AY15" s="22">
        <f>((Data!$AJ$17*'Net zero Intermediate calcs'!AY12)+Data!$AK$17)</f>
        <v>3929245.4811158478</v>
      </c>
      <c r="AZ15" s="22">
        <f>((Data!$AJ$17*'Net zero Intermediate calcs'!AZ12)+Data!$AK$17)</f>
        <v>3987289.2375753894</v>
      </c>
      <c r="BA15" s="22">
        <f>((Data!$AJ$17*'Net zero Intermediate calcs'!BA12)+Data!$AK$17)</f>
        <v>4046040.3592734532</v>
      </c>
      <c r="BB15" s="22">
        <f>((Data!$AJ$17*'Net zero Intermediate calcs'!BB12)+Data!$AK$17)</f>
        <v>4109572.7838168042</v>
      </c>
      <c r="BC15" s="22">
        <f>((Data!$AJ$17*'Net zero Intermediate calcs'!BC12)+Data!$AK$17)</f>
        <v>4171529.4811842758</v>
      </c>
      <c r="BD15" s="22">
        <f>((Data!$AJ$17*'Net zero Intermediate calcs'!BD12)+Data!$AK$17)</f>
        <v>4234733.9816238265</v>
      </c>
      <c r="BE15" s="22">
        <f>((Data!$AJ$17*'Net zero Intermediate calcs'!BE12)+Data!$AK$17)</f>
        <v>4299946.4796262681</v>
      </c>
      <c r="BF15" s="22">
        <f>((Data!$AJ$17*'Net zero Intermediate calcs'!BF12)+Data!$AK$17)</f>
        <v>4367479.8587975753</v>
      </c>
      <c r="BG15" s="22">
        <f>((Data!$AJ$17*'Net zero Intermediate calcs'!BG12)+Data!$AK$17)</f>
        <v>4441255.3658394273</v>
      </c>
      <c r="BH15" s="22">
        <f>((Data!$AJ$17*'Net zero Intermediate calcs'!BH12)+Data!$AK$17)</f>
        <v>4496235.6989606926</v>
      </c>
      <c r="BI15" s="22">
        <f>((Data!$AJ$17*'Net zero Intermediate calcs'!BI12)+Data!$AK$17)</f>
        <v>4550331.1062883232</v>
      </c>
      <c r="BJ15" s="22">
        <f>((Data!$AJ$17*'Net zero Intermediate calcs'!BJ12)+Data!$AK$17)</f>
        <v>4605628.2853828976</v>
      </c>
      <c r="BK15" s="22">
        <f>((Data!$AJ$17*'Net zero Intermediate calcs'!BK12)+Data!$AK$17)</f>
        <v>4661250.312235144</v>
      </c>
      <c r="BL15">
        <v>4872181.1948307119</v>
      </c>
    </row>
    <row r="16" spans="1:67" x14ac:dyDescent="0.2">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0.54965808383826509</v>
      </c>
      <c r="AI16" s="94">
        <f>IF($Y$1="Off",((Data!$AJ$18*LN('Net zero Intermediate calcs'!AI2))+Data!$AK$18),IF($Y$1="PQ",('Net zero supporting data'!L99),IF($Y$1="GS",('Net zero supporting data'!L63),'Net zero supporting data'!L82)))</f>
        <v>0.54212558484381212</v>
      </c>
      <c r="AJ16" s="94">
        <f>IF($Y$1="Off",((Data!$AJ$18*LN('Net zero Intermediate calcs'!AJ2))+Data!$AK$18),IF($Y$1="PQ",('Net zero supporting data'!M99),IF($Y$1="GS",('Net zero supporting data'!M63),'Net zero supporting data'!M82)))</f>
        <v>0.53476409161581684</v>
      </c>
      <c r="AK16" s="94">
        <f>IF($Y$1="Off",((Data!$AJ$18*LN('Net zero Intermediate calcs'!AK2))+Data!$AK$18),IF($Y$1="PQ",('Net zero supporting data'!N99),IF($Y$1="GS",('Net zero supporting data'!N63),'Net zero supporting data'!N82)))</f>
        <v>0.52756160766037774</v>
      </c>
      <c r="AL16" s="94">
        <f>IF($Y$1="Off",((Data!$AJ$18*LN('Net zero Intermediate calcs'!AL2))+Data!$AK$18),IF($Y$1="PQ",('Net zero supporting data'!O99),IF($Y$1="GS",('Net zero supporting data'!O63),'Net zero supporting data'!O82)))</f>
        <v>0.52050741252183164</v>
      </c>
      <c r="AM16" s="94">
        <f>IF($Y$1="Off",((Data!$AJ$18*LN('Net zero Intermediate calcs'!AM2))+Data!$AK$18),IF($Y$1="PQ",('Net zero supporting data'!P99),IF($Y$1="GS",('Net zero supporting data'!P63),'Net zero supporting data'!P82)))</f>
        <v>0.51359188492897778</v>
      </c>
      <c r="AN16" s="94">
        <f>IF($Y$1="Off",((Data!$AJ$18*LN('Net zero Intermediate calcs'!AN2))+Data!$AK$18),IF($Y$1="PQ",('Net zero supporting data'!Q99),IF($Y$1="GS",('Net zero supporting data'!Q63),'Net zero supporting data'!Q82)))</f>
        <v>0.50680635569725696</v>
      </c>
      <c r="AO16" s="94">
        <f>IF($Y$1="Off",((Data!$AJ$18*LN('Net zero Intermediate calcs'!AO2))+Data!$AK$18),IF($Y$1="PQ",('Net zero supporting data'!R99),IF($Y$1="GS",('Net zero supporting data'!R63),'Net zero supporting data'!R82)))</f>
        <v>0.50014298456044559</v>
      </c>
      <c r="AP16" s="94">
        <f>IF($Y$1="Off",((Data!$AJ$18*LN('Net zero Intermediate calcs'!AP2))+Data!$AK$18),IF($Y$1="PQ",('Net zero supporting data'!S99),IF($Y$1="GS",('Net zero supporting data'!S63),'Net zero supporting data'!S82)))</f>
        <v>0.49359465639620581</v>
      </c>
      <c r="AQ16" s="94">
        <f>IF($Y$1="Off",((Data!$AJ$18*LN('Net zero Intermediate calcs'!AQ2))+Data!$AK$18),IF($Y$1="PQ",('Net zero supporting data'!T99),IF($Y$1="GS",('Net zero supporting data'!T63),'Net zero supporting data'!T82)))</f>
        <v>0.48715489328353184</v>
      </c>
      <c r="AR16" s="94">
        <f>IF($Y$1="Off",((Data!$AJ$18*LN('Net zero Intermediate calcs'!AR2))+Data!$AK$18),IF($Y$1="PQ",('Net zero supporting data'!U99),IF($Y$1="GS",('Net zero supporting data'!U63),'Net zero supporting data'!U82)))</f>
        <v>0.48424466067624239</v>
      </c>
      <c r="AS16" s="94">
        <f>IF($Y$1="Off",((Data!$AJ$18*LN('Net zero Intermediate calcs'!AS2))+Data!$AK$18),IF($Y$1="PQ",('Net zero supporting data'!V99),IF($Y$1="GS",('Net zero supporting data'!V63),'Net zero supporting data'!V82)))</f>
        <v>0.48140257986891394</v>
      </c>
      <c r="AT16" s="94">
        <f>IF($Y$1="Off",((Data!$AJ$18*LN('Net zero Intermediate calcs'!AT2))+Data!$AK$18),IF($Y$1="PQ",('Net zero supporting data'!W99),IF($Y$1="GS",('Net zero supporting data'!W63),'Net zero supporting data'!W82)))</f>
        <v>0.47862490509640809</v>
      </c>
      <c r="AU16" s="94">
        <f>IF($Y$1="Off",((Data!$AJ$18*LN('Net zero Intermediate calcs'!AU2))+Data!$AK$18),IF($Y$1="PQ",('Net zero supporting data'!X99),IF($Y$1="GS",('Net zero supporting data'!X63),'Net zero supporting data'!X82)))</f>
        <v>0.47590819595315087</v>
      </c>
      <c r="AV16" s="94">
        <f>IF($Y$1="Off",((Data!$AJ$18*LN('Net zero Intermediate calcs'!AV2))+Data!$AK$18),IF($Y$1="PQ",('Net zero supporting data'!Y99),IF($Y$1="GS",('Net zero supporting data'!Y63),'Net zero supporting data'!Y82)))</f>
        <v>0.4732492849495688</v>
      </c>
      <c r="AW16" s="94">
        <f>IF($Y$1="Off",((Data!$AJ$18*LN('Net zero Intermediate calcs'!AW2))+Data!$AK$18),IF($Y$1="PQ",('Net zero supporting data'!Z99),IF($Y$1="GS",('Net zero supporting data'!Z63),'Net zero supporting data'!Z82)))</f>
        <v>0.47064524927270812</v>
      </c>
      <c r="AX16" s="94">
        <f>IF($Y$1="Off",((Data!$AJ$18*LN('Net zero Intermediate calcs'!AX2))+Data!$AK$18),IF($Y$1="PQ",('Net zero supporting data'!AA99),IF($Y$1="GS",('Net zero supporting data'!AA63),'Net zero supporting data'!AA82)))</f>
        <v>0.46809338611326562</v>
      </c>
      <c r="AY16" s="94">
        <f>IF($Y$1="Off",((Data!$AJ$18*LN('Net zero Intermediate calcs'!AY2))+Data!$AK$18),IF($Y$1="PQ",('Net zero supporting data'!AB99),IF($Y$1="GS",('Net zero supporting data'!AB63),'Net zero supporting data'!AB82)))</f>
        <v>0.46559119103139651</v>
      </c>
      <c r="AZ16" s="94">
        <f>IF($Y$1="Off",((Data!$AJ$18*LN('Net zero Intermediate calcs'!AZ2))+Data!$AK$18),IF($Y$1="PQ",('Net zero supporting data'!AC99),IF($Y$1="GS",('Net zero supporting data'!AC63),'Net zero supporting data'!AC82)))</f>
        <v>0.46313633892259948</v>
      </c>
      <c r="BA16" s="94">
        <f>IF($Y$1="Off",((Data!$AJ$18*LN('Net zero Intermediate calcs'!BA2))+Data!$AK$18),IF($Y$1="PQ",('Net zero supporting data'!AD99),IF($Y$1="GS",('Net zero supporting data'!AD63),'Net zero supporting data'!AD82)))</f>
        <v>0.46072666721716049</v>
      </c>
      <c r="BB16" s="94">
        <f>IF($Y$1="Off",((Data!$AJ$18*LN('Net zero Intermediate calcs'!BB2))+Data!$AK$18),IF($Y$1="PQ",('Net zero supporting data'!AE99),IF($Y$1="GS",('Net zero supporting data'!AE63),'Net zero supporting data'!AE82)))</f>
        <v>0.45836016100556898</v>
      </c>
      <c r="BC16" s="94">
        <f>IF($Y$1="Off",((Data!$AJ$18*LN('Net zero Intermediate calcs'!BC2))+Data!$AK$18),IF($Y$1="PQ",('Net zero supporting data'!AF99),IF($Y$1="GS",('Net zero supporting data'!AF63),'Net zero supporting data'!AF82)))</f>
        <v>0.45603493983065041</v>
      </c>
      <c r="BD16" s="94">
        <f>IF($Y$1="Off",((Data!$AJ$18*LN('Net zero Intermediate calcs'!BD2))+Data!$AK$18),IF($Y$1="PQ",('Net zero supporting data'!AG99),IF($Y$1="GS",('Net zero supporting data'!AG63),'Net zero supporting data'!AG82)))</f>
        <v>0.453749245927006</v>
      </c>
      <c r="BE16" s="94">
        <f>IF($Y$1="Off",((Data!$AJ$18*LN('Net zero Intermediate calcs'!BE2))+Data!$AK$18),IF($Y$1="PQ",('Net zero supporting data'!AH99),IF($Y$1="GS",('Net zero supporting data'!AH63),'Net zero supporting data'!AH82)))</f>
        <v>0.45150143372134133</v>
      </c>
      <c r="BF16" s="94">
        <f>IF($Y$1="Off",((Data!$AJ$18*LN('Net zero Intermediate calcs'!BF2))+Data!$AK$18),IF($Y$1="PQ",('Net zero supporting data'!AI99),IF($Y$1="GS",('Net zero supporting data'!AI63),'Net zero supporting data'!AI82)))</f>
        <v>0.44928996043470693</v>
      </c>
      <c r="BG16" s="94">
        <f>IF($Y$1="Off",((Data!$AJ$18*LN('Net zero Intermediate calcs'!BG2))+Data!$AK$18),IF($Y$1="PQ",('Net zero supporting data'!AJ99),IF($Y$1="GS",('Net zero supporting data'!AJ63),'Net zero supporting data'!AJ82)))</f>
        <v>0.44711337765058967</v>
      </c>
      <c r="BH16" s="94">
        <f>IF($Y$1="Off",((Data!$AJ$18*LN('Net zero Intermediate calcs'!BH2))+Data!$AK$18),IF($Y$1="PQ",('Net zero supporting data'!AK99),IF($Y$1="GS",('Net zero supporting data'!AK63),'Net zero supporting data'!AK82)))</f>
        <v>0.44497032373201256</v>
      </c>
      <c r="BI16" s="94">
        <f>IF($Y$1="Off",((Data!$AJ$18*LN('Net zero Intermediate calcs'!BI2))+Data!$AK$18),IF($Y$1="PQ",('Net zero supporting data'!AL99),IF($Y$1="GS",('Net zero supporting data'!AL63),'Net zero supporting data'!AL82)))</f>
        <v>0.44285951698697568</v>
      </c>
      <c r="BJ16" s="94">
        <f>IF($Y$1="Off",((Data!$AJ$18*LN('Net zero Intermediate calcs'!BJ2))+Data!$AK$18),IF($Y$1="PQ",('Net zero supporting data'!AM99),IF($Y$1="GS",('Net zero supporting data'!AM63),'Net zero supporting data'!AM82)))</f>
        <v>0.44077974949523197</v>
      </c>
      <c r="BK16" s="94">
        <f>IF($Y$1="Off",((Data!$AJ$18*LN('Net zero Intermediate calcs'!BK2))+Data!$AK$18),IF($Y$1="PQ",('Net zero supporting data'!AN99),IF($Y$1="GS",('Net zero supporting data'!AN63),'Net zero supporting data'!AN82)))</f>
        <v>0.43872988152097986</v>
      </c>
      <c r="BL16">
        <v>0.49295492305728073</v>
      </c>
    </row>
    <row r="17" spans="1:64" x14ac:dyDescent="0.2">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2">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177637.09191728826</v>
      </c>
      <c r="AH18" s="22">
        <f t="shared" si="3"/>
        <v>179060.57292509661</v>
      </c>
      <c r="AI18" s="22">
        <f t="shared" si="3"/>
        <v>180491.14739755823</v>
      </c>
      <c r="AJ18" s="22">
        <f t="shared" si="3"/>
        <v>181935.77452635719</v>
      </c>
      <c r="AK18" s="22">
        <f t="shared" si="3"/>
        <v>183401.23515728026</v>
      </c>
      <c r="AL18" s="22">
        <f t="shared" si="3"/>
        <v>184881.35730144716</v>
      </c>
      <c r="AM18" s="22">
        <f t="shared" si="3"/>
        <v>186163.13916748544</v>
      </c>
      <c r="AN18" s="22">
        <f t="shared" si="3"/>
        <v>187456.13867834836</v>
      </c>
      <c r="AO18" s="22">
        <f t="shared" si="3"/>
        <v>188759.85380632215</v>
      </c>
      <c r="AP18" s="22">
        <f t="shared" si="3"/>
        <v>190083.65887926851</v>
      </c>
      <c r="AQ18" s="22">
        <f t="shared" si="3"/>
        <v>191419.74252341699</v>
      </c>
      <c r="AR18" s="22">
        <f t="shared" si="3"/>
        <v>192596.94464528965</v>
      </c>
      <c r="AS18" s="22">
        <f t="shared" si="3"/>
        <v>193791.54589400379</v>
      </c>
      <c r="AT18" s="22">
        <f t="shared" si="3"/>
        <v>194999.92971417823</v>
      </c>
      <c r="AU18" s="22">
        <f t="shared" si="3"/>
        <v>196226.718732156</v>
      </c>
      <c r="AV18" s="22">
        <f t="shared" si="3"/>
        <v>197451.68924139609</v>
      </c>
      <c r="AW18" s="22">
        <f t="shared" si="3"/>
        <v>198516.61109412447</v>
      </c>
      <c r="AX18" s="22">
        <f t="shared" si="3"/>
        <v>199593.54648374426</v>
      </c>
      <c r="AY18" s="22">
        <f t="shared" si="3"/>
        <v>200676.71626508725</v>
      </c>
      <c r="AZ18" s="22">
        <f t="shared" si="3"/>
        <v>201770.19867275364</v>
      </c>
      <c r="BA18" s="22">
        <f t="shared" si="3"/>
        <v>202872.00006524246</v>
      </c>
      <c r="BB18" s="22">
        <f t="shared" si="3"/>
        <v>203828.34952307199</v>
      </c>
      <c r="BC18" s="22">
        <f t="shared" si="3"/>
        <v>204788.45212371188</v>
      </c>
      <c r="BD18" s="22">
        <f t="shared" si="3"/>
        <v>205755.47561048091</v>
      </c>
      <c r="BE18" s="22">
        <f t="shared" si="3"/>
        <v>206730.29803607438</v>
      </c>
      <c r="BF18" s="22">
        <f t="shared" si="3"/>
        <v>207713.30123834149</v>
      </c>
      <c r="BG18" s="22">
        <f t="shared" si="3"/>
        <v>208546.15426372847</v>
      </c>
      <c r="BH18" s="22">
        <f t="shared" si="3"/>
        <v>209361.98190304814</v>
      </c>
      <c r="BI18" s="22">
        <f t="shared" si="3"/>
        <v>210180.6806311117</v>
      </c>
      <c r="BJ18" s="22">
        <f t="shared" si="3"/>
        <v>211004.58594774903</v>
      </c>
      <c r="BK18" s="22">
        <f t="shared" si="3"/>
        <v>211832.74440754173</v>
      </c>
      <c r="BL18">
        <v>211943.68695393516</v>
      </c>
    </row>
    <row r="19" spans="1:64" x14ac:dyDescent="0.2">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190794.16149087547</v>
      </c>
      <c r="AH19" s="94">
        <f>IF('Net zero activities &amp; levers'!$C$12="Off",(((Data!$AJ$7*'Intermediate calculations'!AH4)+Data!$AK$7)*Drivers!AI4),IF('Net zero activities &amp; levers'!$C$12="PB",(((Data!$AJ$7*'Intermediate calculations'!AH4)+Data!$AK$7)*Drivers!AI4),IF('Net zero activities &amp; levers'!$C$12="MS",'Net zero supporting data'!K206,"ERROR")))</f>
        <v>193037.18494819524</v>
      </c>
      <c r="AI19" s="94">
        <f>IF('Net zero activities &amp; levers'!$C$12="Off",(((Data!$AJ$7*'Intermediate calculations'!AI4)+Data!$AK$7)*Drivers!AJ4),IF('Net zero activities &amp; levers'!$C$12="PB",(((Data!$AJ$7*'Intermediate calculations'!AI4)+Data!$AK$7)*Drivers!AJ4),IF('Net zero activities &amp; levers'!$C$12="MS",'Net zero supporting data'!L206,"ERROR")))</f>
        <v>195291.38579918843</v>
      </c>
      <c r="AJ19" s="94">
        <f>IF('Net zero activities &amp; levers'!$C$12="Off",(((Data!$AJ$7*'Intermediate calculations'!AJ4)+Data!$AK$7)*Drivers!AK4),IF('Net zero activities &amp; levers'!$C$12="PB",(((Data!$AJ$7*'Intermediate calculations'!AJ4)+Data!$AK$7)*Drivers!AK4),IF('Net zero activities &amp; levers'!$C$12="MS",'Net zero supporting data'!M206,"ERROR")))</f>
        <v>197567.72985941972</v>
      </c>
      <c r="AK19" s="94">
        <f>IF('Net zero activities &amp; levers'!$C$12="Off",(((Data!$AJ$7*'Intermediate calculations'!AK4)+Data!$AK$7)*Drivers!AL4),IF('Net zero activities &amp; levers'!$C$12="PB",(((Data!$AJ$7*'Intermediate calculations'!AK4)+Data!$AK$7)*Drivers!AL4),IF('Net zero activities &amp; levers'!$C$12="MS",'Net zero supporting data'!N206,"ERROR")))</f>
        <v>199876.90191925634</v>
      </c>
      <c r="AL19" s="94">
        <f>IF('Net zero activities &amp; levers'!$C$12="Off",(((Data!$AJ$7*'Intermediate calculations'!AL4)+Data!$AK$7)*Drivers!AM4),IF('Net zero activities &amp; levers'!$C$12="PB",(((Data!$AJ$7*'Intermediate calculations'!AL4)+Data!$AK$7)*Drivers!AM4),IF('Net zero activities &amp; levers'!$C$12="MS",'Net zero supporting data'!O206,"ERROR")))</f>
        <v>202209.17658316376</v>
      </c>
      <c r="AM19" s="94">
        <f>IF('Net zero activities &amp; levers'!$C$12="Off",(((Data!$AJ$7*'Intermediate calculations'!AM4)+Data!$AK$7)*Drivers!AN4),IF('Net zero activities &amp; levers'!$C$12="PB",(((Data!$AJ$7*'Intermediate calculations'!AM4)+Data!$AK$7)*Drivers!AN4),IF('Net zero activities &amp; levers'!$C$12="MS",'Net zero supporting data'!P206,"ERROR")))</f>
        <v>204228.92027972176</v>
      </c>
      <c r="AN19" s="94">
        <f>IF('Net zero activities &amp; levers'!$C$12="Off",(((Data!$AJ$7*'Intermediate calculations'!AN4)+Data!$AK$7)*Drivers!AO4),IF('Net zero activities &amp; levers'!$C$12="PB",(((Data!$AJ$7*'Intermediate calculations'!AN4)+Data!$AK$7)*Drivers!AO4),IF('Net zero activities &amp; levers'!$C$12="MS",'Net zero supporting data'!Q206,"ERROR")))</f>
        <v>206266.33996938364</v>
      </c>
      <c r="AO19" s="94">
        <f>IF('Net zero activities &amp; levers'!$C$12="Off",(((Data!$AJ$7*'Intermediate calculations'!AO4)+Data!$AK$7)*Drivers!AP4),IF('Net zero activities &amp; levers'!$C$12="PB",(((Data!$AJ$7*'Intermediate calculations'!AO4)+Data!$AK$7)*Drivers!AP4),IF('Net zero activities &amp; levers'!$C$12="MS",'Net zero supporting data'!R206,"ERROR")))</f>
        <v>208320.6445914103</v>
      </c>
      <c r="AP19" s="94">
        <f>IF('Net zero activities &amp; levers'!$C$12="Off",(((Data!$AJ$7*'Intermediate calculations'!AP4)+Data!$AK$7)*Drivers!AQ4),IF('Net zero activities &amp; levers'!$C$12="PB",(((Data!$AJ$7*'Intermediate calculations'!AP4)+Data!$AK$7)*Drivers!AQ4),IF('Net zero activities &amp; levers'!$C$12="MS",'Net zero supporting data'!S206,"ERROR")))</f>
        <v>210406.6055668288</v>
      </c>
      <c r="AQ19" s="94">
        <f>IF('Net zero activities &amp; levers'!$C$12="Off",(((Data!$AJ$7*'Intermediate calculations'!AQ4)+Data!$AK$7)*Drivers!AR4),IF('Net zero activities &amp; levers'!$C$12="PB",(((Data!$AJ$7*'Intermediate calculations'!AQ4)+Data!$AK$7)*Drivers!AR4),IF('Net zero activities &amp; levers'!$C$12="MS",'Net zero supporting data'!T206,"ERROR")))</f>
        <v>212511.91427016049</v>
      </c>
      <c r="AR19" s="94">
        <f>IF('Net zero activities &amp; levers'!$C$12="Off",(((Data!$AJ$7*'Intermediate calculations'!AR4)+Data!$AK$7)*Drivers!AS4),IF('Net zero activities &amp; levers'!$C$12="PB",(((Data!$AJ$7*'Intermediate calculations'!AR4)+Data!$AK$7)*Drivers!AS4),IF('Net zero activities &amp; levers'!$C$12="MS",'Net zero supporting data'!U206,"ERROR")))</f>
        <v>214366.86839942733</v>
      </c>
      <c r="AS19" s="94">
        <f>IF('Net zero activities &amp; levers'!$C$12="Off",(((Data!$AJ$7*'Intermediate calculations'!AS4)+Data!$AK$7)*Drivers!AT4),IF('Net zero activities &amp; levers'!$C$12="PB",(((Data!$AJ$7*'Intermediate calculations'!AS4)+Data!$AK$7)*Drivers!AT4),IF('Net zero activities &amp; levers'!$C$12="MS",'Net zero supporting data'!V206,"ERROR")))</f>
        <v>216249.23887596416</v>
      </c>
      <c r="AT19" s="94">
        <f>IF('Net zero activities &amp; levers'!$C$12="Off",(((Data!$AJ$7*'Intermediate calculations'!AT4)+Data!$AK$7)*Drivers!AU4),IF('Net zero activities &amp; levers'!$C$12="PB",(((Data!$AJ$7*'Intermediate calculations'!AT4)+Data!$AK$7)*Drivers!AU4),IF('Net zero activities &amp; levers'!$C$12="MS",'Net zero supporting data'!W206,"ERROR")))</f>
        <v>218153.32698056771</v>
      </c>
      <c r="AU19" s="94">
        <f>IF('Net zero activities &amp; levers'!$C$12="Off",(((Data!$AJ$7*'Intermediate calculations'!AU4)+Data!$AK$7)*Drivers!AV4),IF('Net zero activities &amp; levers'!$C$12="PB",(((Data!$AJ$7*'Intermediate calculations'!AU4)+Data!$AK$7)*Drivers!AV4),IF('Net zero activities &amp; levers'!$C$12="MS",'Net zero supporting data'!X206,"ERROR")))</f>
        <v>220086.41672985992</v>
      </c>
      <c r="AV19" s="94">
        <f>IF('Net zero activities &amp; levers'!$C$12="Off",(((Data!$AJ$7*'Intermediate calculations'!AV4)+Data!$AK$7)*Drivers!AW4),IF('Net zero activities &amp; levers'!$C$12="PB",(((Data!$AJ$7*'Intermediate calculations'!AV4)+Data!$AK$7)*Drivers!AW4),IF('Net zero activities &amp; levers'!$C$12="MS",'Net zero supporting data'!Y206,"ERROR")))</f>
        <v>222016.64099817013</v>
      </c>
      <c r="AW19" s="94">
        <f>IF('Net zero activities &amp; levers'!$C$12="Off",(((Data!$AJ$7*'Intermediate calculations'!AW4)+Data!$AK$7)*Drivers!AX4),IF('Net zero activities &amp; levers'!$C$12="PB",(((Data!$AJ$7*'Intermediate calculations'!AW4)+Data!$AK$7)*Drivers!AX4),IF('Net zero activities &amp; levers'!$C$12="MS",'Net zero supporting data'!Z206,"ERROR")))</f>
        <v>223694.6716025685</v>
      </c>
      <c r="AX19" s="94">
        <f>IF('Net zero activities &amp; levers'!$C$12="Off",(((Data!$AJ$7*'Intermediate calculations'!AX4)+Data!$AK$7)*Drivers!AY4),IF('Net zero activities &amp; levers'!$C$12="PB",(((Data!$AJ$7*'Intermediate calculations'!AX4)+Data!$AK$7)*Drivers!AY4),IF('Net zero activities &amp; levers'!$C$12="MS",'Net zero supporting data'!AA206,"ERROR")))</f>
        <v>225391.63231204374</v>
      </c>
      <c r="AY19" s="94">
        <f>IF('Net zero activities &amp; levers'!$C$12="Off",(((Data!$AJ$7*'Intermediate calculations'!AY4)+Data!$AK$7)*Drivers!AZ4),IF('Net zero activities &amp; levers'!$C$12="PB",(((Data!$AJ$7*'Intermediate calculations'!AY4)+Data!$AK$7)*Drivers!AZ4),IF('Net zero activities &amp; levers'!$C$12="MS",'Net zero supporting data'!AB206,"ERROR")))</f>
        <v>227098.41674716098</v>
      </c>
      <c r="AZ19" s="94">
        <f>IF('Net zero activities &amp; levers'!$C$12="Off",(((Data!$AJ$7*'Intermediate calculations'!AZ4)+Data!$AK$7)*Drivers!BA4),IF('Net zero activities &amp; levers'!$C$12="PB",(((Data!$AJ$7*'Intermediate calculations'!AZ4)+Data!$AK$7)*Drivers!BA4),IF('Net zero activities &amp; levers'!$C$12="MS",'Net zero supporting data'!AC206,"ERROR")))</f>
        <v>228821.45110947991</v>
      </c>
      <c r="BA19" s="94">
        <f>IF('Net zero activities &amp; levers'!$C$12="Off",(((Data!$AJ$7*'Intermediate calculations'!BA4)+Data!$AK$7)*Drivers!BB4),IF('Net zero activities &amp; levers'!$C$12="PB",(((Data!$AJ$7*'Intermediate calculations'!BA4)+Data!$AK$7)*Drivers!BB4),IF('Net zero activities &amp; levers'!$C$12="MS",'Net zero supporting data'!AD206,"ERROR")))</f>
        <v>230557.59395585698</v>
      </c>
      <c r="BB19" s="94">
        <f>IF('Net zero activities &amp; levers'!$C$12="Off",(((Data!$AJ$7*'Intermediate calculations'!BB4)+Data!$AK$7)*Drivers!BC4),IF('Net zero activities &amp; levers'!$C$12="PB",(((Data!$AJ$7*'Intermediate calculations'!BB4)+Data!$AK$7)*Drivers!BC4),IF('Net zero activities &amp; levers'!$C$12="MS",'Net zero supporting data'!AE206,"ERROR")))</f>
        <v>232064.54364857494</v>
      </c>
      <c r="BC19" s="94">
        <f>IF('Net zero activities &amp; levers'!$C$12="Off",(((Data!$AJ$7*'Intermediate calculations'!BC4)+Data!$AK$7)*Drivers!BD4),IF('Net zero activities &amp; levers'!$C$12="PB",(((Data!$AJ$7*'Intermediate calculations'!BC4)+Data!$AK$7)*Drivers!BD4),IF('Net zero activities &amp; levers'!$C$12="MS",'Net zero supporting data'!AF206,"ERROR")))</f>
        <v>233577.40728557183</v>
      </c>
      <c r="BD19" s="94">
        <f>IF('Net zero activities &amp; levers'!$C$12="Off",(((Data!$AJ$7*'Intermediate calculations'!BD4)+Data!$AK$7)*Drivers!BE4),IF('Net zero activities &amp; levers'!$C$12="PB",(((Data!$AJ$7*'Intermediate calculations'!BD4)+Data!$AK$7)*Drivers!BE4),IF('Net zero activities &amp; levers'!$C$12="MS",'Net zero supporting data'!AG206,"ERROR")))</f>
        <v>235101.17637887475</v>
      </c>
      <c r="BE19" s="94">
        <f>IF('Net zero activities &amp; levers'!$C$12="Off",(((Data!$AJ$7*'Intermediate calculations'!BE4)+Data!$AK$7)*Drivers!BF4),IF('Net zero activities &amp; levers'!$C$12="PB",(((Data!$AJ$7*'Intermediate calculations'!BE4)+Data!$AK$7)*Drivers!BF4),IF('Net zero activities &amp; levers'!$C$12="MS",'Net zero supporting data'!AH206,"ERROR")))</f>
        <v>236637.23450352377</v>
      </c>
      <c r="BF19" s="94">
        <f>IF('Net zero activities &amp; levers'!$C$12="Off",(((Data!$AJ$7*'Intermediate calculations'!BF4)+Data!$AK$7)*Drivers!BG4),IF('Net zero activities &amp; levers'!$C$12="PB",(((Data!$AJ$7*'Intermediate calculations'!BF4)+Data!$AK$7)*Drivers!BG4),IF('Net zero activities &amp; levers'!$C$12="MS",'Net zero supporting data'!AI206,"ERROR")))</f>
        <v>238186.18333333661</v>
      </c>
      <c r="BG19" s="94">
        <f>IF('Net zero activities &amp; levers'!$C$12="Off",(((Data!$AJ$7*'Intermediate calculations'!BG4)+Data!$AK$7)*Drivers!BH4),IF('Net zero activities &amp; levers'!$C$12="PB",(((Data!$AJ$7*'Intermediate calculations'!BG4)+Data!$AK$7)*Drivers!BH4),IF('Net zero activities &amp; levers'!$C$12="MS",'Net zero supporting data'!AJ206,"ERROR")))</f>
        <v>239498.53584256954</v>
      </c>
      <c r="BH19" s="94">
        <f>IF('Net zero activities &amp; levers'!$C$12="Off",(((Data!$AJ$7*'Intermediate calculations'!BH4)+Data!$AK$7)*Drivers!BI4),IF('Net zero activities &amp; levers'!$C$12="PB",(((Data!$AJ$7*'Intermediate calculations'!BH4)+Data!$AK$7)*Drivers!BI4),IF('Net zero activities &amp; levers'!$C$12="MS",'Net zero supporting data'!AK206,"ERROR")))</f>
        <v>240784.06091953654</v>
      </c>
      <c r="BI19" s="94">
        <f>IF('Net zero activities &amp; levers'!$C$12="Off",(((Data!$AJ$7*'Intermediate calculations'!BI4)+Data!$AK$7)*Drivers!BJ4),IF('Net zero activities &amp; levers'!$C$12="PB",(((Data!$AJ$7*'Intermediate calculations'!BI4)+Data!$AK$7)*Drivers!BJ4),IF('Net zero activities &amp; levers'!$C$12="MS",'Net zero supporting data'!AL206,"ERROR")))</f>
        <v>242074.11006065697</v>
      </c>
      <c r="BJ19" s="94">
        <f>IF('Net zero activities &amp; levers'!$C$12="Off",(((Data!$AJ$7*'Intermediate calculations'!BJ4)+Data!$AK$7)*Drivers!BK4),IF('Net zero activities &amp; levers'!$C$12="PB",(((Data!$AJ$7*'Intermediate calculations'!BJ4)+Data!$AK$7)*Drivers!BK4),IF('Net zero activities &amp; levers'!$C$12="MS",'Net zero supporting data'!AM206,"ERROR")))</f>
        <v>243372.36338591439</v>
      </c>
      <c r="BK19" s="94">
        <f>IF('Net zero activities &amp; levers'!$C$12="Off",(((Data!$AJ$7*'Intermediate calculations'!BK4)+Data!$AK$7)*Drivers!BL4),IF('Net zero activities &amp; levers'!$C$12="PB",(((Data!$AJ$7*'Intermediate calculations'!BK4)+Data!$AK$7)*Drivers!BL4),IF('Net zero activities &amp; levers'!$C$12="MS",'Net zero supporting data'!AN206,"ERROR")))</f>
        <v>244677.31852160167</v>
      </c>
      <c r="BL19">
        <v>244852.13415497527</v>
      </c>
    </row>
    <row r="20" spans="1:64" x14ac:dyDescent="0.2">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3.2169680613561937E-3</v>
      </c>
      <c r="AH20" s="22">
        <f>AH19/Drivers!AI4</f>
        <v>3.2177379476048744E-3</v>
      </c>
      <c r="AI20" s="22">
        <f>AI19/Drivers!AJ4</f>
        <v>3.2182576627666059E-3</v>
      </c>
      <c r="AJ20" s="22">
        <f>AJ19/Drivers!AK4</f>
        <v>3.2187093573271459E-3</v>
      </c>
      <c r="AK20" s="22">
        <f>AK19/Drivers!AL4</f>
        <v>3.2192624977061628E-3</v>
      </c>
      <c r="AL20" s="22">
        <f>AL19/Drivers!AM4</f>
        <v>3.2197538408178759E-3</v>
      </c>
      <c r="AM20" s="22">
        <f>AM19/Drivers!AN4</f>
        <v>3.2202063963825676E-3</v>
      </c>
      <c r="AN20" s="22">
        <f>AN19/Drivers!AO4</f>
        <v>3.2206200122079274E-3</v>
      </c>
      <c r="AO20" s="22">
        <f>AO19/Drivers!AP4</f>
        <v>3.220980482491457E-3</v>
      </c>
      <c r="AP20" s="22">
        <f>AP19/Drivers!AQ4</f>
        <v>3.2215124223630414E-3</v>
      </c>
      <c r="AQ20" s="22">
        <f>AQ19/Drivers!AR4</f>
        <v>3.2220211093495761E-3</v>
      </c>
      <c r="AR20" s="22">
        <f>AR19/Drivers!AS4</f>
        <v>3.2226422812381673E-3</v>
      </c>
      <c r="AS20" s="22">
        <f>AS19/Drivers!AT4</f>
        <v>3.2234308937133943E-3</v>
      </c>
      <c r="AT20" s="22">
        <f>AT19/Drivers!AU4</f>
        <v>3.2242963835060969E-3</v>
      </c>
      <c r="AU20" s="22">
        <f>AU19/Drivers!AV4</f>
        <v>3.2253414233050031E-3</v>
      </c>
      <c r="AV20" s="22">
        <f>AV19/Drivers!AW4</f>
        <v>3.2260962586564798E-3</v>
      </c>
      <c r="AW20" s="22">
        <f>AW19/Drivers!AX4</f>
        <v>3.2268552013889613E-3</v>
      </c>
      <c r="AX20" s="22">
        <f>AX19/Drivers!AY4</f>
        <v>3.227703787105878E-3</v>
      </c>
      <c r="AY20" s="22">
        <f>AY19/Drivers!AZ4</f>
        <v>3.2285092430060741E-3</v>
      </c>
      <c r="AZ20" s="22">
        <f>AZ19/Drivers!BA4</f>
        <v>3.2293618292863961E-3</v>
      </c>
      <c r="BA20" s="22">
        <f>BA19/Drivers!BB4</f>
        <v>3.2302151384942151E-3</v>
      </c>
      <c r="BB20" s="22">
        <f>BB19/Drivers!BC4</f>
        <v>3.2312590562686232E-3</v>
      </c>
      <c r="BC20" s="22">
        <f>BC19/Drivers!BD4</f>
        <v>3.2322488498881551E-3</v>
      </c>
      <c r="BD20" s="22">
        <f>BD19/Drivers!BE4</f>
        <v>3.2332532888894893E-3</v>
      </c>
      <c r="BE20" s="22">
        <f>BE19/Drivers!BF4</f>
        <v>3.2342901393136014E-3</v>
      </c>
      <c r="BF20" s="22">
        <f>BF19/Drivers!BG4</f>
        <v>3.2353660987441664E-3</v>
      </c>
      <c r="BG20" s="22">
        <f>BG19/Drivers!BH4</f>
        <v>3.2366695609491011E-3</v>
      </c>
      <c r="BH20" s="22">
        <f>BH19/Drivers!BI4</f>
        <v>3.2375156111858205E-3</v>
      </c>
      <c r="BI20" s="22">
        <f>BI19/Drivers!BJ4</f>
        <v>3.23833009670915E-3</v>
      </c>
      <c r="BJ20" s="22">
        <f>BJ19/Drivers!BK4</f>
        <v>3.2391619894655316E-3</v>
      </c>
      <c r="BK20" s="22">
        <f>BK19/Drivers!BL4</f>
        <v>3.2399906427706005E-3</v>
      </c>
      <c r="BL20">
        <v>3.2423016255061742E-3</v>
      </c>
    </row>
    <row r="21" spans="1:64" x14ac:dyDescent="0.2">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3.216968061356194</v>
      </c>
      <c r="AH21" s="22">
        <f t="shared" si="6"/>
        <v>3.2177379476048742</v>
      </c>
      <c r="AI21" s="22">
        <f t="shared" si="6"/>
        <v>3.218257662766606</v>
      </c>
      <c r="AJ21" s="22">
        <f t="shared" si="6"/>
        <v>3.2187093573271457</v>
      </c>
      <c r="AK21" s="22">
        <f t="shared" si="6"/>
        <v>3.219262497706163</v>
      </c>
      <c r="AL21" s="22">
        <f t="shared" si="6"/>
        <v>3.2197538408178761</v>
      </c>
      <c r="AM21" s="22">
        <f t="shared" si="6"/>
        <v>3.2202063963825678</v>
      </c>
      <c r="AN21" s="22">
        <f t="shared" si="6"/>
        <v>3.2206200122079274</v>
      </c>
      <c r="AO21" s="22">
        <f t="shared" si="6"/>
        <v>3.220980482491457</v>
      </c>
      <c r="AP21" s="22">
        <f t="shared" si="6"/>
        <v>3.2215124223630416</v>
      </c>
      <c r="AQ21" s="22">
        <f t="shared" si="6"/>
        <v>3.2220211093495763</v>
      </c>
      <c r="AR21" s="22">
        <f t="shared" si="6"/>
        <v>3.2226422812381674</v>
      </c>
      <c r="AS21" s="22">
        <f t="shared" si="6"/>
        <v>3.2234308937133944</v>
      </c>
      <c r="AT21" s="22">
        <f t="shared" si="6"/>
        <v>3.2242963835060969</v>
      </c>
      <c r="AU21" s="22">
        <f t="shared" si="6"/>
        <v>3.2253414233050033</v>
      </c>
      <c r="AV21" s="22">
        <f t="shared" si="6"/>
        <v>3.2260962586564799</v>
      </c>
      <c r="AW21" s="22">
        <f t="shared" si="6"/>
        <v>3.2268552013889615</v>
      </c>
      <c r="AX21" s="22">
        <f t="shared" si="6"/>
        <v>3.2277037871058782</v>
      </c>
      <c r="AY21" s="22">
        <f t="shared" si="6"/>
        <v>3.2285092430060742</v>
      </c>
      <c r="AZ21" s="22">
        <f t="shared" si="6"/>
        <v>3.2293618292863959</v>
      </c>
      <c r="BA21" s="22">
        <f t="shared" si="6"/>
        <v>3.230215138494215</v>
      </c>
      <c r="BB21" s="22">
        <f t="shared" si="6"/>
        <v>3.2312590562686232</v>
      </c>
      <c r="BC21" s="22">
        <f t="shared" si="6"/>
        <v>3.2322488498881552</v>
      </c>
      <c r="BD21" s="22">
        <f t="shared" si="6"/>
        <v>3.2332532888894892</v>
      </c>
      <c r="BE21" s="22">
        <f t="shared" si="6"/>
        <v>3.2342901393136012</v>
      </c>
      <c r="BF21" s="22">
        <f t="shared" si="6"/>
        <v>3.2353660987441666</v>
      </c>
      <c r="BG21" s="22">
        <f t="shared" si="6"/>
        <v>3.236669560949101</v>
      </c>
      <c r="BH21" s="22">
        <f t="shared" si="6"/>
        <v>3.2375156111858203</v>
      </c>
      <c r="BI21" s="22">
        <f t="shared" si="6"/>
        <v>3.23833009670915</v>
      </c>
      <c r="BJ21" s="22">
        <f t="shared" si="6"/>
        <v>3.2391619894655315</v>
      </c>
      <c r="BK21" s="22">
        <f t="shared" si="6"/>
        <v>3.2399906427706004</v>
      </c>
      <c r="BL21">
        <v>3.2423016255061743</v>
      </c>
    </row>
    <row r="22" spans="1:64" x14ac:dyDescent="0.2">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10754.895090045062</v>
      </c>
      <c r="Z22" s="22">
        <f>((Data!$AJ$8*'Net zero Intermediate calcs'!Z4)+Data!$AK$8)*Drivers!AA4</f>
        <v>10915.959705665911</v>
      </c>
      <c r="AA22" s="22">
        <f>((Data!$AJ$8*'Net zero Intermediate calcs'!AA4)+Data!$AK$8)*Drivers!AB4</f>
        <v>11083.523591817515</v>
      </c>
      <c r="AB22" s="22">
        <f>((Data!$AJ$8*'Net zero Intermediate calcs'!AB4)+Data!$AK$8)*Drivers!AC4</f>
        <v>11256.14985799816</v>
      </c>
      <c r="AC22" s="22">
        <f>((Data!$AJ$8*'Net zero Intermediate calcs'!AC4)+Data!$AK$8)*Drivers!AD4</f>
        <v>11434.433042269102</v>
      </c>
      <c r="AD22" s="22">
        <f>((Data!$AJ$8*'Net zero Intermediate calcs'!AD4)+Data!$AK$8)*Drivers!AE4</f>
        <v>11618.606464530285</v>
      </c>
      <c r="AE22" s="22">
        <f>((Data!$AJ$8*'Net zero Intermediate calcs'!AE4)+Data!$AK$8)*Drivers!AF4</f>
        <v>11805.786955654419</v>
      </c>
      <c r="AF22" s="22">
        <f>((Data!$AJ$8*'Net zero Intermediate calcs'!AF4)+Data!$AK$8)*Drivers!AG4</f>
        <v>11996.056186233092</v>
      </c>
      <c r="AG22" s="22">
        <f>((Data!$AJ$8*'Net zero Intermediate calcs'!AG4)+Data!$AK$8)*Drivers!AH4</f>
        <v>12178.350733460138</v>
      </c>
      <c r="AH22" s="22">
        <f>((Data!$AJ$8*'Net zero Intermediate calcs'!AH4)+Data!$AK$8)*Drivers!AI4</f>
        <v>12321.522443501826</v>
      </c>
      <c r="AI22" s="22">
        <f>((Data!$AJ$8*'Net zero Intermediate calcs'!AI4)+Data!$AK$8)*Drivers!AJ4</f>
        <v>12465.407604203518</v>
      </c>
      <c r="AJ22" s="22">
        <f>((Data!$AJ$8*'Net zero Intermediate calcs'!AJ4)+Data!$AK$8)*Drivers!AK4</f>
        <v>12610.706161239557</v>
      </c>
      <c r="AK22" s="22">
        <f>((Data!$AJ$8*'Net zero Intermediate calcs'!AK4)+Data!$AK$8)*Drivers!AL4</f>
        <v>12758.100122505724</v>
      </c>
      <c r="AL22" s="22">
        <f>((Data!$AJ$8*'Net zero Intermediate calcs'!AL4)+Data!$AK$8)*Drivers!AM4</f>
        <v>12906.968718074284</v>
      </c>
      <c r="AM22" s="22">
        <f>((Data!$AJ$8*'Net zero Intermediate calcs'!AM4)+Data!$AK$8)*Drivers!AN4</f>
        <v>13035.88852849288</v>
      </c>
      <c r="AN22" s="22">
        <f>((Data!$AJ$8*'Net zero Intermediate calcs'!AN4)+Data!$AK$8)*Drivers!AO4</f>
        <v>13165.936593790448</v>
      </c>
      <c r="AO22" s="22">
        <f>((Data!$AJ$8*'Net zero Intermediate calcs'!AO4)+Data!$AK$8)*Drivers!AP4</f>
        <v>13297.06242072832</v>
      </c>
      <c r="AP22" s="22">
        <f>((Data!$AJ$8*'Net zero Intermediate calcs'!AP4)+Data!$AK$8)*Drivers!AQ4</f>
        <v>13430.208865967799</v>
      </c>
      <c r="AQ22" s="22">
        <f>((Data!$AJ$8*'Net zero Intermediate calcs'!AQ4)+Data!$AK$8)*Drivers!AR4</f>
        <v>13564.590272563439</v>
      </c>
      <c r="AR22" s="22">
        <f>((Data!$AJ$8*'Net zero Intermediate calcs'!AR4)+Data!$AK$8)*Drivers!AS4</f>
        <v>13682.991599963449</v>
      </c>
      <c r="AS22" s="22">
        <f>((Data!$AJ$8*'Net zero Intermediate calcs'!AS4)+Data!$AK$8)*Drivers!AT4</f>
        <v>13803.14290697644</v>
      </c>
      <c r="AT22" s="22">
        <f>((Data!$AJ$8*'Net zero Intermediate calcs'!AT4)+Data!$AK$8)*Drivers!AU4</f>
        <v>13924.680445568154</v>
      </c>
      <c r="AU22" s="22">
        <f>((Data!$AJ$8*'Net zero Intermediate calcs'!AU4)+Data!$AK$8)*Drivers!AV4</f>
        <v>14048.069152969785</v>
      </c>
      <c r="AV22" s="22">
        <f>((Data!$AJ$8*'Net zero Intermediate calcs'!AV4)+Data!$AK$8)*Drivers!AW4</f>
        <v>14171.274957330012</v>
      </c>
      <c r="AW22" s="22">
        <f>((Data!$AJ$8*'Net zero Intermediate calcs'!AW4)+Data!$AK$8)*Drivers!AX4</f>
        <v>14278.383293780971</v>
      </c>
      <c r="AX22" s="22">
        <f>((Data!$AJ$8*'Net zero Intermediate calcs'!AX4)+Data!$AK$8)*Drivers!AY4</f>
        <v>14386.699934811308</v>
      </c>
      <c r="AY22" s="22">
        <f>((Data!$AJ$8*'Net zero Intermediate calcs'!AY4)+Data!$AK$8)*Drivers!AZ4</f>
        <v>14495.643622159214</v>
      </c>
      <c r="AZ22" s="22">
        <f>((Data!$AJ$8*'Net zero Intermediate calcs'!AZ4)+Data!$AK$8)*Drivers!BA4</f>
        <v>14605.624538902977</v>
      </c>
      <c r="BA22" s="22">
        <f>((Data!$AJ$8*'Net zero Intermediate calcs'!BA4)+Data!$AK$8)*Drivers!BB4</f>
        <v>14716.442167395129</v>
      </c>
      <c r="BB22" s="22">
        <f>((Data!$AJ$8*'Net zero Intermediate calcs'!BB4)+Data!$AK$8)*Drivers!BC4</f>
        <v>14812.630445653724</v>
      </c>
      <c r="BC22" s="22">
        <f>((Data!$AJ$8*'Net zero Intermediate calcs'!BC4)+Data!$AK$8)*Drivers!BD4</f>
        <v>14909.196209717355</v>
      </c>
      <c r="BD22" s="22">
        <f>((Data!$AJ$8*'Net zero Intermediate calcs'!BD4)+Data!$AK$8)*Drivers!BE4</f>
        <v>15006.45806673669</v>
      </c>
      <c r="BE22" s="22">
        <f>((Data!$AJ$8*'Net zero Intermediate calcs'!BE4)+Data!$AK$8)*Drivers!BF4</f>
        <v>15104.50433001216</v>
      </c>
      <c r="BF22" s="22">
        <f>((Data!$AJ$8*'Net zero Intermediate calcs'!BF4)+Data!$AK$8)*Drivers!BG4</f>
        <v>15203.373404255532</v>
      </c>
      <c r="BG22" s="22">
        <f>((Data!$AJ$8*'Net zero Intermediate calcs'!BG4)+Data!$AK$8)*Drivers!BH4</f>
        <v>15287.140585695934</v>
      </c>
      <c r="BH22" s="22">
        <f>((Data!$AJ$8*'Net zero Intermediate calcs'!BH4)+Data!$AK$8)*Drivers!BI4</f>
        <v>15369.195377842761</v>
      </c>
      <c r="BI22" s="22">
        <f>((Data!$AJ$8*'Net zero Intermediate calcs'!BI4)+Data!$AK$8)*Drivers!BJ4</f>
        <v>15451.538940041939</v>
      </c>
      <c r="BJ22" s="22">
        <f>((Data!$AJ$8*'Net zero Intermediate calcs'!BJ4)+Data!$AK$8)*Drivers!BK4</f>
        <v>15534.406173569007</v>
      </c>
      <c r="BK22" s="22">
        <f>((Data!$AJ$8*'Net zero Intermediate calcs'!BK4)+Data!$AK$8)*Drivers!BL4</f>
        <v>15617.701182229897</v>
      </c>
      <c r="BL22">
        <v>15628.85962691332</v>
      </c>
    </row>
    <row r="23" spans="1:64" x14ac:dyDescent="0.2">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2.0553857842483999E-4</v>
      </c>
      <c r="Z23" s="22">
        <f>Z22/Drivers!AA4</f>
        <v>2.0555664858706673E-4</v>
      </c>
      <c r="AA23" s="22">
        <f>AA22/Drivers!AB4</f>
        <v>2.0558407054987608E-4</v>
      </c>
      <c r="AB23" s="22">
        <f>AB22/Drivers!AC4</f>
        <v>2.0558993277297813E-4</v>
      </c>
      <c r="AC23" s="22">
        <f>AC22/Drivers!AD4</f>
        <v>2.0558154046339838E-4</v>
      </c>
      <c r="AD23" s="22">
        <f>AD22/Drivers!AE4</f>
        <v>2.0555920075453053E-4</v>
      </c>
      <c r="AE23" s="22">
        <f>AE22/Drivers!AF4</f>
        <v>2.0554681434588833E-4</v>
      </c>
      <c r="AF23" s="22">
        <f>AF22/Drivers!AG4</f>
        <v>2.0553568261268943E-4</v>
      </c>
      <c r="AG23" s="22">
        <f>AG22/Drivers!AH4</f>
        <v>2.0533838689507623E-4</v>
      </c>
      <c r="AH23" s="22">
        <f>AH22/Drivers!AI4</f>
        <v>2.0538752857052393E-4</v>
      </c>
      <c r="AI23" s="22">
        <f>AI22/Drivers!AJ4</f>
        <v>2.0542070187871955E-4</v>
      </c>
      <c r="AJ23" s="22">
        <f>AJ22/Drivers!AK4</f>
        <v>2.0544953344641358E-4</v>
      </c>
      <c r="AK23" s="22">
        <f>AK22/Drivers!AL4</f>
        <v>2.0548484027911679E-4</v>
      </c>
      <c r="AL23" s="22">
        <f>AL22/Drivers!AM4</f>
        <v>2.0551620260539637E-4</v>
      </c>
      <c r="AM23" s="22">
        <f>AM22/Drivers!AN4</f>
        <v>2.0554508913080222E-4</v>
      </c>
      <c r="AN23" s="22">
        <f>AN22/Drivers!AO4</f>
        <v>2.0557149014093157E-4</v>
      </c>
      <c r="AO23" s="22">
        <f>AO22/Drivers!AP4</f>
        <v>2.0559449888243346E-4</v>
      </c>
      <c r="AP23" s="22">
        <f>AP22/Drivers!AQ4</f>
        <v>2.0562845249125802E-4</v>
      </c>
      <c r="AQ23" s="22">
        <f>AQ22/Drivers!AR4</f>
        <v>2.0566092187337726E-4</v>
      </c>
      <c r="AR23" s="22">
        <f>AR22/Drivers!AS4</f>
        <v>2.0570057114286178E-4</v>
      </c>
      <c r="AS23" s="22">
        <f>AS22/Drivers!AT4</f>
        <v>2.0575090810936566E-4</v>
      </c>
      <c r="AT23" s="22">
        <f>AT22/Drivers!AU4</f>
        <v>2.0580615213868707E-4</v>
      </c>
      <c r="AU23" s="22">
        <f>AU22/Drivers!AV4</f>
        <v>2.0587285680670237E-4</v>
      </c>
      <c r="AV23" s="22">
        <f>AV22/Drivers!AW4</f>
        <v>2.0592103778658386E-4</v>
      </c>
      <c r="AW23" s="22">
        <f>AW22/Drivers!AX4</f>
        <v>2.0596948093972098E-4</v>
      </c>
      <c r="AX23" s="22">
        <f>AX22/Drivers!AY4</f>
        <v>2.0602364598548163E-4</v>
      </c>
      <c r="AY23" s="22">
        <f>AY22/Drivers!AZ4</f>
        <v>2.0607505806421753E-4</v>
      </c>
      <c r="AZ23" s="22">
        <f>AZ22/Drivers!BA4</f>
        <v>2.0612947846508918E-4</v>
      </c>
      <c r="BA23" s="22">
        <f>BA22/Drivers!BB4</f>
        <v>2.0618394501026909E-4</v>
      </c>
      <c r="BB23" s="22">
        <f>BB22/Drivers!BC4</f>
        <v>2.0625057805969942E-4</v>
      </c>
      <c r="BC23" s="22">
        <f>BC22/Drivers!BD4</f>
        <v>2.0631375637583974E-4</v>
      </c>
      <c r="BD23" s="22">
        <f>BD22/Drivers!BE4</f>
        <v>2.063778695035845E-4</v>
      </c>
      <c r="BE23" s="22">
        <f>BE22/Drivers!BF4</f>
        <v>2.0644405144554909E-4</v>
      </c>
      <c r="BF23" s="22">
        <f>BF22/Drivers!BG4</f>
        <v>2.065127297070745E-4</v>
      </c>
      <c r="BG23" s="22">
        <f>BG22/Drivers!BH4</f>
        <v>2.0659592942228312E-4</v>
      </c>
      <c r="BH23" s="22">
        <f>BH22/Drivers!BI4</f>
        <v>2.0664993262888221E-4</v>
      </c>
      <c r="BI23" s="22">
        <f>BI22/Drivers!BJ4</f>
        <v>2.0670192106654156E-4</v>
      </c>
      <c r="BJ23" s="22">
        <f>BJ22/Drivers!BK4</f>
        <v>2.0675502060418292E-4</v>
      </c>
      <c r="BK23" s="22">
        <f>BK22/Drivers!BL4</f>
        <v>2.0680791336833625E-4</v>
      </c>
      <c r="BL23">
        <v>2.0695542290464949E-4</v>
      </c>
    </row>
    <row r="24" spans="1:64" x14ac:dyDescent="0.2">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v>
      </c>
      <c r="Z24" s="22">
        <f t="shared" si="7"/>
        <v>0.20555664858706674</v>
      </c>
      <c r="AA24" s="22">
        <f t="shared" si="7"/>
        <v>0.2055840705498761</v>
      </c>
      <c r="AB24" s="22">
        <f t="shared" si="7"/>
        <v>0.20558993277297813</v>
      </c>
      <c r="AC24" s="22">
        <f t="shared" si="7"/>
        <v>0.20558154046339838</v>
      </c>
      <c r="AD24" s="22">
        <f t="shared" si="7"/>
        <v>0.20555920075453052</v>
      </c>
      <c r="AE24" s="22">
        <f t="shared" si="7"/>
        <v>0.20554681434588834</v>
      </c>
      <c r="AF24" s="22">
        <f t="shared" si="7"/>
        <v>0.20553568261268942</v>
      </c>
      <c r="AG24" s="22">
        <f t="shared" si="7"/>
        <v>0.20533838689507622</v>
      </c>
      <c r="AH24" s="22">
        <f t="shared" si="7"/>
        <v>0.20538752857052392</v>
      </c>
      <c r="AI24" s="22">
        <f t="shared" si="7"/>
        <v>0.20542070187871955</v>
      </c>
      <c r="AJ24" s="22">
        <f t="shared" si="7"/>
        <v>0.20544953344641359</v>
      </c>
      <c r="AK24" s="22">
        <f t="shared" si="7"/>
        <v>0.20548484027911679</v>
      </c>
      <c r="AL24" s="22">
        <f t="shared" si="7"/>
        <v>0.20551620260539638</v>
      </c>
      <c r="AM24" s="22">
        <f t="shared" si="7"/>
        <v>0.20554508913080222</v>
      </c>
      <c r="AN24" s="22">
        <f t="shared" si="7"/>
        <v>0.20557149014093157</v>
      </c>
      <c r="AO24" s="22">
        <f t="shared" si="7"/>
        <v>0.20559449888243347</v>
      </c>
      <c r="AP24" s="22">
        <f t="shared" si="7"/>
        <v>0.20562845249125802</v>
      </c>
      <c r="AQ24" s="22">
        <f t="shared" si="7"/>
        <v>0.20566092187337726</v>
      </c>
      <c r="AR24" s="22">
        <f t="shared" si="7"/>
        <v>0.20570057114286178</v>
      </c>
      <c r="AS24" s="22">
        <f t="shared" si="7"/>
        <v>0.20575090810936567</v>
      </c>
      <c r="AT24" s="22">
        <f t="shared" si="7"/>
        <v>0.20580615213868705</v>
      </c>
      <c r="AU24" s="22">
        <f t="shared" si="7"/>
        <v>0.20587285680670236</v>
      </c>
      <c r="AV24" s="22">
        <f t="shared" si="7"/>
        <v>0.20592103778658385</v>
      </c>
      <c r="AW24" s="22">
        <f t="shared" si="7"/>
        <v>0.20596948093972098</v>
      </c>
      <c r="AX24" s="22">
        <f t="shared" si="7"/>
        <v>0.20602364598548165</v>
      </c>
      <c r="AY24" s="22">
        <f t="shared" si="7"/>
        <v>0.20607505806421753</v>
      </c>
      <c r="AZ24" s="22">
        <f t="shared" si="7"/>
        <v>0.20612947846508919</v>
      </c>
      <c r="BA24" s="22">
        <f t="shared" si="7"/>
        <v>0.2061839450102691</v>
      </c>
      <c r="BB24" s="22">
        <f t="shared" si="7"/>
        <v>0.20625057805969943</v>
      </c>
      <c r="BC24" s="22">
        <f t="shared" si="7"/>
        <v>0.20631375637583974</v>
      </c>
      <c r="BD24" s="22">
        <f t="shared" si="7"/>
        <v>0.2063778695035845</v>
      </c>
      <c r="BE24" s="22">
        <f t="shared" si="7"/>
        <v>0.20644405144554909</v>
      </c>
      <c r="BF24" s="22">
        <f t="shared" si="7"/>
        <v>0.20651272970707449</v>
      </c>
      <c r="BG24" s="22">
        <f t="shared" si="7"/>
        <v>0.20659592942228314</v>
      </c>
      <c r="BH24" s="22">
        <f t="shared" si="7"/>
        <v>0.2066499326288822</v>
      </c>
      <c r="BI24" s="22">
        <f t="shared" si="7"/>
        <v>0.20670192106654156</v>
      </c>
      <c r="BJ24" s="22">
        <f t="shared" si="7"/>
        <v>0.20675502060418291</v>
      </c>
      <c r="BK24" s="22">
        <f t="shared" si="7"/>
        <v>0.20680791336833623</v>
      </c>
      <c r="BL24">
        <v>0.20695542290464949</v>
      </c>
    </row>
    <row r="25" spans="1:64" x14ac:dyDescent="0.2">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2">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3.4223064482512697</v>
      </c>
      <c r="AH26" s="45">
        <f>(AH19+AH22)*ttokg/Drivers!AI4</f>
        <v>3.4231254761753984</v>
      </c>
      <c r="AI26" s="45">
        <f>(AI19+AI22)*ttokg/Drivers!AJ4</f>
        <v>3.4236783646453257</v>
      </c>
      <c r="AJ26" s="45">
        <f>(AJ19+AJ22)*ttokg/Drivers!AK4</f>
        <v>3.4241588907735592</v>
      </c>
      <c r="AK26" s="45">
        <f>(AK19+AK22)*ttokg/Drivers!AL4</f>
        <v>3.4247473379852797</v>
      </c>
      <c r="AL26" s="45">
        <f>(AL19+AL22)*ttokg/Drivers!AM4</f>
        <v>3.4252700434232728</v>
      </c>
      <c r="AM26" s="45">
        <f>(AM19+AM22)*ttokg/Drivers!AN4</f>
        <v>3.4257514855133699</v>
      </c>
      <c r="AN26" s="45">
        <f>(AN19+AN22)*ttokg/Drivers!AO4</f>
        <v>3.4261915023488587</v>
      </c>
      <c r="AO26" s="45">
        <f>(AO19+AO22)*ttokg/Drivers!AP4</f>
        <v>3.4265749813738906</v>
      </c>
      <c r="AP26" s="45">
        <f>(AP19+AP22)*ttokg/Drivers!AQ4</f>
        <v>3.4271408748542997</v>
      </c>
      <c r="AQ26" s="45">
        <f>(AQ19+AQ22)*ttokg/Drivers!AR4</f>
        <v>3.4276820312229535</v>
      </c>
      <c r="AR26" s="45">
        <f>(AR19+AR22)*ttokg/Drivers!AS4</f>
        <v>3.4283428523810291</v>
      </c>
      <c r="AS26" s="45">
        <f>(AS19+AS22)*ttokg/Drivers!AT4</f>
        <v>3.42918180182276</v>
      </c>
      <c r="AT26" s="45">
        <f>(AT19+AT22)*ttokg/Drivers!AU4</f>
        <v>3.4301025356447838</v>
      </c>
      <c r="AU26" s="45">
        <f>(AU19+AU22)*ttokg/Drivers!AV4</f>
        <v>3.4312142801117052</v>
      </c>
      <c r="AV26" s="45">
        <f>(AV19+AV22)*ttokg/Drivers!AW4</f>
        <v>3.432017296443064</v>
      </c>
      <c r="AW26" s="45">
        <f>(AW19+AW22)*ttokg/Drivers!AX4</f>
        <v>3.4328246823286821</v>
      </c>
      <c r="AX26" s="45">
        <f>(AX19+AX22)*ttokg/Drivers!AY4</f>
        <v>3.4337274330913594</v>
      </c>
      <c r="AY26" s="45">
        <f>(AY19+AY22)*ttokg/Drivers!AZ4</f>
        <v>3.4345843010702914</v>
      </c>
      <c r="AZ26" s="45">
        <f>(AZ19+AZ22)*ttokg/Drivers!BA4</f>
        <v>3.4354913077514855</v>
      </c>
      <c r="BA26" s="45">
        <f>(BA19+BA22)*ttokg/Drivers!BB4</f>
        <v>3.4363990835044844</v>
      </c>
      <c r="BB26" s="45">
        <f>(BB19+BB22)*ttokg/Drivers!BC4</f>
        <v>3.4375096343283227</v>
      </c>
      <c r="BC26" s="45">
        <f>(BC19+BC22)*ttokg/Drivers!BD4</f>
        <v>3.4385626062639956</v>
      </c>
      <c r="BD26" s="45">
        <f>(BD19+BD22)*ttokg/Drivers!BE4</f>
        <v>3.4396311583930741</v>
      </c>
      <c r="BE26" s="45">
        <f>(BE19+BE22)*ttokg/Drivers!BF4</f>
        <v>3.4407341907591507</v>
      </c>
      <c r="BF26" s="45">
        <f>(BF19+BF22)*ttokg/Drivers!BG4</f>
        <v>3.4418788284512414</v>
      </c>
      <c r="BG26" s="45">
        <f>(BG19+BG22)*ttokg/Drivers!BH4</f>
        <v>3.4432654903713842</v>
      </c>
      <c r="BH26" s="45">
        <f>(BH19+BH22)*ttokg/Drivers!BI4</f>
        <v>3.4441655438147025</v>
      </c>
      <c r="BI26" s="45">
        <f>(BI19+BI22)*ttokg/Drivers!BJ4</f>
        <v>3.4450320177756915</v>
      </c>
      <c r="BJ26" s="45">
        <f>(BJ19+BJ22)*ttokg/Drivers!BK4</f>
        <v>3.4459170100697141</v>
      </c>
      <c r="BK26" s="45">
        <f>(BK19+BK22)*ttokg/Drivers!BL4</f>
        <v>3.4467985561389369</v>
      </c>
      <c r="BL26">
        <v>3.449257048410824</v>
      </c>
    </row>
    <row r="27" spans="1:64" x14ac:dyDescent="0.2">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165458.74118382813</v>
      </c>
      <c r="AH27" s="94">
        <f>IF('Net zero activities &amp; levers'!$C$14="Off",((Data!$AJ$23*'Net zero Intermediate calcs'!AH19)+Data!$AK$23),IF('Net zero activities &amp; levers'!$C$14="On",((Data!$AJ$23*'Net zero Intermediate calcs'!AH19)+Data!$AK$23)*(1-'Net zero supporting data'!K214),"ERROR"))</f>
        <v>166739.05048159478</v>
      </c>
      <c r="AI27" s="94">
        <f>IF('Net zero activities &amp; levers'!$C$14="Off",((Data!$AJ$23*'Net zero Intermediate calcs'!AI19)+Data!$AK$23),IF('Net zero activities &amp; levers'!$C$14="On",((Data!$AJ$23*'Net zero Intermediate calcs'!AI19)+Data!$AK$23)*(1-'Net zero supporting data'!L214),"ERROR"))</f>
        <v>168025.7397933547</v>
      </c>
      <c r="AJ27" s="94">
        <f>IF('Net zero activities &amp; levers'!$C$14="Off",((Data!$AJ$23*'Net zero Intermediate calcs'!AJ19)+Data!$AK$23),IF('Net zero activities &amp; levers'!$C$14="On",((Data!$AJ$23*'Net zero Intermediate calcs'!AJ19)+Data!$AK$23)*(1-'Net zero supporting data'!M214),"ERROR"))</f>
        <v>169325.06836511762</v>
      </c>
      <c r="AK27" s="94">
        <f>IF('Net zero activities &amp; levers'!$C$14="Off",((Data!$AJ$23*'Net zero Intermediate calcs'!AK19)+Data!$AK$23),IF('Net zero activities &amp; levers'!$C$14="On",((Data!$AJ$23*'Net zero Intermediate calcs'!AK19)+Data!$AK$23)*(1-'Net zero supporting data'!N214),"ERROR"))</f>
        <v>170643.13503477455</v>
      </c>
      <c r="AL27" s="94">
        <f>IF('Net zero activities &amp; levers'!$C$14="Off",((Data!$AJ$23*'Net zero Intermediate calcs'!AL19)+Data!$AK$23),IF('Net zero activities &amp; levers'!$C$14="On",((Data!$AJ$23*'Net zero Intermediate calcs'!AL19)+Data!$AK$23)*(1-'Net zero supporting data'!O214),"ERROR"))</f>
        <v>171974.38858337287</v>
      </c>
      <c r="AM27" s="94">
        <f>IF('Net zero activities &amp; levers'!$C$14="Off",((Data!$AJ$23*'Net zero Intermediate calcs'!AM19)+Data!$AK$23),IF('Net zero activities &amp; levers'!$C$14="On",((Data!$AJ$23*'Net zero Intermediate calcs'!AM19)+Data!$AK$23)*(1-'Net zero supporting data'!P214),"ERROR"))</f>
        <v>173127.25063899255</v>
      </c>
      <c r="AN27" s="94">
        <f>IF('Net zero activities &amp; levers'!$C$14="Off",((Data!$AJ$23*'Net zero Intermediate calcs'!AN19)+Data!$AK$23),IF('Net zero activities &amp; levers'!$C$14="On",((Data!$AJ$23*'Net zero Intermediate calcs'!AN19)+Data!$AK$23)*(1-'Net zero supporting data'!Q214),"ERROR"))</f>
        <v>174290.20208455791</v>
      </c>
      <c r="AO27" s="94">
        <f>IF('Net zero activities &amp; levers'!$C$14="Off",((Data!$AJ$23*'Net zero Intermediate calcs'!AO19)+Data!$AK$23),IF('Net zero activities &amp; levers'!$C$14="On",((Data!$AJ$23*'Net zero Intermediate calcs'!AO19)+Data!$AK$23)*(1-'Net zero supporting data'!R214),"ERROR"))</f>
        <v>175462.79138559382</v>
      </c>
      <c r="AP27" s="94">
        <f>IF('Net zero activities &amp; levers'!$C$14="Off",((Data!$AJ$23*'Net zero Intermediate calcs'!AP19)+Data!$AK$23),IF('Net zero activities &amp; levers'!$C$14="On",((Data!$AJ$23*'Net zero Intermediate calcs'!AP19)+Data!$AK$23)*(1-'Net zero supporting data'!S214),"ERROR"))</f>
        <v>176653.45001330069</v>
      </c>
      <c r="AQ27" s="94">
        <f>IF('Net zero activities &amp; levers'!$C$14="Off",((Data!$AJ$23*'Net zero Intermediate calcs'!AQ19)+Data!$AK$23),IF('Net zero activities &amp; levers'!$C$14="On",((Data!$AJ$23*'Net zero Intermediate calcs'!AQ19)+Data!$AK$23)*(1-'Net zero supporting data'!T214),"ERROR"))</f>
        <v>177855.15225085354</v>
      </c>
      <c r="AR27" s="94">
        <f>IF('Net zero activities &amp; levers'!$C$14="Off",((Data!$AJ$23*'Net zero Intermediate calcs'!AR19)+Data!$AK$23),IF('Net zero activities &amp; levers'!$C$14="On",((Data!$AJ$23*'Net zero Intermediate calcs'!AR19)+Data!$AK$23)*(1-'Net zero supporting data'!U214),"ERROR"))</f>
        <v>178913.9530453262</v>
      </c>
      <c r="AS27" s="94">
        <f>IF('Net zero activities &amp; levers'!$C$14="Off",((Data!$AJ$23*'Net zero Intermediate calcs'!AS19)+Data!$AK$23),IF('Net zero activities &amp; levers'!$C$14="On",((Data!$AJ$23*'Net zero Intermediate calcs'!AS19)+Data!$AK$23)*(1-'Net zero supporting data'!V214),"ERROR"))</f>
        <v>179988.40298702737</v>
      </c>
      <c r="AT27" s="94">
        <f>IF('Net zero activities &amp; levers'!$C$14="Off",((Data!$AJ$23*'Net zero Intermediate calcs'!AT19)+Data!$AK$23),IF('Net zero activities &amp; levers'!$C$14="On",((Data!$AJ$23*'Net zero Intermediate calcs'!AT19)+Data!$AK$23)*(1-'Net zero supporting data'!W214),"ERROR"))</f>
        <v>181075.24926861009</v>
      </c>
      <c r="AU27" s="94">
        <f>IF('Net zero activities &amp; levers'!$C$14="Off",((Data!$AJ$23*'Net zero Intermediate calcs'!AU19)+Data!$AK$23),IF('Net zero activities &amp; levers'!$C$14="On",((Data!$AJ$23*'Net zero Intermediate calcs'!AU19)+Data!$AK$23)*(1-'Net zero supporting data'!X214),"ERROR"))</f>
        <v>182178.64957918623</v>
      </c>
      <c r="AV27" s="94">
        <f>IF('Net zero activities &amp; levers'!$C$14="Off",((Data!$AJ$23*'Net zero Intermediate calcs'!AV19)+Data!$AK$23),IF('Net zero activities &amp; levers'!$C$14="On",((Data!$AJ$23*'Net zero Intermediate calcs'!AV19)+Data!$AK$23)*(1-'Net zero supporting data'!Y214),"ERROR"))</f>
        <v>183280.41428406606</v>
      </c>
      <c r="AW27" s="94">
        <f>IF('Net zero activities &amp; levers'!$C$14="Off",((Data!$AJ$23*'Net zero Intermediate calcs'!AW19)+Data!$AK$23),IF('Net zero activities &amp; levers'!$C$14="On",((Data!$AJ$23*'Net zero Intermediate calcs'!AW19)+Data!$AK$23)*(1-'Net zero supporting data'!Z214),"ERROR"))</f>
        <v>184238.22780034351</v>
      </c>
      <c r="AX27" s="94">
        <f>IF('Net zero activities &amp; levers'!$C$14="Off",((Data!$AJ$23*'Net zero Intermediate calcs'!AX19)+Data!$AK$23),IF('Net zero activities &amp; levers'!$C$14="On",((Data!$AJ$23*'Net zero Intermediate calcs'!AX19)+Data!$AK$23)*(1-'Net zero supporting data'!AA214),"ERROR"))</f>
        <v>185206.84654893295</v>
      </c>
      <c r="AY27" s="94">
        <f>IF('Net zero activities &amp; levers'!$C$14="Off",((Data!$AJ$23*'Net zero Intermediate calcs'!AY19)+Data!$AK$23),IF('Net zero activities &amp; levers'!$C$14="On",((Data!$AJ$23*'Net zero Intermediate calcs'!AY19)+Data!$AK$23)*(1-'Net zero supporting data'!AB214),"ERROR"))</f>
        <v>186181.07264292805</v>
      </c>
      <c r="AZ27" s="94">
        <f>IF('Net zero activities &amp; levers'!$C$14="Off",((Data!$AJ$23*'Net zero Intermediate calcs'!AZ19)+Data!$AK$23),IF('Net zero activities &amp; levers'!$C$14="On",((Data!$AJ$23*'Net zero Intermediate calcs'!AZ19)+Data!$AK$23)*(1-'Net zero supporting data'!AC214),"ERROR"))</f>
        <v>187164.57413385066</v>
      </c>
      <c r="BA27" s="94">
        <f>IF('Net zero activities &amp; levers'!$C$14="Off",((Data!$AJ$23*'Net zero Intermediate calcs'!BA19)+Data!$AK$23),IF('Net zero activities &amp; levers'!$C$14="On",((Data!$AJ$23*'Net zero Intermediate calcs'!BA19)+Data!$AK$23)*(1-'Net zero supporting data'!AD214),"ERROR"))</f>
        <v>188155.55789784735</v>
      </c>
      <c r="BB27" s="94">
        <f>IF('Net zero activities &amp; levers'!$C$14="Off",((Data!$AJ$23*'Net zero Intermediate calcs'!BB19)+Data!$AK$23),IF('Net zero activities &amp; levers'!$C$14="On",((Data!$AJ$23*'Net zero Intermediate calcs'!BB19)+Data!$AK$23)*(1-'Net zero supporting data'!AE214),"ERROR"))</f>
        <v>189015.71907741827</v>
      </c>
      <c r="BC27" s="94">
        <f>IF('Net zero activities &amp; levers'!$C$14="Off",((Data!$AJ$23*'Net zero Intermediate calcs'!BC19)+Data!$AK$23),IF('Net zero activities &amp; levers'!$C$14="On",((Data!$AJ$23*'Net zero Intermediate calcs'!BC19)+Data!$AK$23)*(1-'Net zero supporting data'!AF214),"ERROR"))</f>
        <v>189879.25591399451</v>
      </c>
      <c r="BD27" s="94">
        <f>IF('Net zero activities &amp; levers'!$C$14="Off",((Data!$AJ$23*'Net zero Intermediate calcs'!BD19)+Data!$AK$23),IF('Net zero activities &amp; levers'!$C$14="On",((Data!$AJ$23*'Net zero Intermediate calcs'!BD19)+Data!$AK$23)*(1-'Net zero supporting data'!AG214),"ERROR"))</f>
        <v>190749.01754374421</v>
      </c>
      <c r="BE27" s="94">
        <f>IF('Net zero activities &amp; levers'!$C$14="Off",((Data!$AJ$23*'Net zero Intermediate calcs'!BE19)+Data!$AK$23),IF('Net zero activities &amp; levers'!$C$14="On",((Data!$AJ$23*'Net zero Intermediate calcs'!BE19)+Data!$AK$23)*(1-'Net zero supporting data'!AH214),"ERROR"))</f>
        <v>191625.79370606222</v>
      </c>
      <c r="BF27" s="94">
        <f>IF('Net zero activities &amp; levers'!$C$14="Off",((Data!$AJ$23*'Net zero Intermediate calcs'!BF19)+Data!$AK$23),IF('Net zero activities &amp; levers'!$C$14="On",((Data!$AJ$23*'Net zero Intermediate calcs'!BF19)+Data!$AK$23)*(1-'Net zero supporting data'!AI214),"ERROR"))</f>
        <v>192509.92783408595</v>
      </c>
      <c r="BG27" s="94">
        <f>IF('Net zero activities &amp; levers'!$C$14="Off",((Data!$AJ$23*'Net zero Intermediate calcs'!BG19)+Data!$AK$23),IF('Net zero activities &amp; levers'!$C$14="On",((Data!$AJ$23*'Net zero Intermediate calcs'!BG19)+Data!$AK$23)*(1-'Net zero supporting data'!AJ214),"ERROR"))</f>
        <v>193259.01367803253</v>
      </c>
      <c r="BH27" s="94">
        <f>IF('Net zero activities &amp; levers'!$C$14="Off",((Data!$AJ$23*'Net zero Intermediate calcs'!BH19)+Data!$AK$23),IF('Net zero activities &amp; levers'!$C$14="On",((Data!$AJ$23*'Net zero Intermediate calcs'!BH19)+Data!$AK$23)*(1-'Net zero supporting data'!AK214),"ERROR"))</f>
        <v>193992.78652520539</v>
      </c>
      <c r="BI27" s="94">
        <f>IF('Net zero activities &amp; levers'!$C$14="Off",((Data!$AJ$23*'Net zero Intermediate calcs'!BI19)+Data!$AK$23),IF('Net zero activities &amp; levers'!$C$14="On",((Data!$AJ$23*'Net zero Intermediate calcs'!BI19)+Data!$AK$23)*(1-'Net zero supporting data'!AL214),"ERROR"))</f>
        <v>194729.14169106976</v>
      </c>
      <c r="BJ27" s="94">
        <f>IF('Net zero activities &amp; levers'!$C$14="Off",((Data!$AJ$23*'Net zero Intermediate calcs'!BJ19)+Data!$AK$23),IF('Net zero activities &amp; levers'!$C$14="On",((Data!$AJ$23*'Net zero Intermediate calcs'!BJ19)+Data!$AK$23)*(1-'Net zero supporting data'!AM214),"ERROR"))</f>
        <v>195470.17977418003</v>
      </c>
      <c r="BK27" s="94">
        <f>IF('Net zero activities &amp; levers'!$C$14="Off",((Data!$AJ$23*'Net zero Intermediate calcs'!BK19)+Data!$AK$23),IF('Net zero activities &amp; levers'!$C$14="On",((Data!$AJ$23*'Net zero Intermediate calcs'!BK19)+Data!$AK$23)*(1-'Net zero supporting data'!AN214),"ERROR"))</f>
        <v>196215.04322531182</v>
      </c>
      <c r="BL27">
        <v>196314.82732702183</v>
      </c>
    </row>
    <row r="28" spans="1:64" x14ac:dyDescent="0.2">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2">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232803.07737192558</v>
      </c>
      <c r="Z29" s="22">
        <f>((Data!$AJ$9*'Net zero Intermediate calcs'!Z4)+Data!$AK$9)*Drivers!AA4</f>
        <v>238588.45125065109</v>
      </c>
      <c r="AA29" s="22">
        <f>((Data!$AJ$9*'Net zero Intermediate calcs'!AA4)+Data!$AK$9)*Drivers!AB4</f>
        <v>245792.32692559369</v>
      </c>
      <c r="AB29" s="22">
        <f>((Data!$AJ$9*'Net zero Intermediate calcs'!AB4)+Data!$AK$9)*Drivers!AC4</f>
        <v>250389.30527292381</v>
      </c>
      <c r="AC29" s="22">
        <f>((Data!$AJ$9*'Net zero Intermediate calcs'!AC4)+Data!$AK$9)*Drivers!AD4</f>
        <v>253237.16816784014</v>
      </c>
      <c r="AD29" s="22">
        <f>((Data!$AJ$9*'Net zero Intermediate calcs'!AD4)+Data!$AK$9)*Drivers!AE4</f>
        <v>254291.65168168268</v>
      </c>
      <c r="AE29" s="22">
        <f>((Data!$AJ$9*'Net zero Intermediate calcs'!AE4)+Data!$AK$9)*Drivers!AF4</f>
        <v>256684.19880970006</v>
      </c>
      <c r="AF29" s="22">
        <f>((Data!$AJ$9*'Net zero Intermediate calcs'!AF4)+Data!$AK$9)*Drivers!AG4</f>
        <v>259264.64593191384</v>
      </c>
      <c r="AG29" s="22">
        <f>((Data!$AJ$9*'Net zero Intermediate calcs'!AG4)+Data!$AK$9)*Drivers!AH4</f>
        <v>235171.10856560376</v>
      </c>
      <c r="AH29" s="22">
        <f>((Data!$AJ$9*'Net zero Intermediate calcs'!AH4)+Data!$AK$9)*Drivers!AI4</f>
        <v>245005.4697241254</v>
      </c>
      <c r="AI29" s="22">
        <f>((Data!$AJ$9*'Net zero Intermediate calcs'!AI4)+Data!$AK$9)*Drivers!AJ4</f>
        <v>252692.71404164954</v>
      </c>
      <c r="AJ29" s="22">
        <f>((Data!$AJ$9*'Net zero Intermediate calcs'!AJ4)+Data!$AK$9)*Drivers!AK4</f>
        <v>259880.27560182085</v>
      </c>
      <c r="AK29" s="22">
        <f>((Data!$AJ$9*'Net zero Intermediate calcs'!AK4)+Data!$AK$9)*Drivers!AL4</f>
        <v>268171.7132754756</v>
      </c>
      <c r="AL29" s="22">
        <f>((Data!$AJ$9*'Net zero Intermediate calcs'!AL4)+Data!$AK$9)*Drivers!AM4</f>
        <v>276020.79540671315</v>
      </c>
      <c r="AM29" s="22">
        <f>((Data!$AJ$9*'Net zero Intermediate calcs'!AM4)+Data!$AK$9)*Drivers!AN4</f>
        <v>283167.24125988182</v>
      </c>
      <c r="AN29" s="22">
        <f>((Data!$AJ$9*'Net zero Intermediate calcs'!AN4)+Data!$AK$9)*Drivers!AO4</f>
        <v>290042.85157882673</v>
      </c>
      <c r="AO29" s="22">
        <f>((Data!$AJ$9*'Net zero Intermediate calcs'!AO4)+Data!$AK$9)*Drivers!AP4</f>
        <v>296496.04462813865</v>
      </c>
      <c r="AP29" s="22">
        <f>((Data!$AJ$9*'Net zero Intermediate calcs'!AP4)+Data!$AK$9)*Drivers!AQ4</f>
        <v>304776.22338899062</v>
      </c>
      <c r="AQ29" s="22">
        <f>((Data!$AJ$9*'Net zero Intermediate calcs'!AQ4)+Data!$AK$9)*Drivers!AR4</f>
        <v>312954.07315056521</v>
      </c>
      <c r="AR29" s="22">
        <f>((Data!$AJ$9*'Net zero Intermediate calcs'!AR4)+Data!$AK$9)*Drivers!AS4</f>
        <v>322000.49958072725</v>
      </c>
      <c r="AS29" s="22">
        <f>((Data!$AJ$9*'Net zero Intermediate calcs'!AS4)+Data!$AK$9)*Drivers!AT4</f>
        <v>332911.78718332516</v>
      </c>
      <c r="AT29" s="22">
        <f>((Data!$AJ$9*'Net zero Intermediate calcs'!AT4)+Data!$AK$9)*Drivers!AU4</f>
        <v>344788.44184804661</v>
      </c>
      <c r="AU29" s="22">
        <f>((Data!$AJ$9*'Net zero Intermediate calcs'!AU4)+Data!$AK$9)*Drivers!AV4</f>
        <v>358734.020358001</v>
      </c>
      <c r="AV29" s="22">
        <f>((Data!$AJ$9*'Net zero Intermediate calcs'!AV4)+Data!$AK$9)*Drivers!AW4</f>
        <v>369810.92356614006</v>
      </c>
      <c r="AW29" s="22">
        <f>((Data!$AJ$9*'Net zero Intermediate calcs'!AW4)+Data!$AK$9)*Drivers!AX4</f>
        <v>380636.35294161475</v>
      </c>
      <c r="AX29" s="22">
        <f>((Data!$AJ$9*'Net zero Intermediate calcs'!AX4)+Data!$AK$9)*Drivers!AY4</f>
        <v>392566.35083868052</v>
      </c>
      <c r="AY29" s="22">
        <f>((Data!$AJ$9*'Net zero Intermediate calcs'!AY4)+Data!$AK$9)*Drivers!AZ4</f>
        <v>404182.51438065787</v>
      </c>
      <c r="AZ29" s="22">
        <f>((Data!$AJ$9*'Net zero Intermediate calcs'!AZ4)+Data!$AK$9)*Drivers!BA4</f>
        <v>416463.00507963117</v>
      </c>
      <c r="BA29" s="22">
        <f>((Data!$AJ$9*'Net zero Intermediate calcs'!BA4)+Data!$AK$9)*Drivers!BB4</f>
        <v>428909.60835375183</v>
      </c>
      <c r="BB29" s="22">
        <f>((Data!$AJ$9*'Net zero Intermediate calcs'!BB4)+Data!$AK$9)*Drivers!BC4</f>
        <v>443141.75258328475</v>
      </c>
      <c r="BC29" s="22">
        <f>((Data!$AJ$9*'Net zero Intermediate calcs'!BC4)+Data!$AK$9)*Drivers!BD4</f>
        <v>456930.63684890966</v>
      </c>
      <c r="BD29" s="22">
        <f>((Data!$AJ$9*'Net zero Intermediate calcs'!BD4)+Data!$AK$9)*Drivers!BE4</f>
        <v>471038.02584677469</v>
      </c>
      <c r="BE29" s="22">
        <f>((Data!$AJ$9*'Net zero Intermediate calcs'!BE4)+Data!$AK$9)*Drivers!BF4</f>
        <v>485668.93089744443</v>
      </c>
      <c r="BF29" s="22">
        <f>((Data!$AJ$9*'Net zero Intermediate calcs'!BF4)+Data!$AK$9)*Drivers!BG4</f>
        <v>500907.66411865299</v>
      </c>
      <c r="BG29" s="22">
        <f>((Data!$AJ$9*'Net zero Intermediate calcs'!BG4)+Data!$AK$9)*Drivers!BH4</f>
        <v>518346.88064654206</v>
      </c>
      <c r="BH29" s="22">
        <f>((Data!$AJ$9*'Net zero Intermediate calcs'!BH4)+Data!$AK$9)*Drivers!BI4</f>
        <v>530701.97261541546</v>
      </c>
      <c r="BI29" s="22">
        <f>((Data!$AJ$9*'Net zero Intermediate calcs'!BI4)+Data!$AK$9)*Drivers!BJ4</f>
        <v>542805.62219476001</v>
      </c>
      <c r="BJ29" s="22">
        <f>((Data!$AJ$9*'Net zero Intermediate calcs'!BJ4)+Data!$AK$9)*Drivers!BK4</f>
        <v>555220.82117397699</v>
      </c>
      <c r="BK29" s="22">
        <f>((Data!$AJ$9*'Net zero Intermediate calcs'!BK4)+Data!$AK$9)*Drivers!BL4</f>
        <v>567710.88299580966</v>
      </c>
      <c r="BL29">
        <v>633508.56940588297</v>
      </c>
    </row>
    <row r="30" spans="1:64" x14ac:dyDescent="0.2">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4.4491381064464788</v>
      </c>
      <c r="Z30" s="45">
        <f>Z29*ttokg/Drivers!AA4</f>
        <v>4.4928200316832125</v>
      </c>
      <c r="AA30" s="45">
        <f>AA29*ttokg/Drivers!AB4</f>
        <v>4.5591085416730017</v>
      </c>
      <c r="AB30" s="45">
        <f>AB29*ttokg/Drivers!AC4</f>
        <v>4.5732795927157346</v>
      </c>
      <c r="AC30" s="45">
        <f>AC29*ttokg/Drivers!AD4</f>
        <v>4.5529924345249428</v>
      </c>
      <c r="AD30" s="45">
        <f>AD29*ttokg/Drivers!AE4</f>
        <v>4.498989516325735</v>
      </c>
      <c r="AE30" s="45">
        <f>AE29*ttokg/Drivers!AF4</f>
        <v>4.4690472186600525</v>
      </c>
      <c r="AF30" s="45">
        <f>AF29*ttokg/Drivers!AG4</f>
        <v>4.4421379119670714</v>
      </c>
      <c r="AG30" s="45">
        <f>AG29*ttokg/Drivers!AH4</f>
        <v>3.9652049061546251</v>
      </c>
      <c r="AH30" s="45">
        <f>AH29*ttokg/Drivers!AI4</f>
        <v>4.0839975858208151</v>
      </c>
      <c r="AI30" s="45">
        <f>AI29*ttokg/Drivers!AJ4</f>
        <v>4.164189116493068</v>
      </c>
      <c r="AJ30" s="45">
        <f>AJ29*ttokg/Drivers!AK4</f>
        <v>4.2338851363000378</v>
      </c>
      <c r="AK30" s="45">
        <f>AK29*ttokg/Drivers!AL4</f>
        <v>4.3192341446341773</v>
      </c>
      <c r="AL30" s="45">
        <f>AL29*ttokg/Drivers!AM4</f>
        <v>4.3950478963097952</v>
      </c>
      <c r="AM30" s="45">
        <f>AM29*ttokg/Drivers!AN4</f>
        <v>4.4648767681979313</v>
      </c>
      <c r="AN30" s="45">
        <f>AN29*ttokg/Drivers!AO4</f>
        <v>4.5286972771770477</v>
      </c>
      <c r="AO30" s="45">
        <f>AO29*ttokg/Drivers!AP4</f>
        <v>4.5843174821019561</v>
      </c>
      <c r="AP30" s="45">
        <f>AP29*ttokg/Drivers!AQ4</f>
        <v>4.6663952733018021</v>
      </c>
      <c r="AQ30" s="45">
        <f>AQ29*ttokg/Drivers!AR4</f>
        <v>4.7448851675495805</v>
      </c>
      <c r="AR30" s="45">
        <f>AR29*ttokg/Drivers!AS4</f>
        <v>4.8407313699015466</v>
      </c>
      <c r="AS30" s="45">
        <f>AS29*ttokg/Drivers!AT4</f>
        <v>4.962413487631216</v>
      </c>
      <c r="AT30" s="45">
        <f>AT29*ttokg/Drivers!AU4</f>
        <v>5.0959576987078679</v>
      </c>
      <c r="AU30" s="45">
        <f>AU29*ttokg/Drivers!AV4</f>
        <v>5.2572062965138961</v>
      </c>
      <c r="AV30" s="45">
        <f>AV29*ttokg/Drivers!AW4</f>
        <v>5.3736766377654321</v>
      </c>
      <c r="AW30" s="45">
        <f>AW29*ttokg/Drivers!AX4</f>
        <v>5.4907807438059288</v>
      </c>
      <c r="AX30" s="45">
        <f>AX29*ttokg/Drivers!AY4</f>
        <v>5.6217166728626475</v>
      </c>
      <c r="AY30" s="45">
        <f>AY29*ttokg/Drivers!AZ4</f>
        <v>5.7459977142517991</v>
      </c>
      <c r="AZ30" s="45">
        <f>AZ29*ttokg/Drivers!BA4</f>
        <v>5.8775509262485777</v>
      </c>
      <c r="BA30" s="45">
        <f>BA29*ttokg/Drivers!BB4</f>
        <v>6.0092156852364571</v>
      </c>
      <c r="BB30" s="45">
        <f>BB29*ttokg/Drivers!BC4</f>
        <v>6.1702911557824329</v>
      </c>
      <c r="BC30" s="45">
        <f>BC29*ttokg/Drivers!BD4</f>
        <v>6.323015323258022</v>
      </c>
      <c r="BD30" s="45">
        <f>BD29*ttokg/Drivers!BE4</f>
        <v>6.4779992585266619</v>
      </c>
      <c r="BE30" s="45">
        <f>BE29*ttokg/Drivers!BF4</f>
        <v>6.6379842439765859</v>
      </c>
      <c r="BF30" s="45">
        <f>BF29*ttokg/Drivers!BG4</f>
        <v>6.8040037100833688</v>
      </c>
      <c r="BG30" s="45">
        <f>BG29*ttokg/Drivers!BH4</f>
        <v>7.0051266271807178</v>
      </c>
      <c r="BH30" s="45">
        <f>BH29*ttokg/Drivers!BI4</f>
        <v>7.1356713341738933</v>
      </c>
      <c r="BI30" s="45">
        <f>BI29*ttokg/Drivers!BJ4</f>
        <v>7.2613456373991259</v>
      </c>
      <c r="BJ30" s="45">
        <f>BJ29*ttokg/Drivers!BK4</f>
        <v>7.389705859308239</v>
      </c>
      <c r="BK30" s="45">
        <f>BK29*ttokg/Drivers!BL4</f>
        <v>7.5175662371135008</v>
      </c>
      <c r="BL30">
        <v>8.3888419900670428</v>
      </c>
    </row>
    <row r="31" spans="1:64" x14ac:dyDescent="0.2">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0.15664691241943959</v>
      </c>
      <c r="AP31" s="45"/>
      <c r="AQ31" s="45">
        <f>(AQ32-AE32)/AE32</f>
        <v>0.207014378339612</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2">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210251.25025039678</v>
      </c>
      <c r="Z32" s="94">
        <f>IF('Net zero activities &amp; levers'!$C$14="Off",((Data!$AJ$26*'Net zero Intermediate calcs'!Z29)+Data!$AK$26),IF('Net zero activities &amp; levers'!$C$14="On",((Data!$AJ$26*'Net zero Intermediate calcs'!Z29)+Data!$AK$26)*(1-'Net zero supporting data'!C215),"ERROR"))</f>
        <v>215157.29984140501</v>
      </c>
      <c r="AA32" s="94">
        <f>IF('Net zero activities &amp; levers'!$C$14="Off",((Data!$AJ$26*'Net zero Intermediate calcs'!AA29)+Data!$AK$26),IF('Net zero activities &amp; levers'!$C$14="On",((Data!$AJ$26*'Net zero Intermediate calcs'!AA29)+Data!$AK$26)*(1-'Net zero supporting data'!D215),"ERROR"))</f>
        <v>221266.25183821388</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227579.54482450749</v>
      </c>
      <c r="AD32" s="94">
        <f>IF('Net zero activities &amp; levers'!$C$14="Off",((Data!$AJ$26*'Net zero Intermediate calcs'!AD29)+Data!$AK$26),IF('Net zero activities &amp; levers'!$C$14="On",((Data!$AJ$26*'Net zero Intermediate calcs'!AD29)+Data!$AK$26)*(1-'Net zero supporting data'!G215),"ERROR"))</f>
        <v>228473.75642089819</v>
      </c>
      <c r="AE32" s="94">
        <f>IF('Net zero activities &amp; levers'!$C$14="Off",((Data!$AJ$26*'Net zero Intermediate calcs'!AE29)+Data!$AK$26),IF('Net zero activities &amp; levers'!$C$14="On",((Data!$AJ$26*'Net zero Intermediate calcs'!AE29)+Data!$AK$26)*(1-'Net zero supporting data'!H215),"ERROR"))</f>
        <v>230502.65811419088</v>
      </c>
      <c r="AF32" s="94">
        <f>IF('Net zero activities &amp; levers'!$C$14="Off",((Data!$AJ$26*'Net zero Intermediate calcs'!AF29)+Data!$AK$26),IF('Net zero activities &amp; levers'!$C$14="On",((Data!$AJ$26*'Net zero Intermediate calcs'!AF29)+Data!$AK$26)*(1-'Net zero supporting data'!I215),"ERROR"))</f>
        <v>232690.90070904011</v>
      </c>
      <c r="AG32" s="94">
        <f>IF('Net zero activities &amp; levers'!$C$14="Off",((Data!$AJ$26*'Net zero Intermediate calcs'!AG29)+Data!$AK$26),IF('Net zero activities &amp; levers'!$C$14="On",((Data!$AJ$26*'Net zero Intermediate calcs'!AG29)+Data!$AK$26)*(1-'Net zero supporting data'!J215),"ERROR"))</f>
        <v>212259.36220872001</v>
      </c>
      <c r="AH32" s="94">
        <f>IF('Net zero activities &amp; levers'!$C$14="Off",((Data!$AJ$26*'Net zero Intermediate calcs'!AH29)+Data!$AK$26),IF('Net zero activities &amp; levers'!$C$14="On",((Data!$AJ$26*'Net zero Intermediate calcs'!AH29)+Data!$AK$26)*(1-'Net zero supporting data'!K215),"ERROR"))</f>
        <v>220598.98978525633</v>
      </c>
      <c r="AI32" s="94">
        <f>IF('Net zero activities &amp; levers'!$C$14="Off",((Data!$AJ$26*'Net zero Intermediate calcs'!AI29)+Data!$AK$26),IF('Net zero activities &amp; levers'!$C$14="On",((Data!$AJ$26*'Net zero Intermediate calcs'!AI29)+Data!$AK$26)*(1-'Net zero supporting data'!L215),"ERROR"))</f>
        <v>227117.84278085176</v>
      </c>
      <c r="AJ32" s="94">
        <f>IF('Net zero activities &amp; levers'!$C$14="Off",((Data!$AJ$26*'Net zero Intermediate calcs'!AJ29)+Data!$AK$26),IF('Net zero activities &amp; levers'!$C$14="On",((Data!$AJ$26*'Net zero Intermediate calcs'!AJ29)+Data!$AK$26)*(1-'Net zero supporting data'!M215),"ERROR"))</f>
        <v>233212.96026017237</v>
      </c>
      <c r="AK32" s="94">
        <f>IF('Net zero activities &amp; levers'!$C$14="Off",((Data!$AJ$26*'Net zero Intermediate calcs'!AK29)+Data!$AK$26),IF('Net zero activities &amp; levers'!$C$14="On",((Data!$AJ$26*'Net zero Intermediate calcs'!AK29)+Data!$AK$26)*(1-'Net zero supporting data'!N215),"ERROR"))</f>
        <v>240244.1747089549</v>
      </c>
      <c r="AL32" s="94">
        <f>IF('Net zero activities &amp; levers'!$C$14="Off",((Data!$AJ$26*'Net zero Intermediate calcs'!AL29)+Data!$AK$26),IF('Net zero activities &amp; levers'!$C$14="On",((Data!$AJ$26*'Net zero Intermediate calcs'!AL29)+Data!$AK$26)*(1-'Net zero supporting data'!O215),"ERROR"))</f>
        <v>246900.26764036471</v>
      </c>
      <c r="AM32" s="94">
        <f>IF('Net zero activities &amp; levers'!$C$14="Off",((Data!$AJ$26*'Net zero Intermediate calcs'!AM29)+Data!$AK$26),IF('Net zero activities &amp; levers'!$C$14="On",((Data!$AJ$26*'Net zero Intermediate calcs'!AM29)+Data!$AK$26)*(1-'Net zero supporting data'!P215),"ERROR"))</f>
        <v>252960.51862674076</v>
      </c>
      <c r="AN32" s="94">
        <f>IF('Net zero activities &amp; levers'!$C$14="Off",((Data!$AJ$26*'Net zero Intermediate calcs'!AN29)+Data!$AK$26),IF('Net zero activities &amp; levers'!$C$14="On",((Data!$AJ$26*'Net zero Intermediate calcs'!AN29)+Data!$AK$26)*(1-'Net zero supporting data'!Q215),"ERROR"))</f>
        <v>258791.09862040961</v>
      </c>
      <c r="AO32" s="94">
        <f>IF('Net zero activities &amp; levers'!$C$14="Off",((Data!$AJ$26*'Net zero Intermediate calcs'!AO29)+Data!$AK$26),IF('Net zero activities &amp; levers'!$C$14="On",((Data!$AJ$26*'Net zero Intermediate calcs'!AO29)+Data!$AK$26)*(1-'Net zero supporting data'!R215),"ERROR"))</f>
        <v>264263.46493310301</v>
      </c>
      <c r="AP32" s="94">
        <f>IF('Net zero activities &amp; levers'!$C$14="Off",((Data!$AJ$26*'Net zero Intermediate calcs'!AP29)+Data!$AK$26),IF('Net zero activities &amp; levers'!$C$14="On",((Data!$AJ$26*'Net zero Intermediate calcs'!AP29)+Data!$AK$26)*(1-'Net zero supporting data'!S215),"ERROR"))</f>
        <v>271285.13172157714</v>
      </c>
      <c r="AQ32" s="94">
        <f>IF('Net zero activities &amp; levers'!$C$14="Off",((Data!$AJ$26*'Net zero Intermediate calcs'!AQ29)+Data!$AK$26),IF('Net zero activities &amp; levers'!$C$14="On",((Data!$AJ$26*'Net zero Intermediate calcs'!AQ29)+Data!$AK$26)*(1-'Net zero supporting data'!T215),"ERROR"))</f>
        <v>278220.02258932823</v>
      </c>
      <c r="AR32" s="94">
        <f>IF('Net zero activities &amp; levers'!$C$14="Off",((Data!$AJ$26*'Net zero Intermediate calcs'!AR29)+Data!$AK$26),IF('Net zero activities &amp; levers'!$C$14="On",((Data!$AJ$26*'Net zero Intermediate calcs'!AR29)+Data!$AK$26)*(1-'Net zero supporting data'!U215),"ERROR"))</f>
        <v>285891.47436031722</v>
      </c>
      <c r="AS32" s="94">
        <f>IF('Net zero activities &amp; levers'!$C$14="Off",((Data!$AJ$26*'Net zero Intermediate calcs'!AS29)+Data!$AK$26),IF('Net zero activities &amp; levers'!$C$14="On",((Data!$AJ$26*'Net zero Intermediate calcs'!AS29)+Data!$AK$26)*(1-'Net zero supporting data'!V215),"ERROR"))</f>
        <v>295144.3453419056</v>
      </c>
      <c r="AT32" s="94">
        <f>IF('Net zero activities &amp; levers'!$C$14="Off",((Data!$AJ$26*'Net zero Intermediate calcs'!AT29)+Data!$AK$26),IF('Net zero activities &amp; levers'!$C$14="On",((Data!$AJ$26*'Net zero Intermediate calcs'!AT29)+Data!$AK$26)*(1-'Net zero supporting data'!W215),"ERROR"))</f>
        <v>305215.85635948542</v>
      </c>
      <c r="AU32" s="94">
        <f>IF('Net zero activities &amp; levers'!$C$14="Off",((Data!$AJ$26*'Net zero Intermediate calcs'!AU29)+Data!$AK$26),IF('Net zero activities &amp; levers'!$C$14="On",((Data!$AJ$26*'Net zero Intermediate calcs'!AU29)+Data!$AK$26)*(1-'Net zero supporting data'!X215),"ERROR"))</f>
        <v>317041.83358746127</v>
      </c>
      <c r="AV32" s="94">
        <f>IF('Net zero activities &amp; levers'!$C$14="Off",((Data!$AJ$26*'Net zero Intermediate calcs'!AV29)+Data!$AK$26),IF('Net zero activities &amp; levers'!$C$14="On",((Data!$AJ$26*'Net zero Intermediate calcs'!AV29)+Data!$AK$26)*(1-'Net zero supporting data'!Y215),"ERROR"))</f>
        <v>326435.14810664323</v>
      </c>
      <c r="AW32" s="94">
        <f>IF('Net zero activities &amp; levers'!$C$14="Off",((Data!$AJ$26*'Net zero Intermediate calcs'!AW29)+Data!$AK$26),IF('Net zero activities &amp; levers'!$C$14="On",((Data!$AJ$26*'Net zero Intermediate calcs'!AW29)+Data!$AK$26)*(1-'Net zero supporting data'!Z215),"ERROR"))</f>
        <v>335615.21053188015</v>
      </c>
      <c r="AX32" s="94">
        <f>IF('Net zero activities &amp; levers'!$C$14="Off",((Data!$AJ$26*'Net zero Intermediate calcs'!AX29)+Data!$AK$26),IF('Net zero activities &amp; levers'!$C$14="On",((Data!$AJ$26*'Net zero Intermediate calcs'!AX29)+Data!$AK$26)*(1-'Net zero supporting data'!AA215),"ERROR"))</f>
        <v>345731.9570949428</v>
      </c>
      <c r="AY32" s="94">
        <f>IF('Net zero activities &amp; levers'!$C$14="Off",((Data!$AJ$26*'Net zero Intermediate calcs'!AY29)+Data!$AK$26),IF('Net zero activities &amp; levers'!$C$14="On",((Data!$AJ$26*'Net zero Intermediate calcs'!AY29)+Data!$AK$26)*(1-'Net zero supporting data'!AB215),"ERROR"))</f>
        <v>355582.56927469641</v>
      </c>
      <c r="AZ32" s="94">
        <f>IF('Net zero activities &amp; levers'!$C$14="Off",((Data!$AJ$26*'Net zero Intermediate calcs'!AZ29)+Data!$AK$26),IF('Net zero activities &amp; levers'!$C$14="On",((Data!$AJ$26*'Net zero Intermediate calcs'!AZ29)+Data!$AK$26)*(1-'Net zero supporting data'!AC215),"ERROR"))</f>
        <v>365996.5369168967</v>
      </c>
      <c r="BA32" s="94">
        <f>IF('Net zero activities &amp; levers'!$C$14="Off",((Data!$AJ$26*'Net zero Intermediate calcs'!BA29)+Data!$AK$26),IF('Net zero activities &amp; levers'!$C$14="On",((Data!$AJ$26*'Net zero Intermediate calcs'!BA29)+Data!$AK$26)*(1-'Net zero supporting data'!AD215),"ERROR"))</f>
        <v>376551.36953142995</v>
      </c>
      <c r="BB32" s="94">
        <f>IF('Net zero activities &amp; levers'!$C$14="Off",((Data!$AJ$26*'Net zero Intermediate calcs'!BB29)+Data!$AK$26),IF('Net zero activities &amp; levers'!$C$14="On",((Data!$AJ$26*'Net zero Intermediate calcs'!BB29)+Data!$AK$26)*(1-'Net zero supporting data'!AE215),"ERROR"))</f>
        <v>388620.35709215293</v>
      </c>
      <c r="BC32" s="94">
        <f>IF('Net zero activities &amp; levers'!$C$14="Off",((Data!$AJ$26*'Net zero Intermediate calcs'!BC29)+Data!$AK$26),IF('Net zero activities &amp; levers'!$C$14="On",((Data!$AJ$26*'Net zero Intermediate calcs'!BC29)+Data!$AK$26)*(1-'Net zero supporting data'!AF215),"ERROR"))</f>
        <v>400313.45617786516</v>
      </c>
      <c r="BD32" s="94">
        <f>IF('Net zero activities &amp; levers'!$C$14="Off",((Data!$AJ$26*'Net zero Intermediate calcs'!BD29)+Data!$AK$26),IF('Net zero activities &amp; levers'!$C$14="On",((Data!$AJ$26*'Net zero Intermediate calcs'!BD29)+Data!$AK$26)*(1-'Net zero supporting data'!AG215),"ERROR"))</f>
        <v>412276.65016912646</v>
      </c>
      <c r="BE32" s="94">
        <f>IF('Net zero activities &amp; levers'!$C$14="Off",((Data!$AJ$26*'Net zero Intermediate calcs'!BE29)+Data!$AK$26),IF('Net zero activities &amp; levers'!$C$14="On",((Data!$AJ$26*'Net zero Intermediate calcs'!BE29)+Data!$AK$26)*(1-'Net zero supporting data'!AH215),"ERROR"))</f>
        <v>424683.79052765609</v>
      </c>
      <c r="BF32" s="94">
        <f>IF('Net zero activities &amp; levers'!$C$14="Off",((Data!$AJ$26*'Net zero Intermediate calcs'!BF29)+Data!$AK$26),IF('Net zero activities &amp; levers'!$C$14="On",((Data!$AJ$26*'Net zero Intermediate calcs'!BF29)+Data!$AK$26)*(1-'Net zero supporting data'!AI215),"ERROR"))</f>
        <v>437606.37469500175</v>
      </c>
      <c r="BG32" s="94">
        <f>IF('Net zero activities &amp; levers'!$C$14="Off",((Data!$AJ$26*'Net zero Intermediate calcs'!BG29)+Data!$AK$26),IF('Net zero activities &amp; levers'!$C$14="On",((Data!$AJ$26*'Net zero Intermediate calcs'!BG29)+Data!$AK$26)*(1-'Net zero supporting data'!AJ215),"ERROR"))</f>
        <v>452394.98869085324</v>
      </c>
      <c r="BH32" s="94">
        <f>IF('Net zero activities &amp; levers'!$C$14="Off",((Data!$AJ$26*'Net zero Intermediate calcs'!BH29)+Data!$AK$26),IF('Net zero activities &amp; levers'!$C$14="On",((Data!$AJ$26*'Net zero Intermediate calcs'!BH29)+Data!$AK$26)*(1-'Net zero supporting data'!AK215),"ERROR"))</f>
        <v>462872.21888744563</v>
      </c>
      <c r="BI32" s="94">
        <f>IF('Net zero activities &amp; levers'!$C$14="Off",((Data!$AJ$26*'Net zero Intermediate calcs'!BI29)+Data!$AK$26),IF('Net zero activities &amp; levers'!$C$14="On",((Data!$AJ$26*'Net zero Intermediate calcs'!BI29)+Data!$AK$26)*(1-'Net zero supporting data'!AL215),"ERROR"))</f>
        <v>473136.22365415771</v>
      </c>
      <c r="BJ32" s="94">
        <f>IF('Net zero activities &amp; levers'!$C$14="Off",((Data!$AJ$26*'Net zero Intermediate calcs'!BJ29)+Data!$AK$26),IF('Net zero activities &amp; levers'!$C$14="On",((Data!$AJ$26*'Net zero Intermediate calcs'!BJ29)+Data!$AK$26)*(1-'Net zero supporting data'!AM215),"ERROR"))</f>
        <v>483664.4251414038</v>
      </c>
      <c r="BK32" s="94">
        <f>IF('Net zero activities &amp; levers'!$C$14="Off",((Data!$AJ$26*'Net zero Intermediate calcs'!BK29)+Data!$AK$26),IF('Net zero activities &amp; levers'!$C$14="On",((Data!$AJ$26*'Net zero Intermediate calcs'!BK29)+Data!$AK$26)*(1-'Net zero supporting data'!AN215),"ERROR"))</f>
        <v>494256.11099908059</v>
      </c>
      <c r="BL32">
        <v>550053.14663898607</v>
      </c>
    </row>
    <row r="33" spans="1:64" x14ac:dyDescent="0.2">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2">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419285.99149200955</v>
      </c>
      <c r="Z34" s="22">
        <f>((Data!$AJ$10*'Net zero Intermediate calcs'!Z4)+Data!$AK$10)*Drivers!AA4</f>
        <v>427660.19548096805</v>
      </c>
      <c r="AA34" s="22">
        <f>((Data!$AJ$10*'Net zero Intermediate calcs'!AA4)+Data!$AK$10)*Drivers!AB4</f>
        <v>437452.24598008749</v>
      </c>
      <c r="AB34" s="22">
        <f>((Data!$AJ$10*'Net zero Intermediate calcs'!AB4)+Data!$AK$10)*Drivers!AC4</f>
        <v>444966.14209508407</v>
      </c>
      <c r="AC34" s="22">
        <f>((Data!$AJ$10*'Net zero Intermediate calcs'!AC4)+Data!$AK$10)*Drivers!AD4</f>
        <v>450995.02687358501</v>
      </c>
      <c r="AD34" s="22">
        <f>((Data!$AJ$10*'Net zero Intermediate calcs'!AD4)+Data!$AK$10)*Drivers!AE4</f>
        <v>455503.05642644479</v>
      </c>
      <c r="AE34" s="22">
        <f>((Data!$AJ$10*'Net zero Intermediate calcs'!AE4)+Data!$AK$10)*Drivers!AF4</f>
        <v>461288.37157907075</v>
      </c>
      <c r="AF34" s="22">
        <f>((Data!$AJ$10*'Net zero Intermediate calcs'!AF4)+Data!$AK$10)*Drivers!AG4</f>
        <v>467304.40661090246</v>
      </c>
      <c r="AG34" s="22">
        <f>((Data!$AJ$10*'Net zero Intermediate calcs'!AG4)+Data!$AK$10)*Drivers!AH4</f>
        <v>448858.97782457224</v>
      </c>
      <c r="AH34" s="22">
        <f>((Data!$AJ$10*'Net zero Intermediate calcs'!AH4)+Data!$AK$10)*Drivers!AI4</f>
        <v>460578.39672613947</v>
      </c>
      <c r="AI34" s="22">
        <f>((Data!$AJ$10*'Net zero Intermediate calcs'!AI4)+Data!$AK$10)*Drivers!AJ4</f>
        <v>470354.89891734062</v>
      </c>
      <c r="AJ34" s="22">
        <f>((Data!$AJ$10*'Net zero Intermediate calcs'!AJ4)+Data!$AK$10)*Drivers!AK4</f>
        <v>479703.26385470585</v>
      </c>
      <c r="AK34" s="22">
        <f>((Data!$AJ$10*'Net zero Intermediate calcs'!AK4)+Data!$AK$10)*Drivers!AL4</f>
        <v>490097.94224913849</v>
      </c>
      <c r="AL34" s="22">
        <f>((Data!$AJ$10*'Net zero Intermediate calcs'!AL4)+Data!$AK$10)*Drivers!AM4</f>
        <v>500117.90482010652</v>
      </c>
      <c r="AM34" s="22">
        <f>((Data!$AJ$10*'Net zero Intermediate calcs'!AM4)+Data!$AK$10)*Drivers!AN4</f>
        <v>509113.35512051306</v>
      </c>
      <c r="AN34" s="22">
        <f>((Data!$AJ$10*'Net zero Intermediate calcs'!AN4)+Data!$AK$10)*Drivers!AO4</f>
        <v>517883.72388124414</v>
      </c>
      <c r="AO34" s="22">
        <f>((Data!$AJ$10*'Net zero Intermediate calcs'!AO4)+Data!$AK$10)*Drivers!AP4</f>
        <v>526289.90291219158</v>
      </c>
      <c r="AP34" s="22">
        <f>((Data!$AJ$10*'Net zero Intermediate calcs'!AP4)+Data!$AK$10)*Drivers!AQ4</f>
        <v>536399.92141046375</v>
      </c>
      <c r="AQ34" s="22">
        <f>((Data!$AJ$10*'Net zero Intermediate calcs'!AQ4)+Data!$AK$10)*Drivers!AR4</f>
        <v>546440.47268629388</v>
      </c>
      <c r="AR34" s="22">
        <f>((Data!$AJ$10*'Net zero Intermediate calcs'!AR4)+Data!$AK$10)*Drivers!AS4</f>
        <v>556964.78579965909</v>
      </c>
      <c r="AS34" s="22">
        <f>((Data!$AJ$10*'Net zero Intermediate calcs'!AS4)+Data!$AK$10)*Drivers!AT4</f>
        <v>569222.24174877245</v>
      </c>
      <c r="AT34" s="22">
        <f>((Data!$AJ$10*'Net zero Intermediate calcs'!AT4)+Data!$AK$10)*Drivers!AU4</f>
        <v>582386.13021906279</v>
      </c>
      <c r="AU34" s="22">
        <f>((Data!$AJ$10*'Net zero Intermediate calcs'!AU4)+Data!$AK$10)*Drivers!AV4</f>
        <v>597471.07172223891</v>
      </c>
      <c r="AV34" s="22">
        <f>((Data!$AJ$10*'Net zero Intermediate calcs'!AV4)+Data!$AK$10)*Drivers!AW4</f>
        <v>609938.28040777124</v>
      </c>
      <c r="AW34" s="22">
        <f>((Data!$AJ$10*'Net zero Intermediate calcs'!AW4)+Data!$AK$10)*Drivers!AX4</f>
        <v>621866.29337455134</v>
      </c>
      <c r="AX34" s="22">
        <f>((Data!$AJ$10*'Net zero Intermediate calcs'!AX4)+Data!$AK$10)*Drivers!AY4</f>
        <v>634824.16571161011</v>
      </c>
      <c r="AY34" s="22">
        <f>((Data!$AJ$10*'Net zero Intermediate calcs'!AY4)+Data!$AK$10)*Drivers!AZ4</f>
        <v>647508.11887282995</v>
      </c>
      <c r="AZ34" s="22">
        <f>((Data!$AJ$10*'Net zero Intermediate calcs'!AZ4)+Data!$AK$10)*Drivers!BA4</f>
        <v>660817.4467176639</v>
      </c>
      <c r="BA34" s="22">
        <f>((Data!$AJ$10*'Net zero Intermediate calcs'!BA4)+Data!$AK$10)*Drivers!BB4</f>
        <v>674294.26679499587</v>
      </c>
      <c r="BB34" s="22">
        <f>((Data!$AJ$10*'Net zero Intermediate calcs'!BB4)+Data!$AK$10)*Drivers!BC4</f>
        <v>689116.48824959388</v>
      </c>
      <c r="BC34" s="22">
        <f>((Data!$AJ$10*'Net zero Intermediate calcs'!BC4)+Data!$AK$10)*Drivers!BD4</f>
        <v>703542.03917983908</v>
      </c>
      <c r="BD34" s="22">
        <f>((Data!$AJ$10*'Net zero Intermediate calcs'!BD4)+Data!$AK$10)*Drivers!BE4</f>
        <v>718271.248348422</v>
      </c>
      <c r="BE34" s="22">
        <f>((Data!$AJ$10*'Net zero Intermediate calcs'!BE4)+Data!$AK$10)*Drivers!BF4</f>
        <v>733492.64246766467</v>
      </c>
      <c r="BF34" s="22">
        <f>((Data!$AJ$10*'Net zero Intermediate calcs'!BF4)+Data!$AK$10)*Drivers!BG4</f>
        <v>749283.79442534444</v>
      </c>
      <c r="BG34" s="22">
        <f>((Data!$AJ$10*'Net zero Intermediate calcs'!BG4)+Data!$AK$10)*Drivers!BH4</f>
        <v>766789.38183497731</v>
      </c>
      <c r="BH34" s="22">
        <f>((Data!$AJ$10*'Net zero Intermediate calcs'!BH4)+Data!$AK$10)*Drivers!BI4</f>
        <v>779628.85091861291</v>
      </c>
      <c r="BI34" s="22">
        <f>((Data!$AJ$10*'Net zero Intermediate calcs'!BI4)+Data!$AK$10)*Drivers!BJ4</f>
        <v>792244.74330496078</v>
      </c>
      <c r="BJ34" s="22">
        <f>((Data!$AJ$10*'Net zero Intermediate calcs'!BJ4)+Data!$AK$10)*Drivers!BK4</f>
        <v>805154.63481792284</v>
      </c>
      <c r="BK34" s="22">
        <f>((Data!$AJ$10*'Net zero Intermediate calcs'!BK4)+Data!$AK$10)*Drivers!BL4</f>
        <v>818140.98720960331</v>
      </c>
      <c r="BL34">
        <v>879387.44308735442</v>
      </c>
    </row>
    <row r="35" spans="1:64" x14ac:dyDescent="0.2">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8.0531990670072648</v>
      </c>
      <c r="AA35" s="45">
        <f>AA34*ttokg/Drivers!AB4</f>
        <v>8.114135604508105</v>
      </c>
      <c r="AB35" s="45">
        <f>AB34*ttokg/Drivers!AC4</f>
        <v>8.1271625194806223</v>
      </c>
      <c r="AC35" s="45">
        <f>AC34*ttokg/Drivers!AD4</f>
        <v>8.1085132969220055</v>
      </c>
      <c r="AD35" s="45">
        <f>AD34*ttokg/Drivers!AE4</f>
        <v>8.0588704425192166</v>
      </c>
      <c r="AE35" s="45">
        <f>AE34*ttokg/Drivers!AF4</f>
        <v>8.0313456128790985</v>
      </c>
      <c r="AF35" s="45">
        <f>AF34*ttokg/Drivers!AG4</f>
        <v>8.0066088979239574</v>
      </c>
      <c r="AG35" s="45">
        <f>AG34*ttokg/Drivers!AH4</f>
        <v>7.5681822988262306</v>
      </c>
      <c r="AH35" s="45">
        <f>AH34*ttokg/Drivers!AI4</f>
        <v>7.6773839475043975</v>
      </c>
      <c r="AI35" s="45">
        <f>AI34*ttokg/Drivers!AJ4</f>
        <v>7.7511010097345237</v>
      </c>
      <c r="AJ35" s="45">
        <f>AJ34*ttokg/Drivers!AK4</f>
        <v>7.8151699430275041</v>
      </c>
      <c r="AK35" s="45">
        <f>AK34*ttokg/Drivers!AL4</f>
        <v>7.8936280807622925</v>
      </c>
      <c r="AL35" s="45">
        <f>AL34*ttokg/Drivers!AM4</f>
        <v>7.9633208151859876</v>
      </c>
      <c r="AM35" s="45">
        <f>AM34*ttokg/Drivers!AN4</f>
        <v>8.0275118744073861</v>
      </c>
      <c r="AN35" s="45">
        <f>AN34*ttokg/Drivers!AO4</f>
        <v>8.086179671274861</v>
      </c>
      <c r="AO35" s="45">
        <f>AO34*ttokg/Drivers!AP4</f>
        <v>8.1373092366208528</v>
      </c>
      <c r="AP35" s="45">
        <f>AP34*ttokg/Drivers!AQ4</f>
        <v>8.2127602673078588</v>
      </c>
      <c r="AQ35" s="45">
        <f>AQ34*ttokg/Drivers!AR4</f>
        <v>8.2849130790847951</v>
      </c>
      <c r="AR35" s="45">
        <f>AR34*ttokg/Drivers!AS4</f>
        <v>8.3730208930156476</v>
      </c>
      <c r="AS35" s="45">
        <f>AS34*ttokg/Drivers!AT4</f>
        <v>8.4848786935810523</v>
      </c>
      <c r="AT35" s="45">
        <f>AT34*ttokg/Drivers!AU4</f>
        <v>8.6076408710315064</v>
      </c>
      <c r="AU35" s="45">
        <f>AU34*ttokg/Drivers!AV4</f>
        <v>8.7558706506521169</v>
      </c>
      <c r="AV35" s="45">
        <f>AV34*ttokg/Drivers!AW4</f>
        <v>8.8629374608504943</v>
      </c>
      <c r="AW35" s="45">
        <f>AW34*ttokg/Drivers!AX4</f>
        <v>8.9705868672157667</v>
      </c>
      <c r="AX35" s="45">
        <f>AX34*ttokg/Drivers!AY4</f>
        <v>9.0909513489698632</v>
      </c>
      <c r="AY35" s="45">
        <f>AY34*ttokg/Drivers!AZ4</f>
        <v>9.2051982424423535</v>
      </c>
      <c r="AZ35" s="45">
        <f>AZ34*ttokg/Drivers!BA4</f>
        <v>9.3261301692186915</v>
      </c>
      <c r="BA35" s="45">
        <f>BA34*ttokg/Drivers!BB4</f>
        <v>9.4471646369543532</v>
      </c>
      <c r="BB35" s="45">
        <f>BB34*ttokg/Drivers!BC4</f>
        <v>9.5952352671872898</v>
      </c>
      <c r="BC35" s="45">
        <f>BC34*ttokg/Drivers!BD4</f>
        <v>9.7356288581745467</v>
      </c>
      <c r="BD35" s="45">
        <f>BD34*ttokg/Drivers!BE4</f>
        <v>9.8780997688192436</v>
      </c>
      <c r="BE35" s="45">
        <f>BE34*ttokg/Drivers!BF4</f>
        <v>10.025167957060953</v>
      </c>
      <c r="BF35" s="45">
        <f>BF34*ttokg/Drivers!BG4</f>
        <v>10.177783416721217</v>
      </c>
      <c r="BG35" s="45">
        <f>BG34*ttokg/Drivers!BH4</f>
        <v>10.362668160425198</v>
      </c>
      <c r="BH35" s="45">
        <f>BH34*ttokg/Drivers!BI4</f>
        <v>10.482673006430208</v>
      </c>
      <c r="BI35" s="45">
        <f>BI34*ttokg/Drivers!BJ4</f>
        <v>10.598200673179029</v>
      </c>
      <c r="BJ35" s="45">
        <f>BJ34*ttokg/Drivers!BK4</f>
        <v>10.716197404093421</v>
      </c>
      <c r="BK35" s="45">
        <f>BK34*ttokg/Drivers!BL4</f>
        <v>10.833734647096803</v>
      </c>
      <c r="BL35">
        <v>11.644739573179301</v>
      </c>
    </row>
    <row r="36" spans="1:64" x14ac:dyDescent="0.2">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0.15765549436987883</v>
      </c>
      <c r="AP36" s="45"/>
      <c r="AQ36" s="45">
        <f>(AQ37-AE37)/AE37</f>
        <v>0.18723704797784366</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2">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448982.05019678234</v>
      </c>
      <c r="Z37" s="22">
        <f>((Data!$AJ$29*'Net zero Intermediate calcs'!Z34)+Data!$AK$29)</f>
        <v>458090.69820274448</v>
      </c>
      <c r="AA37" s="22">
        <f>((Data!$AJ$29*'Net zero Intermediate calcs'!AA34)+Data!$AK$29)</f>
        <v>468741.54231529374</v>
      </c>
      <c r="AB37" s="22">
        <f>((Data!$AJ$29*'Net zero Intermediate calcs'!AB34)+Data!$AK$29)</f>
        <v>476914.43074207567</v>
      </c>
      <c r="AC37" s="22">
        <f>((Data!$AJ$29*'Net zero Intermediate calcs'!AC34)+Data!$AK$29)</f>
        <v>483472.06766951072</v>
      </c>
      <c r="AD37" s="22">
        <f>((Data!$AJ$29*'Net zero Intermediate calcs'!AD34)+Data!$AK$29)</f>
        <v>488375.46558668773</v>
      </c>
      <c r="AE37" s="22">
        <f>((Data!$AJ$29*'Net zero Intermediate calcs'!AE34)+Data!$AK$29)</f>
        <v>494668.17106631421</v>
      </c>
      <c r="AF37" s="22">
        <f>((Data!$AJ$29*'Net zero Intermediate calcs'!AF34)+Data!$AK$29)</f>
        <v>501211.83128389955</v>
      </c>
      <c r="AG37" s="22">
        <f>((Data!$AJ$29*'Net zero Intermediate calcs'!AG34)+Data!$AK$29)</f>
        <v>481148.6804034994</v>
      </c>
      <c r="AH37" s="22">
        <f>((Data!$AJ$29*'Net zero Intermediate calcs'!AH34)+Data!$AK$29)</f>
        <v>493895.92918673228</v>
      </c>
      <c r="AI37" s="22">
        <f>((Data!$AJ$29*'Net zero Intermediate calcs'!AI34)+Data!$AK$29)</f>
        <v>504529.86135587736</v>
      </c>
      <c r="AJ37" s="22">
        <f>((Data!$AJ$29*'Net zero Intermediate calcs'!AJ34)+Data!$AK$29)</f>
        <v>514698.10728802934</v>
      </c>
      <c r="AK37" s="22">
        <f>((Data!$AJ$29*'Net zero Intermediate calcs'!AK34)+Data!$AK$29)</f>
        <v>526004.43165687751</v>
      </c>
      <c r="AL37" s="22">
        <f>((Data!$AJ$29*'Net zero Intermediate calcs'!AL34)+Data!$AK$29)</f>
        <v>536903.17644649581</v>
      </c>
      <c r="AM37" s="22">
        <f>((Data!$AJ$29*'Net zero Intermediate calcs'!AM34)+Data!$AK$29)</f>
        <v>546687.55601852015</v>
      </c>
      <c r="AN37" s="22">
        <f>((Data!$AJ$29*'Net zero Intermediate calcs'!AN34)+Data!$AK$29)</f>
        <v>556227.11369221867</v>
      </c>
      <c r="AO37" s="22">
        <f>((Data!$AJ$29*'Net zero Intermediate calcs'!AO34)+Data!$AK$29)</f>
        <v>565370.54105187673</v>
      </c>
      <c r="AP37" s="22">
        <f>((Data!$AJ$29*'Net zero Intermediate calcs'!AP34)+Data!$AK$29)</f>
        <v>576367.23995674541</v>
      </c>
      <c r="AQ37" s="22">
        <f>((Data!$AJ$29*'Net zero Intermediate calcs'!AQ34)+Data!$AK$29)</f>
        <v>587288.37914536987</v>
      </c>
      <c r="AR37" s="22">
        <f>((Data!$AJ$29*'Net zero Intermediate calcs'!AR34)+Data!$AK$29)</f>
        <v>598735.70760555216</v>
      </c>
      <c r="AS37" s="22">
        <f>((Data!$AJ$29*'Net zero Intermediate calcs'!AS34)+Data!$AK$29)</f>
        <v>612068.18097690423</v>
      </c>
      <c r="AT37" s="22">
        <f>((Data!$AJ$29*'Net zero Intermediate calcs'!AT34)+Data!$AK$29)</f>
        <v>626386.58385122102</v>
      </c>
      <c r="AU37" s="22">
        <f>((Data!$AJ$29*'Net zero Intermediate calcs'!AU34)+Data!$AK$29)</f>
        <v>642794.52214889415</v>
      </c>
      <c r="AV37" s="22">
        <f>((Data!$AJ$29*'Net zero Intermediate calcs'!AV34)+Data!$AK$29)</f>
        <v>656355.14423107868</v>
      </c>
      <c r="AW37" s="22">
        <f>((Data!$AJ$29*'Net zero Intermediate calcs'!AW34)+Data!$AK$29)</f>
        <v>669329.28143483051</v>
      </c>
      <c r="AX37" s="22">
        <f>((Data!$AJ$29*'Net zero Intermediate calcs'!AX34)+Data!$AK$29)</f>
        <v>683423.59991334914</v>
      </c>
      <c r="AY37" s="22">
        <f>((Data!$AJ$29*'Net zero Intermediate calcs'!AY34)+Data!$AK$29)</f>
        <v>697219.97564314911</v>
      </c>
      <c r="AZ37" s="22">
        <f>((Data!$AJ$29*'Net zero Intermediate calcs'!AZ34)+Data!$AK$29)</f>
        <v>711696.57338239532</v>
      </c>
      <c r="BA37" s="22">
        <f>((Data!$AJ$29*'Net zero Intermediate calcs'!BA34)+Data!$AK$29)</f>
        <v>726355.35294949869</v>
      </c>
      <c r="BB37" s="22">
        <f>((Data!$AJ$29*'Net zero Intermediate calcs'!BB34)+Data!$AK$29)</f>
        <v>742477.52982438332</v>
      </c>
      <c r="BC37" s="22">
        <f>((Data!$AJ$29*'Net zero Intermediate calcs'!BC34)+Data!$AK$29)</f>
        <v>758168.24692286015</v>
      </c>
      <c r="BD37" s="22">
        <f>((Data!$AJ$29*'Net zero Intermediate calcs'!BD34)+Data!$AK$29)</f>
        <v>774189.25404183031</v>
      </c>
      <c r="BE37" s="22">
        <f>((Data!$AJ$29*'Net zero Intermediate calcs'!BE34)+Data!$AK$29)</f>
        <v>790745.61227898463</v>
      </c>
      <c r="BF37" s="22">
        <f>((Data!$AJ$29*'Net zero Intermediate calcs'!BF34)+Data!$AK$29)</f>
        <v>807921.69790823548</v>
      </c>
      <c r="BG37" s="22">
        <f>((Data!$AJ$29*'Net zero Intermediate calcs'!BG34)+Data!$AK$29)</f>
        <v>826962.58036848926</v>
      </c>
      <c r="BH37" s="22">
        <f>((Data!$AJ$29*'Net zero Intermediate calcs'!BH34)+Data!$AK$29)</f>
        <v>840928.11125601851</v>
      </c>
      <c r="BI37" s="22">
        <f>((Data!$AJ$29*'Net zero Intermediate calcs'!BI34)+Data!$AK$29)</f>
        <v>854650.45706701814</v>
      </c>
      <c r="BJ37" s="22">
        <f>((Data!$AJ$29*'Net zero Intermediate calcs'!BJ34)+Data!$AK$29)</f>
        <v>868692.58665232267</v>
      </c>
      <c r="BK37" s="22">
        <f>((Data!$AJ$29*'Net zero Intermediate calcs'!BK34)+Data!$AK$29)</f>
        <v>882817.88297578995</v>
      </c>
      <c r="BL37">
        <v>949435.84558318392</v>
      </c>
    </row>
    <row r="38" spans="1:64" x14ac:dyDescent="0.2">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2">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1780536.5679391939</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1834642.5186756088</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1905076.8868757137</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1968044.8895064972</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1981185.0437649256</v>
      </c>
      <c r="AG39" s="94">
        <f>IF('Net zero activities &amp; levers'!$C$12="Off",((Data!$AJ$11*'Intermediate calculations'!AG4)+Data!$AK$11)*Drivers!AH4,IF('Net zero activities &amp; levers'!$C$12="PB",((Data!$AJ$11*'Intermediate calculations'!AG4)+Data!$AK$11)*Drivers!AH4,IF('Net zero activities &amp; levers'!$C$12="MS",'Net zero supporting data'!J207,"ERROR")))</f>
        <v>1676676.3623939066</v>
      </c>
      <c r="AH39" s="94">
        <f>IF('Net zero activities &amp; levers'!$C$12="Off",((Data!$AJ$11*'Intermediate calculations'!AH4)+Data!$AK$11)*Drivers!AI4,IF('Net zero activities &amp; levers'!$C$12="PB",((Data!$AJ$11*'Intermediate calculations'!AH4)+Data!$AK$11)*Drivers!AI4,IF('Net zero activities &amp; levers'!$C$12="MS",'Net zero supporting data'!K207,"ERROR")))</f>
        <v>1780773.123120843</v>
      </c>
      <c r="AI39" s="94">
        <f>IF('Net zero activities &amp; levers'!$C$12="Off",((Data!$AJ$11*'Intermediate calculations'!AI4)+Data!$AK$11)*Drivers!AJ4,IF('Net zero activities &amp; levers'!$C$12="PB",((Data!$AJ$11*'Intermediate calculations'!AI4)+Data!$AK$11)*Drivers!AJ4,IF('Net zero activities &amp; levers'!$C$12="MS",'Net zero supporting data'!L207,"ERROR")))</f>
        <v>1859175.0006661813</v>
      </c>
      <c r="AJ39" s="94">
        <f>IF('Net zero activities &amp; levers'!$C$12="Off",((Data!$AJ$11*'Intermediate calculations'!AJ4)+Data!$AK$11)*Drivers!AK4,IF('Net zero activities &amp; levers'!$C$12="PB",((Data!$AJ$11*'Intermediate calculations'!AJ4)+Data!$AK$11)*Drivers!AK4,IF('Net zero activities &amp; levers'!$C$12="MS",'Net zero supporting data'!M207,"ERROR")))</f>
        <v>1931481.3159590387</v>
      </c>
      <c r="AK39" s="94">
        <f>IF('Net zero activities &amp; levers'!$C$12="Off",((Data!$AJ$11*'Intermediate calculations'!AK4)+Data!$AK$11)*Drivers!AL4,IF('Net zero activities &amp; levers'!$C$12="PB",((Data!$AJ$11*'Intermediate calculations'!AK4)+Data!$AK$11)*Drivers!AL4,IF('Net zero activities &amp; levers'!$C$12="MS",'Net zero supporting data'!N207,"ERROR")))</f>
        <v>2016769.3466127219</v>
      </c>
      <c r="AL39" s="94">
        <f>IF('Net zero activities &amp; levers'!$C$12="Off",((Data!$AJ$11*'Intermediate calculations'!AL4)+Data!$AK$11)*Drivers!AM4,IF('Net zero activities &amp; levers'!$C$12="PB",((Data!$AJ$11*'Intermediate calculations'!AL4)+Data!$AK$11)*Drivers!AM4,IF('Net zero activities &amp; levers'!$C$12="MS",'Net zero supporting data'!O207,"ERROR")))</f>
        <v>2096640.4065060604</v>
      </c>
      <c r="AM39" s="94">
        <f>IF('Net zero activities &amp; levers'!$C$12="Off",((Data!$AJ$11*'Intermediate calculations'!AM4)+Data!$AK$11)*Drivers!AN4,IF('Net zero activities &amp; levers'!$C$12="PB",((Data!$AJ$11*'Intermediate calculations'!AM4)+Data!$AK$11)*Drivers!AN4,IF('Net zero activities &amp; levers'!$C$12="MS",'Net zero supporting data'!P207,"ERROR")))</f>
        <v>2169976.2341685388</v>
      </c>
      <c r="AN39" s="94">
        <f>IF('Net zero activities &amp; levers'!$C$12="Off",((Data!$AJ$11*'Intermediate calculations'!AN4)+Data!$AK$11)*Drivers!AO4,IF('Net zero activities &amp; levers'!$C$12="PB",((Data!$AJ$11*'Intermediate calculations'!AN4)+Data!$AK$11)*Drivers!AO4,IF('Net zero activities &amp; levers'!$C$12="MS",'Net zero supporting data'!Q207,"ERROR")))</f>
        <v>2239974.5587997087</v>
      </c>
      <c r="AO39" s="94">
        <f>IF('Net zero activities &amp; levers'!$C$12="Off",((Data!$AJ$11*'Intermediate calculations'!AO4)+Data!$AK$11)*Drivers!AP4,IF('Net zero activities &amp; levers'!$C$12="PB",((Data!$AJ$11*'Intermediate calculations'!AO4)+Data!$AK$11)*Drivers!AP4,IF('Net zero activities &amp; levers'!$C$12="MS",'Net zero supporting data'!R207,"ERROR")))</f>
        <v>2304830.7400434264</v>
      </c>
      <c r="AP39" s="94">
        <f>IF('Net zero activities &amp; levers'!$C$12="Off",((Data!$AJ$11*'Intermediate calculations'!AP4)+Data!$AK$11)*Drivers!AQ4,IF('Net zero activities &amp; levers'!$C$12="PB",((Data!$AJ$11*'Intermediate calculations'!AP4)+Data!$AK$11)*Drivers!AQ4,IF('Net zero activities &amp; levers'!$C$12="MS",'Net zero supporting data'!S207,"ERROR")))</f>
        <v>2391306.8413854679</v>
      </c>
      <c r="AQ39" s="94">
        <f>IF('Net zero activities &amp; levers'!$C$12="Off",((Data!$AJ$11*'Intermediate calculations'!AQ4)+Data!$AK$11)*Drivers!AR4,IF('Net zero activities &amp; levers'!$C$12="PB",((Data!$AJ$11*'Intermediate calculations'!AQ4)+Data!$AK$11)*Drivers!AR4,IF('Net zero activities &amp; levers'!$C$12="MS",'Net zero supporting data'!T207,"ERROR")))</f>
        <v>2476446.8820335143</v>
      </c>
      <c r="AR39" s="94">
        <f>IF('Net zero activities &amp; levers'!$C$12="Off",((Data!$AJ$11*'Intermediate calculations'!AR4)+Data!$AK$11)*Drivers!AS4,IF('Net zero activities &amp; levers'!$C$12="PB",((Data!$AJ$11*'Intermediate calculations'!AR4)+Data!$AK$11)*Drivers!AS4,IF('Net zero activities &amp; levers'!$C$12="MS",'Net zero supporting data'!U207,"ERROR")))</f>
        <v>2573437.8042263528</v>
      </c>
      <c r="AS39" s="94">
        <f>IF('Net zero activities &amp; levers'!$C$12="Off",((Data!$AJ$11*'Intermediate calculations'!AS4)+Data!$AK$11)*Drivers!AT4,IF('Net zero activities &amp; levers'!$C$12="PB",((Data!$AJ$11*'Intermediate calculations'!AS4)+Data!$AK$11)*Drivers!AT4,IF('Net zero activities &amp; levers'!$C$12="MS",'Net zero supporting data'!V207,"ERROR")))</f>
        <v>2692525.8607043684</v>
      </c>
      <c r="AT39" s="94">
        <f>IF('Net zero activities &amp; levers'!$C$12="Off",((Data!$AJ$11*'Intermediate calculations'!AT4)+Data!$AK$11)*Drivers!AU4,IF('Net zero activities &amp; levers'!$C$12="PB",((Data!$AJ$11*'Intermediate calculations'!AT4)+Data!$AK$11)*Drivers!AU4,IF('Net zero activities &amp; levers'!$C$12="MS",'Net zero supporting data'!W207,"ERROR")))</f>
        <v>2823008.1707543051</v>
      </c>
      <c r="AU39" s="94">
        <f>IF('Net zero activities &amp; levers'!$C$12="Off",((Data!$AJ$11*'Intermediate calculations'!AU4)+Data!$AK$11)*Drivers!AV4,IF('Net zero activities &amp; levers'!$C$12="PB",((Data!$AJ$11*'Intermediate calculations'!AU4)+Data!$AK$11)*Drivers!AV4,IF('Net zero activities &amp; levers'!$C$12="MS",'Net zero supporting data'!X207,"ERROR")))</f>
        <v>2978013.9787620269</v>
      </c>
      <c r="AV39" s="94">
        <f>IF('Net zero activities &amp; levers'!$C$12="Off",((Data!$AJ$11*'Intermediate calculations'!AV4)+Data!$AK$11)*Drivers!AW4,IF('Net zero activities &amp; levers'!$C$12="PB",((Data!$AJ$11*'Intermediate calculations'!AV4)+Data!$AK$11)*Drivers!AW4,IF('Net zero activities &amp; levers'!$C$12="MS",'Net zero supporting data'!Y207,"ERROR")))</f>
        <v>3098795.3553122878</v>
      </c>
      <c r="AW39" s="94">
        <f>IF('Net zero activities &amp; levers'!$C$12="Off",((Data!$AJ$11*'Intermediate calculations'!AW4)+Data!$AK$11)*Drivers!AX4,IF('Net zero activities &amp; levers'!$C$12="PB",((Data!$AJ$11*'Intermediate calculations'!AW4)+Data!$AK$11)*Drivers!AX4,IF('Net zero activities &amp; levers'!$C$12="MS",'Net zero supporting data'!Z207,"ERROR")))</f>
        <v>3218069.2352221441</v>
      </c>
      <c r="AX39" s="94">
        <f>IF('Net zero activities &amp; levers'!$C$12="Off",((Data!$AJ$11*'Intermediate calculations'!AX4)+Data!$AK$11)*Drivers!AY4,IF('Net zero activities &amp; levers'!$C$12="PB",((Data!$AJ$11*'Intermediate calculations'!AX4)+Data!$AK$11)*Drivers!AY4,IF('Net zero activities &amp; levers'!$C$12="MS",'Net zero supporting data'!AA207,"ERROR")))</f>
        <v>3350415.4362668381</v>
      </c>
      <c r="AY39" s="94">
        <f>IF('Net zero activities &amp; levers'!$C$12="Off",((Data!$AJ$11*'Intermediate calculations'!AY4)+Data!$AK$11)*Drivers!AZ4,IF('Net zero activities &amp; levers'!$C$12="PB",((Data!$AJ$11*'Intermediate calculations'!AY4)+Data!$AK$11)*Drivers!AZ4,IF('Net zero activities &amp; levers'!$C$12="MS",'Net zero supporting data'!AB207,"ERROR")))</f>
        <v>3478957.4092569095</v>
      </c>
      <c r="AZ39" s="94">
        <f>IF('Net zero activities &amp; levers'!$C$12="Off",((Data!$AJ$11*'Intermediate calculations'!AZ4)+Data!$AK$11)*Drivers!BA4,IF('Net zero activities &amp; levers'!$C$12="PB",((Data!$AJ$11*'Intermediate calculations'!AZ4)+Data!$AK$11)*Drivers!BA4,IF('Net zero activities &amp; levers'!$C$12="MS",'Net zero supporting data'!AC207,"ERROR")))</f>
        <v>3615332.7235782202</v>
      </c>
      <c r="BA39" s="94">
        <f>IF('Net zero activities &amp; levers'!$C$12="Off",((Data!$AJ$11*'Intermediate calculations'!BA4)+Data!$AK$11)*Drivers!BB4,IF('Net zero activities &amp; levers'!$C$12="PB",((Data!$AJ$11*'Intermediate calculations'!BA4)+Data!$AK$11)*Drivers!BB4,IF('Net zero activities &amp; levers'!$C$12="MS",'Net zero supporting data'!AD207,"ERROR")))</f>
        <v>3753613.1457761996</v>
      </c>
      <c r="BB39" s="94">
        <f>IF('Net zero activities &amp; levers'!$C$12="Off",((Data!$AJ$11*'Intermediate calculations'!BB4)+Data!$AK$11)*Drivers!BC4,IF('Net zero activities &amp; levers'!$C$12="PB",((Data!$AJ$11*'Intermediate calculations'!BB4)+Data!$AK$11)*Drivers!BC4,IF('Net zero activities &amp; levers'!$C$12="MS",'Net zero supporting data'!AE207,"ERROR")))</f>
        <v>3914564.247744313</v>
      </c>
      <c r="BC39" s="94">
        <f>IF('Net zero activities &amp; levers'!$C$12="Off",((Data!$AJ$11*'Intermediate calculations'!BC4)+Data!$AK$11)*Drivers!BD4,IF('Net zero activities &amp; levers'!$C$12="PB",((Data!$AJ$11*'Intermediate calculations'!BC4)+Data!$AK$11)*Drivers!BD4,IF('Net zero activities &amp; levers'!$C$12="MS",'Net zero supporting data'!AF207,"ERROR")))</f>
        <v>4070189.4212917821</v>
      </c>
      <c r="BD39" s="94">
        <f>IF('Net zero activities &amp; levers'!$C$12="Off",((Data!$AJ$11*'Intermediate calculations'!BD4)+Data!$AK$11)*Drivers!BE4,IF('Net zero activities &amp; levers'!$C$12="PB",((Data!$AJ$11*'Intermediate calculations'!BD4)+Data!$AK$11)*Drivers!BE4,IF('Net zero activities &amp; levers'!$C$12="MS",'Net zero supporting data'!AG207,"ERROR")))</f>
        <v>4229551.7556210635</v>
      </c>
      <c r="BE39" s="94">
        <f>IF('Net zero activities &amp; levers'!$C$12="Off",((Data!$AJ$11*'Intermediate calculations'!BE4)+Data!$AK$11)*Drivers!BF4,IF('Net zero activities &amp; levers'!$C$12="PB",((Data!$AJ$11*'Intermediate calculations'!BE4)+Data!$AK$11)*Drivers!BF4,IF('Net zero activities &amp; levers'!$C$12="MS",'Net zero supporting data'!AH207,"ERROR")))</f>
        <v>4395090.1329084923</v>
      </c>
      <c r="BF39" s="94">
        <f>IF('Net zero activities &amp; levers'!$C$12="Off",((Data!$AJ$11*'Intermediate calculations'!BF4)+Data!$AK$11)*Drivers!BG4,IF('Net zero activities &amp; levers'!$C$12="PB",((Data!$AJ$11*'Intermediate calculations'!BF4)+Data!$AK$11)*Drivers!BG4,IF('Net zero activities &amp; levers'!$C$12="MS",'Net zero supporting data'!AI207,"ERROR")))</f>
        <v>4567807.3643066399</v>
      </c>
      <c r="BG39" s="94">
        <f>IF('Net zero activities &amp; levers'!$C$12="Off",((Data!$AJ$11*'Intermediate calculations'!BG4)+Data!$AK$11)*Drivers!BH4,IF('Net zero activities &amp; levers'!$C$12="PB",((Data!$AJ$11*'Intermediate calculations'!BG4)+Data!$AK$11)*Drivers!BH4,IF('Net zero activities &amp; levers'!$C$12="MS",'Net zero supporting data'!AJ207,"ERROR")))</f>
        <v>4768192.0191949988</v>
      </c>
      <c r="BH39" s="94">
        <f>IF('Net zero activities &amp; levers'!$C$12="Off",((Data!$AJ$11*'Intermediate calculations'!BH4)+Data!$AK$11)*Drivers!BI4,IF('Net zero activities &amp; levers'!$C$12="PB",((Data!$AJ$11*'Intermediate calculations'!BH4)+Data!$AK$11)*Drivers!BI4,IF('Net zero activities &amp; levers'!$C$12="MS",'Net zero supporting data'!AK207,"ERROR")))</f>
        <v>4908049.9126567375</v>
      </c>
      <c r="BI39" s="94">
        <f>IF('Net zero activities &amp; levers'!$C$12="Off",((Data!$AJ$11*'Intermediate calculations'!BI4)+Data!$AK$11)*Drivers!BJ4,IF('Net zero activities &amp; levers'!$C$12="PB",((Data!$AJ$11*'Intermediate calculations'!BI4)+Data!$AK$11)*Drivers!BJ4,IF('Net zero activities &amp; levers'!$C$12="MS",'Net zero supporting data'!AL207,"ERROR")))</f>
        <v>5044879.7070928179</v>
      </c>
      <c r="BJ39" s="94">
        <f>IF('Net zero activities &amp; levers'!$C$12="Off",((Data!$AJ$11*'Intermediate calculations'!BJ4)+Data!$AK$11)*Drivers!BK4,IF('Net zero activities &amp; levers'!$C$12="PB",((Data!$AJ$11*'Intermediate calculations'!BJ4)+Data!$AK$11)*Drivers!BK4,IF('Net zero activities &amp; levers'!$C$12="MS",'Net zero supporting data'!AM207,"ERROR")))</f>
        <v>5185379.645531103</v>
      </c>
      <c r="BK39" s="94">
        <f>IF('Net zero activities &amp; levers'!$C$12="Off",((Data!$AJ$11*'Intermediate calculations'!BK4)+Data!$AK$11)*Drivers!BL4,IF('Net zero activities &amp; levers'!$C$12="PB",((Data!$AJ$11*'Intermediate calculations'!BK4)+Data!$AK$11)*Drivers!BL4,IF('Net zero activities &amp; levers'!$C$12="MS",'Net zero supporting data'!AN207,"ERROR")))</f>
        <v>5326733.464077834</v>
      </c>
      <c r="BL39">
        <v>6068389.0812562732</v>
      </c>
    </row>
    <row r="40" spans="1:64" x14ac:dyDescent="0.2">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34.547852654544712</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33.944841040307097</v>
      </c>
      <c r="AG40" s="45">
        <f>AG39*ttokg/Drivers!AH4</f>
        <v>28.270332094570065</v>
      </c>
      <c r="AH40" s="45">
        <f>AH39*ttokg/Drivers!AI4</f>
        <v>29.683717444794592</v>
      </c>
      <c r="AI40" s="45">
        <f>AI39*ttokg/Drivers!AJ4</f>
        <v>30.637829558291315</v>
      </c>
      <c r="AJ40" s="45">
        <f>AJ39*ttokg/Drivers!AK4</f>
        <v>31.467066962826149</v>
      </c>
      <c r="AK40" s="45">
        <f>AK39*ttokg/Drivers!AL4</f>
        <v>32.482542313450793</v>
      </c>
      <c r="AL40" s="45">
        <f>AL39*ttokg/Drivers!AM4</f>
        <v>33.384567979215596</v>
      </c>
      <c r="AM40" s="45">
        <f>AM39*ttokg/Drivers!AN4</f>
        <v>34.215386046681822</v>
      </c>
      <c r="AN40" s="45">
        <f>AN39*ttokg/Drivers!AO4</f>
        <v>34.974717115636814</v>
      </c>
      <c r="AO40" s="45">
        <f>AO39*ttokg/Drivers!AP4</f>
        <v>35.636481653975856</v>
      </c>
      <c r="AP40" s="45">
        <f>AP39*ttokg/Drivers!AQ4</f>
        <v>36.613036337199055</v>
      </c>
      <c r="AQ40" s="45">
        <f>AQ39*ttokg/Drivers!AR4</f>
        <v>37.546902523080348</v>
      </c>
      <c r="AR40" s="45">
        <f>AR39*ttokg/Drivers!AS4</f>
        <v>38.687272608674768</v>
      </c>
      <c r="AS40" s="45">
        <f>AS39*ttokg/Drivers!AT4</f>
        <v>40.135036250901642</v>
      </c>
      <c r="AT40" s="45">
        <f>AT39*ttokg/Drivers!AU4</f>
        <v>41.723934085965411</v>
      </c>
      <c r="AU40" s="45">
        <f>AU39*ttokg/Drivers!AV4</f>
        <v>43.642456393263416</v>
      </c>
      <c r="AV40" s="45">
        <f>AV39*ttokg/Drivers!AW4</f>
        <v>45.028210755595772</v>
      </c>
      <c r="AW40" s="45">
        <f>AW39*ttokg/Drivers!AX4</f>
        <v>46.42150559829043</v>
      </c>
      <c r="AX40" s="45">
        <f>AX39*ttokg/Drivers!AY4</f>
        <v>47.979370312402736</v>
      </c>
      <c r="AY40" s="45">
        <f>AY39*ttokg/Drivers!AZ4</f>
        <v>49.458055730592449</v>
      </c>
      <c r="AZ40" s="45">
        <f>AZ39*ttokg/Drivers!BA4</f>
        <v>51.023264825409697</v>
      </c>
      <c r="BA40" s="45">
        <f>BA39*ttokg/Drivers!BB4</f>
        <v>52.589801096981631</v>
      </c>
      <c r="BB40" s="45">
        <f>BB39*ttokg/Drivers!BC4</f>
        <v>54.506263550644121</v>
      </c>
      <c r="BC40" s="45">
        <f>BC39*ttokg/Drivers!BD4</f>
        <v>56.323362900046803</v>
      </c>
      <c r="BD40" s="45">
        <f>BD39*ttokg/Drivers!BE4</f>
        <v>58.167348777328016</v>
      </c>
      <c r="BE40" s="45">
        <f>BE39*ttokg/Drivers!BF4</f>
        <v>60.070836730678437</v>
      </c>
      <c r="BF40" s="45">
        <f>BF39*ttokg/Drivers!BG4</f>
        <v>62.046122429315737</v>
      </c>
      <c r="BG40" s="45">
        <f>BG39*ttokg/Drivers!BH4</f>
        <v>64.439066046873691</v>
      </c>
      <c r="BH40" s="45">
        <f>BH39*ttokg/Drivers!BI4</f>
        <v>65.992276033650569</v>
      </c>
      <c r="BI40" s="45">
        <f>BI39*ttokg/Drivers!BJ4</f>
        <v>67.487538364438578</v>
      </c>
      <c r="BJ40" s="45">
        <f>BJ39*ttokg/Drivers!BK4</f>
        <v>69.014757530701274</v>
      </c>
      <c r="BK40" s="45">
        <f>BK39*ttokg/Drivers!BL4</f>
        <v>70.536029593693272</v>
      </c>
      <c r="BL40">
        <v>80.356856395247135</v>
      </c>
    </row>
    <row r="41" spans="1:64" x14ac:dyDescent="0.2">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0.1578425037255908</v>
      </c>
      <c r="AP41" s="45"/>
      <c r="AQ41" s="45">
        <f>(AQ42-AE42)/AE42</f>
        <v>0.22945201756048306</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2">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1461929.6645871287</v>
      </c>
      <c r="Z42" s="94">
        <f>IF('Net zero activities &amp; levers'!$C$14="Off",((Data!$AJ$33*'Net zero Intermediate calcs'!Z39)+Data!$AK$33),IF('Net zero activities &amp; levers'!$C$14="On",((Data!$AJ$33*'Net zero Intermediate calcs'!Z39)+Data!$AK$33)*(1-'Net zero supporting data'!C216),"ERROR"))</f>
        <v>1500929.0445244412</v>
      </c>
      <c r="AA42" s="94">
        <f>IF('Net zero activities &amp; levers'!$C$14="Off",((Data!$AJ$33*'Net zero Intermediate calcs'!AA39)+Data!$AK$33),IF('Net zero activities &amp; levers'!$C$14="On",((Data!$AJ$33*'Net zero Intermediate calcs'!AA39)+Data!$AK$33)*(1-'Net zero supporting data'!D216),"ERROR"))</f>
        <v>1551697.8906253513</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1597085.0065537822</v>
      </c>
      <c r="AF42" s="94">
        <f>IF('Net zero activities &amp; levers'!$C$14="Off",((Data!$AJ$33*'Net zero Intermediate calcs'!AF39)+Data!$AK$33),IF('Net zero activities &amp; levers'!$C$14="On",((Data!$AJ$33*'Net zero Intermediate calcs'!AF39)+Data!$AK$33)*(1-'Net zero supporting data'!I216),"ERROR"))</f>
        <v>1606556.3837569267</v>
      </c>
      <c r="AG42" s="94">
        <f>IF('Net zero activities &amp; levers'!$C$14="Off",((Data!$AJ$33*'Net zero Intermediate calcs'!AG39)+Data!$AK$33),IF('Net zero activities &amp; levers'!$C$14="On",((Data!$AJ$33*'Net zero Intermediate calcs'!AG39)+Data!$AK$33)*(1-'Net zero supporting data'!J216),"ERROR"))</f>
        <v>1387067.591907534</v>
      </c>
      <c r="AH42" s="94">
        <f>IF('Net zero activities &amp; levers'!$C$14="Off",((Data!$AJ$33*'Net zero Intermediate calcs'!AH39)+Data!$AK$33),IF('Net zero activities &amp; levers'!$C$14="On",((Data!$AJ$33*'Net zero Intermediate calcs'!AH39)+Data!$AK$33)*(1-'Net zero supporting data'!K216),"ERROR"))</f>
        <v>1462100.172734194</v>
      </c>
      <c r="AI42" s="94">
        <f>IF('Net zero activities &amp; levers'!$C$14="Off",((Data!$AJ$33*'Net zero Intermediate calcs'!AI39)+Data!$AK$33),IF('Net zero activities &amp; levers'!$C$14="On",((Data!$AJ$33*'Net zero Intermediate calcs'!AI39)+Data!$AK$33)*(1-'Net zero supporting data'!L216),"ERROR"))</f>
        <v>1518611.9716874177</v>
      </c>
      <c r="AJ42" s="94">
        <f>IF('Net zero activities &amp; levers'!$C$14="Off",((Data!$AJ$33*'Net zero Intermediate calcs'!AJ39)+Data!$AK$33),IF('Net zero activities &amp; levers'!$C$14="On",((Data!$AJ$33*'Net zero Intermediate calcs'!AJ39)+Data!$AK$33)*(1-'Net zero supporting data'!M216),"ERROR"))</f>
        <v>1570730.1107015687</v>
      </c>
      <c r="AK42" s="94">
        <f>IF('Net zero activities &amp; levers'!$C$14="Off",((Data!$AJ$33*'Net zero Intermediate calcs'!AK39)+Data!$AK$33),IF('Net zero activities &amp; levers'!$C$14="On",((Data!$AJ$33*'Net zero Intermediate calcs'!AK39)+Data!$AK$33)*(1-'Net zero supporting data'!N216),"ERROR"))</f>
        <v>1632205.4247159574</v>
      </c>
      <c r="AL42" s="94">
        <f>IF('Net zero activities &amp; levers'!$C$14="Off",((Data!$AJ$33*'Net zero Intermediate calcs'!AL39)+Data!$AK$33),IF('Net zero activities &amp; levers'!$C$14="On",((Data!$AJ$33*'Net zero Intermediate calcs'!AL39)+Data!$AK$33)*(1-'Net zero supporting data'!O216),"ERROR"))</f>
        <v>1689776.2051639522</v>
      </c>
      <c r="AM42" s="94">
        <f>IF('Net zero activities &amp; levers'!$C$14="Off",((Data!$AJ$33*'Net zero Intermediate calcs'!AM39)+Data!$AK$33),IF('Net zero activities &amp; levers'!$C$14="On",((Data!$AJ$33*'Net zero Intermediate calcs'!AM39)+Data!$AK$33)*(1-'Net zero supporting data'!P216),"ERROR"))</f>
        <v>1742636.4130911625</v>
      </c>
      <c r="AN42" s="94">
        <f>IF('Net zero activities &amp; levers'!$C$14="Off",((Data!$AJ$33*'Net zero Intermediate calcs'!AN39)+Data!$AK$33),IF('Net zero activities &amp; levers'!$C$14="On",((Data!$AJ$33*'Net zero Intermediate calcs'!AN39)+Data!$AK$33)*(1-'Net zero supporting data'!Q216),"ERROR"))</f>
        <v>1793090.9605135969</v>
      </c>
      <c r="AO42" s="94">
        <f>IF('Net zero activities &amp; levers'!$C$14="Off",((Data!$AJ$33*'Net zero Intermediate calcs'!AO39)+Data!$AK$33),IF('Net zero activities &amp; levers'!$C$14="On",((Data!$AJ$33*'Net zero Intermediate calcs'!AO39)+Data!$AK$33)*(1-'Net zero supporting data'!R216),"ERROR"))</f>
        <v>1839839.0689782104</v>
      </c>
      <c r="AP42" s="94">
        <f>IF('Net zero activities &amp; levers'!$C$14="Off",((Data!$AJ$33*'Net zero Intermediate calcs'!AP39)+Data!$AK$33),IF('Net zero activities &amp; levers'!$C$14="On",((Data!$AJ$33*'Net zero Intermediate calcs'!AP39)+Data!$AK$33)*(1-'Net zero supporting data'!S216),"ERROR"))</f>
        <v>1902170.7401869011</v>
      </c>
      <c r="AQ42" s="94">
        <f>IF('Net zero activities &amp; levers'!$C$14="Off",((Data!$AJ$33*'Net zero Intermediate calcs'!AQ39)+Data!$AK$33),IF('Net zero activities &amp; levers'!$C$14="On",((Data!$AJ$33*'Net zero Intermediate calcs'!AQ39)+Data!$AK$33)*(1-'Net zero supporting data'!T216),"ERROR"))</f>
        <v>1963539.3835231448</v>
      </c>
      <c r="AR42" s="94">
        <f>IF('Net zero activities &amp; levers'!$C$14="Off",((Data!$AJ$33*'Net zero Intermediate calcs'!AR39)+Data!$AK$33),IF('Net zero activities &amp; levers'!$C$14="On",((Data!$AJ$33*'Net zero Intermediate calcs'!AR39)+Data!$AK$33)*(1-'Net zero supporting data'!U216),"ERROR"))</f>
        <v>2033450.1008025852</v>
      </c>
      <c r="AS42" s="94">
        <f>IF('Net zero activities &amp; levers'!$C$14="Off",((Data!$AJ$33*'Net zero Intermediate calcs'!AS39)+Data!$AK$33),IF('Net zero activities &amp; levers'!$C$14="On",((Data!$AJ$33*'Net zero Intermediate calcs'!AS39)+Data!$AK$33)*(1-'Net zero supporting data'!V216),"ERROR"))</f>
        <v>2119288.3551418902</v>
      </c>
      <c r="AT42" s="94">
        <f>IF('Net zero activities &amp; levers'!$C$14="Off",((Data!$AJ$33*'Net zero Intermediate calcs'!AT39)+Data!$AK$33),IF('Net zero activities &amp; levers'!$C$14="On",((Data!$AJ$33*'Net zero Intermediate calcs'!AT39)+Data!$AK$33)*(1-'Net zero supporting data'!W216),"ERROR"))</f>
        <v>2213339.5475795981</v>
      </c>
      <c r="AU42" s="94">
        <f>IF('Net zero activities &amp; levers'!$C$14="Off",((Data!$AJ$33*'Net zero Intermediate calcs'!AU39)+Data!$AK$33),IF('Net zero activities &amp; levers'!$C$14="On",((Data!$AJ$33*'Net zero Intermediate calcs'!AU39)+Data!$AK$33)*(1-'Net zero supporting data'!X216),"ERROR"))</f>
        <v>2325067.1915208907</v>
      </c>
      <c r="AV42" s="94">
        <f>IF('Net zero activities &amp; levers'!$C$14="Off",((Data!$AJ$33*'Net zero Intermediate calcs'!AV39)+Data!$AK$33),IF('Net zero activities &amp; levers'!$C$14="On",((Data!$AJ$33*'Net zero Intermediate calcs'!AV39)+Data!$AK$33)*(1-'Net zero supporting data'!Y216),"ERROR"))</f>
        <v>2412125.9850421925</v>
      </c>
      <c r="AW42" s="94">
        <f>IF('Net zero activities &amp; levers'!$C$14="Off",((Data!$AJ$33*'Net zero Intermediate calcs'!AW39)+Data!$AK$33),IF('Net zero activities &amp; levers'!$C$14="On",((Data!$AJ$33*'Net zero Intermediate calcs'!AW39)+Data!$AK$33)*(1-'Net zero supporting data'!Z216),"ERROR"))</f>
        <v>2498098.1802608455</v>
      </c>
      <c r="AX42" s="94">
        <f>IF('Net zero activities &amp; levers'!$C$14="Off",((Data!$AJ$33*'Net zero Intermediate calcs'!AX39)+Data!$AK$33),IF('Net zero activities &amp; levers'!$C$14="On",((Data!$AJ$33*'Net zero Intermediate calcs'!AX39)+Data!$AK$33)*(1-'Net zero supporting data'!AA216),"ERROR"))</f>
        <v>2593492.8588045533</v>
      </c>
      <c r="AY42" s="94">
        <f>IF('Net zero activities &amp; levers'!$C$14="Off",((Data!$AJ$33*'Net zero Intermediate calcs'!AY39)+Data!$AK$33),IF('Net zero activities &amp; levers'!$C$14="On",((Data!$AJ$33*'Net zero Intermediate calcs'!AY39)+Data!$AK$33)*(1-'Net zero supporting data'!AB216),"ERROR"))</f>
        <v>2686145.4630800686</v>
      </c>
      <c r="AZ42" s="94">
        <f>IF('Net zero activities &amp; levers'!$C$14="Off",((Data!$AJ$33*'Net zero Intermediate calcs'!AZ39)+Data!$AK$33),IF('Net zero activities &amp; levers'!$C$14="On",((Data!$AJ$33*'Net zero Intermediate calcs'!AZ39)+Data!$AK$33)*(1-'Net zero supporting data'!AC216),"ERROR"))</f>
        <v>2784444.312372956</v>
      </c>
      <c r="BA42" s="94">
        <f>IF('Net zero activities &amp; levers'!$C$14="Off",((Data!$AJ$33*'Net zero Intermediate calcs'!BA39)+Data!$AK$33),IF('Net zero activities &amp; levers'!$C$14="On",((Data!$AJ$33*'Net zero Intermediate calcs'!BA39)+Data!$AK$33)*(1-'Net zero supporting data'!AD216),"ERROR"))</f>
        <v>2884116.356756079</v>
      </c>
      <c r="BB42" s="94">
        <f>IF('Net zero activities &amp; levers'!$C$14="Off",((Data!$AJ$33*'Net zero Intermediate calcs'!BB39)+Data!$AK$33),IF('Net zero activities &amp; levers'!$C$14="On",((Data!$AJ$33*'Net zero Intermediate calcs'!BB39)+Data!$AK$33)*(1-'Net zero supporting data'!AE216),"ERROR"))</f>
        <v>3000129.3477773978</v>
      </c>
      <c r="BC42" s="94">
        <f>IF('Net zero activities &amp; levers'!$C$14="Off",((Data!$AJ$33*'Net zero Intermediate calcs'!BC39)+Data!$AK$33),IF('Net zero activities &amp; levers'!$C$14="On",((Data!$AJ$33*'Net zero Intermediate calcs'!BC39)+Data!$AK$33)*(1-'Net zero supporting data'!AF216),"ERROR"))</f>
        <v>3112303.428232159</v>
      </c>
      <c r="BD42" s="94">
        <f>IF('Net zero activities &amp; levers'!$C$14="Off",((Data!$AJ$33*'Net zero Intermediate calcs'!BD39)+Data!$AK$33),IF('Net zero activities &amp; levers'!$C$14="On",((Data!$AJ$33*'Net zero Intermediate calcs'!BD39)+Data!$AK$33)*(1-'Net zero supporting data'!AG216),"ERROR"))</f>
        <v>3227171.2410995853</v>
      </c>
      <c r="BE42" s="94">
        <f>IF('Net zero activities &amp; levers'!$C$14="Off",((Data!$AJ$33*'Net zero Intermediate calcs'!BE39)+Data!$AK$33),IF('Net zero activities &amp; levers'!$C$14="On",((Data!$AJ$33*'Net zero Intermediate calcs'!BE39)+Data!$AK$33)*(1-'Net zero supporting data'!AH216),"ERROR"))</f>
        <v>3346490.7241170728</v>
      </c>
      <c r="BF42" s="94">
        <f>IF('Net zero activities &amp; levers'!$C$14="Off",((Data!$AJ$33*'Net zero Intermediate calcs'!BF39)+Data!$AK$33),IF('Net zero activities &amp; levers'!$C$14="On",((Data!$AJ$33*'Net zero Intermediate calcs'!BF39)+Data!$AK$33)*(1-'Net zero supporting data'!AI216),"ERROR"))</f>
        <v>3470984.7000538763</v>
      </c>
      <c r="BG42" s="94">
        <f>IF('Net zero activities &amp; levers'!$C$14="Off",((Data!$AJ$33*'Net zero Intermediate calcs'!BG39)+Data!$AK$33),IF('Net zero activities &amp; levers'!$C$14="On",((Data!$AJ$33*'Net zero Intermediate calcs'!BG39)+Data!$AK$33)*(1-'Net zero supporting data'!AJ216),"ERROR"))</f>
        <v>3615421.2580153048</v>
      </c>
      <c r="BH42" s="94">
        <f>IF('Net zero activities &amp; levers'!$C$14="Off",((Data!$AJ$33*'Net zero Intermediate calcs'!BH39)+Data!$AK$33),IF('Net zero activities &amp; levers'!$C$14="On",((Data!$AJ$33*'Net zero Intermediate calcs'!BH39)+Data!$AK$33)*(1-'Net zero supporting data'!AK216),"ERROR"))</f>
        <v>3716230.3381647011</v>
      </c>
      <c r="BI42" s="94">
        <f>IF('Net zero activities &amp; levers'!$C$14="Off",((Data!$AJ$33*'Net zero Intermediate calcs'!BI39)+Data!$AK$33),IF('Net zero activities &amp; levers'!$C$14="On",((Data!$AJ$33*'Net zero Intermediate calcs'!BI39)+Data!$AK$33)*(1-'Net zero supporting data'!AL216),"ERROR"))</f>
        <v>3814856.7751337797</v>
      </c>
      <c r="BJ42" s="94">
        <f>IF('Net zero activities &amp; levers'!$C$14="Off",((Data!$AJ$33*'Net zero Intermediate calcs'!BJ39)+Data!$AK$33),IF('Net zero activities &amp; levers'!$C$14="On",((Data!$AJ$33*'Net zero Intermediate calcs'!BJ39)+Data!$AK$33)*(1-'Net zero supporting data'!AM216),"ERROR"))</f>
        <v>3916128.6390553191</v>
      </c>
      <c r="BK42" s="94">
        <f>IF('Net zero activities &amp; levers'!$C$14="Off",((Data!$AJ$33*'Net zero Intermediate calcs'!BK39)+Data!$AK$33),IF('Net zero activities &amp; levers'!$C$14="On",((Data!$AJ$33*'Net zero Intermediate calcs'!BK39)+Data!$AK$33)*(1-'Net zero supporting data'!AN216),"ERROR"))</f>
        <v>4018015.9767707195</v>
      </c>
      <c r="BL42">
        <v>4552598.7500758618</v>
      </c>
    </row>
    <row r="43" spans="1:64" x14ac:dyDescent="0.2">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2">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2">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2">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2">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170863.40739787833</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186216.93108293595</v>
      </c>
      <c r="AF47" s="22">
        <f>((Data!$AJ$12*((Drivers!AG5*1000000)/Drivers!AG4))+Data!$AK$12)*Drivers!AG4</f>
        <v>190857.7404512353</v>
      </c>
      <c r="AG47" s="22">
        <f>((Data!$AJ$12*((Drivers!AH5*1000000)/Drivers!AH4))+Data!$AK$12)*Drivers!AH4</f>
        <v>223289.84547077812</v>
      </c>
      <c r="AH47" s="22">
        <f>((Data!$AJ$12*((Drivers!AI5*1000000)/Drivers!AI4))+Data!$AK$12)*Drivers!AI4</f>
        <v>218467.38533726786</v>
      </c>
      <c r="AI47" s="22">
        <f>((Data!$AJ$12*((Drivers!AJ5*1000000)/Drivers!AJ4))+Data!$AK$12)*Drivers!AJ4</f>
        <v>215934.40247017657</v>
      </c>
      <c r="AJ47" s="22">
        <f>((Data!$AJ$12*((Drivers!AK5*1000000)/Drivers!AK4))+Data!$AK$12)*Drivers!AK4</f>
        <v>213982.4779342399</v>
      </c>
      <c r="AK47" s="22">
        <f>((Data!$AJ$12*((Drivers!AL5*1000000)/Drivers!AL4))+Data!$AK$12)*Drivers!AL4</f>
        <v>210948.71939277428</v>
      </c>
      <c r="AL47" s="22">
        <f>((Data!$AJ$12*((Drivers!AM5*1000000)/Drivers!AM4))+Data!$AK$12)*Drivers!AM4</f>
        <v>208437.99631095846</v>
      </c>
      <c r="AM47" s="22">
        <f>((Data!$AJ$12*((Drivers!AN5*1000000)/Drivers!AN4))+Data!$AK$12)*Drivers!AN4</f>
        <v>205895.89222373322</v>
      </c>
      <c r="AN47" s="22">
        <f>((Data!$AJ$12*((Drivers!AO5*1000000)/Drivers!AO4))+Data!$AK$12)*Drivers!AO4</f>
        <v>203682.73848021158</v>
      </c>
      <c r="AO47" s="22">
        <f>((Data!$AJ$12*((Drivers!AP5*1000000)/Drivers!AP4))+Data!$AK$12)*Drivers!AP4</f>
        <v>201956.26606238502</v>
      </c>
      <c r="AP47" s="22">
        <f>((Data!$AJ$12*((Drivers!AQ5*1000000)/Drivers!AQ4))+Data!$AK$12)*Drivers!AQ4</f>
        <v>198383.30648405539</v>
      </c>
      <c r="AQ47" s="22">
        <f>((Data!$AJ$12*((Drivers!AR5*1000000)/Drivers!AR4))+Data!$AK$12)*Drivers!AR4</f>
        <v>194965.91101983085</v>
      </c>
      <c r="AR47" s="22">
        <f>((Data!$AJ$12*((Drivers!AS5*1000000)/Drivers!AS4))+Data!$AK$12)*Drivers!AS4</f>
        <v>190015.43912303174</v>
      </c>
      <c r="AS47" s="22">
        <f>((Data!$AJ$12*((Drivers!AT5*1000000)/Drivers!AT4))+Data!$AK$12)*Drivers!AT4</f>
        <v>183168.11242623688</v>
      </c>
      <c r="AT47" s="22">
        <f>((Data!$AJ$12*((Drivers!AU5*1000000)/Drivers!AU4))+Data!$AK$12)*Drivers!AU4</f>
        <v>175357.43503998849</v>
      </c>
      <c r="AU47" s="22">
        <f>((Data!$AJ$12*((Drivers!AV5*1000000)/Drivers!AV4))+Data!$AK$12)*Drivers!AV4</f>
        <v>165438.84657554375</v>
      </c>
      <c r="AV47" s="22">
        <f>((Data!$AJ$12*((Drivers!AW5*1000000)/Drivers!AW4))+Data!$AK$12)*Drivers!AW4</f>
        <v>158535.19299707032</v>
      </c>
      <c r="AW47" s="22">
        <f>((Data!$AJ$12*((Drivers!AX5*1000000)/Drivers!AX4))+Data!$AK$12)*Drivers!AX4</f>
        <v>151273.8410922871</v>
      </c>
      <c r="AX47" s="22">
        <f>((Data!$AJ$12*((Drivers!AY5*1000000)/Drivers!AY4))+Data!$AK$12)*Drivers!AY4</f>
        <v>142895.61475234776</v>
      </c>
      <c r="AY47" s="22">
        <f>((Data!$AJ$12*((Drivers!AZ5*1000000)/Drivers!AZ4))+Data!$AK$12)*Drivers!AZ4</f>
        <v>134872.25029591145</v>
      </c>
      <c r="AZ47" s="22">
        <f>((Data!$AJ$12*((Drivers!BA5*1000000)/Drivers!BA4))+Data!$AK$12)*Drivers!BA4</f>
        <v>126189.1673538793</v>
      </c>
      <c r="BA47" s="22">
        <f>((Data!$AJ$12*((Drivers!BB5*1000000)/Drivers!BB4))+Data!$AK$12)*Drivers!BB4</f>
        <v>117363.45505747978</v>
      </c>
      <c r="BB47" s="22">
        <f>((Data!$AJ$12*((Drivers!BC5*1000000)/Drivers!BC4))+Data!$AK$12)*Drivers!BC4</f>
        <v>106090.93243505669</v>
      </c>
      <c r="BC47" s="22">
        <f>((Data!$AJ$12*((Drivers!BD5*1000000)/Drivers!BD4))+Data!$AK$12)*Drivers!BD4</f>
        <v>95299.962809433637</v>
      </c>
      <c r="BD47" s="22">
        <f>((Data!$AJ$12*((Drivers!BE5*1000000)/Drivers!BE4))+Data!$AK$12)*Drivers!BE4</f>
        <v>84200.387325966542</v>
      </c>
      <c r="BE47" s="22">
        <f>((Data!$AJ$12*((Drivers!BF5*1000000)/Drivers!BF4))+Data!$AK$12)*Drivers!BF4</f>
        <v>72579.652341812165</v>
      </c>
      <c r="BF47" s="22">
        <f>((Data!$AJ$12*((Drivers!BG5*1000000)/Drivers!BG4))+Data!$AK$12)*Drivers!BG4</f>
        <v>60350.424571033116</v>
      </c>
      <c r="BG47" s="22">
        <f>((Data!$AJ$12*((Drivers!BH5*1000000)/Drivers!BH4))+Data!$AK$12)*Drivers!BH4</f>
        <v>45218.988116696943</v>
      </c>
      <c r="BH47" s="22">
        <f>((Data!$AJ$12*((Drivers!BI5*1000000)/Drivers!BI4))+Data!$AK$12)*Drivers!BI4</f>
        <v>35377.196938493413</v>
      </c>
      <c r="BI47" s="22">
        <f>((Data!$AJ$12*((Drivers!BJ5*1000000)/Drivers!BJ4))+Data!$AK$12)*Drivers!BJ4</f>
        <v>25811.456996659239</v>
      </c>
      <c r="BJ47" s="22">
        <f>((Data!$AJ$12*((Drivers!BK5*1000000)/Drivers!BK4))+Data!$AK$12)*Drivers!BK4</f>
        <v>15937.769420280418</v>
      </c>
      <c r="BK47" s="22">
        <f>((Data!$AJ$12*((Drivers!BL5*1000000)/Drivers!BL4))+Data!$AK$12)*Drivers!BL4</f>
        <v>6001.7628760464158</v>
      </c>
    </row>
    <row r="48" spans="1:64" x14ac:dyDescent="0.2">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2">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178443.63035186307</v>
      </c>
      <c r="Z49" s="22">
        <f>((Data!$AJ$44*'Net zero Intermediate calcs'!Z47)+Data!$AK$44)</f>
        <v>178577.37849101148</v>
      </c>
      <c r="AA49" s="22">
        <f>((Data!$AJ$44*'Net zero Intermediate calcs'!AA47)+Data!$AK$44)</f>
        <v>177479.77276790631</v>
      </c>
      <c r="AB49" s="22">
        <f>((Data!$AJ$44*'Net zero Intermediate calcs'!AB47)+Data!$AK$44)</f>
        <v>179296.77081024175</v>
      </c>
      <c r="AC49" s="22">
        <f>((Data!$AJ$44*'Net zero Intermediate calcs'!AC47)+Data!$AK$44)</f>
        <v>183155.94927440817</v>
      </c>
      <c r="AD49" s="22">
        <f>((Data!$AJ$44*'Net zero Intermediate calcs'!AD47)+Data!$AK$44)</f>
        <v>189112.44331875222</v>
      </c>
      <c r="AE49" s="22">
        <f>((Data!$AJ$44*'Net zero Intermediate calcs'!AE47)+Data!$AK$44)</f>
        <v>193787.72010440068</v>
      </c>
      <c r="AF49" s="22">
        <f>((Data!$AJ$44*'Net zero Intermediate calcs'!AF47)+Data!$AK$44)</f>
        <v>198385.25076266567</v>
      </c>
      <c r="AG49" s="22">
        <f>((Data!$AJ$44*'Net zero Intermediate calcs'!AG47)+Data!$AK$44)</f>
        <v>230514.90430067762</v>
      </c>
      <c r="AH49" s="22">
        <f>((Data!$AJ$44*'Net zero Intermediate calcs'!AH47)+Data!$AK$44)</f>
        <v>225737.41689438088</v>
      </c>
      <c r="AI49" s="22">
        <f>((Data!$AJ$44*'Net zero Intermediate calcs'!AI47)+Data!$AK$44)</f>
        <v>223228.05581873306</v>
      </c>
      <c r="AJ49" s="22">
        <f>((Data!$AJ$44*'Net zero Intermediate calcs'!AJ47)+Data!$AK$44)</f>
        <v>221294.33430931516</v>
      </c>
      <c r="AK49" s="22">
        <f>((Data!$AJ$44*'Net zero Intermediate calcs'!AK47)+Data!$AK$44)</f>
        <v>218288.86763373119</v>
      </c>
      <c r="AL49" s="22">
        <f>((Data!$AJ$44*'Net zero Intermediate calcs'!AL47)+Data!$AK$44)</f>
        <v>215801.55875569128</v>
      </c>
      <c r="AM49" s="22">
        <f>((Data!$AJ$44*'Net zero Intermediate calcs'!AM47)+Data!$AK$44)</f>
        <v>213283.16152150329</v>
      </c>
      <c r="AN49" s="22">
        <f>((Data!$AJ$44*'Net zero Intermediate calcs'!AN47)+Data!$AK$44)</f>
        <v>211090.6469448868</v>
      </c>
      <c r="AO49" s="22">
        <f>((Data!$AJ$44*'Net zero Intermediate calcs'!AO47)+Data!$AK$44)</f>
        <v>209380.27505893382</v>
      </c>
      <c r="AP49" s="22">
        <f>((Data!$AJ$44*'Net zero Intermediate calcs'!AP47)+Data!$AK$44)</f>
        <v>205840.63576361586</v>
      </c>
      <c r="AQ49" s="22">
        <f>((Data!$AJ$44*'Net zero Intermediate calcs'!AQ47)+Data!$AK$44)</f>
        <v>202455.10984102325</v>
      </c>
      <c r="AR49" s="22">
        <f>((Data!$AJ$44*'Net zero Intermediate calcs'!AR47)+Data!$AK$44)</f>
        <v>197550.80446836934</v>
      </c>
      <c r="AS49" s="22">
        <f>((Data!$AJ$44*'Net zero Intermediate calcs'!AS47)+Data!$AK$44)</f>
        <v>190767.33375942119</v>
      </c>
      <c r="AT49" s="22">
        <f>((Data!$AJ$44*'Net zero Intermediate calcs'!AT47)+Data!$AK$44)</f>
        <v>183029.49626271459</v>
      </c>
      <c r="AU49" s="22">
        <f>((Data!$AJ$44*'Net zero Intermediate calcs'!AU47)+Data!$AK$44)</f>
        <v>173203.40539514055</v>
      </c>
      <c r="AV49" s="22">
        <f>((Data!$AJ$44*'Net zero Intermediate calcs'!AV47)+Data!$AK$44)</f>
        <v>166364.13309107182</v>
      </c>
      <c r="AW49" s="22">
        <f>((Data!$AJ$44*'Net zero Intermediate calcs'!AW47)+Data!$AK$44)</f>
        <v>159170.49824135474</v>
      </c>
      <c r="AX49" s="22">
        <f>((Data!$AJ$44*'Net zero Intermediate calcs'!AX47)+Data!$AK$44)</f>
        <v>150870.40457173047</v>
      </c>
      <c r="AY49" s="22">
        <f>((Data!$AJ$44*'Net zero Intermediate calcs'!AY47)+Data!$AK$44)</f>
        <v>142921.86345670998</v>
      </c>
      <c r="AZ49" s="22">
        <f>((Data!$AJ$44*'Net zero Intermediate calcs'!AZ47)+Data!$AK$44)</f>
        <v>134319.75618056481</v>
      </c>
      <c r="BA49" s="22">
        <f>((Data!$AJ$44*'Net zero Intermediate calcs'!BA47)+Data!$AK$44)</f>
        <v>125576.34966598249</v>
      </c>
      <c r="BB49" s="22">
        <f>((Data!$AJ$44*'Net zero Intermediate calcs'!BB47)+Data!$AK$44)</f>
        <v>114408.95099914871</v>
      </c>
      <c r="BC49" s="22">
        <f>((Data!$AJ$44*'Net zero Intermediate calcs'!BC47)+Data!$AK$44)</f>
        <v>103718.61451924524</v>
      </c>
      <c r="BD49" s="22">
        <f>((Data!$AJ$44*'Net zero Intermediate calcs'!BD47)+Data!$AK$44)</f>
        <v>92722.550141434578</v>
      </c>
      <c r="BE49" s="22">
        <f>((Data!$AJ$44*'Net zero Intermediate calcs'!BE47)+Data!$AK$44)</f>
        <v>81210.186430446643</v>
      </c>
      <c r="BF49" s="22">
        <f>((Data!$AJ$44*'Net zero Intermediate calcs'!BF47)+Data!$AK$44)</f>
        <v>69095.004542752329</v>
      </c>
      <c r="BG49" s="22">
        <f>((Data!$AJ$44*'Net zero Intermediate calcs'!BG47)+Data!$AK$44)</f>
        <v>54104.679045307377</v>
      </c>
      <c r="BH49" s="22">
        <f>((Data!$AJ$44*'Net zero Intermediate calcs'!BH47)+Data!$AK$44)</f>
        <v>44354.669276943627</v>
      </c>
      <c r="BI49" s="22">
        <f>((Data!$AJ$44*'Net zero Intermediate calcs'!BI47)+Data!$AK$44)</f>
        <v>34878.136379043339</v>
      </c>
      <c r="BJ49" s="22">
        <f>((Data!$AJ$44*'Net zero Intermediate calcs'!BJ47)+Data!$AK$44)</f>
        <v>25096.527668154424</v>
      </c>
      <c r="BK49" s="22">
        <f>((Data!$AJ$44*'Net zero Intermediate calcs'!BK47)+Data!$AK$44)</f>
        <v>15253.181156255458</v>
      </c>
    </row>
    <row r="50" spans="1:63" x14ac:dyDescent="0.2">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2606476.9636212462</v>
      </c>
      <c r="AA50" s="22">
        <f>AA15*Constants!$H$29*Constants!$H$35</f>
        <v>2648200.7794607049</v>
      </c>
      <c r="AB50" s="22">
        <f>AB15*Constants!$H$29*Constants!$H$35</f>
        <v>2681889.7581455051</v>
      </c>
      <c r="AC50" s="22">
        <f>AC15*Constants!$H$29*Constants!$H$35</f>
        <v>2710430.7313643708</v>
      </c>
      <c r="AD50" s="22">
        <f>AD15*Constants!$H$29*Constants!$H$35</f>
        <v>2733703.115566791</v>
      </c>
      <c r="AE50" s="22">
        <f>AE15*Constants!$H$29*Constants!$H$35</f>
        <v>2761702.3021248789</v>
      </c>
      <c r="AF50" s="22">
        <f>AF15*Constants!$H$29*Constants!$H$35</f>
        <v>2790651.9542421005</v>
      </c>
      <c r="AG50" s="22">
        <f>AG15*Constants!$H$29*Constants!$H$35</f>
        <v>2730961.729195775</v>
      </c>
      <c r="AH50" s="22">
        <f>AH15*Constants!$H$29*Constants!$H$35</f>
        <v>2778719.6888688114</v>
      </c>
      <c r="AI50" s="22">
        <f>AI15*Constants!$H$29*Constants!$H$35</f>
        <v>2819488.3282009871</v>
      </c>
      <c r="AJ50" s="22">
        <f>AJ15*Constants!$H$29*Constants!$H$35</f>
        <v>2858764.5091941622</v>
      </c>
      <c r="AK50" s="22">
        <f>AK15*Constants!$H$29*Constants!$H$35</f>
        <v>2901898.7745634206</v>
      </c>
      <c r="AL50" s="22">
        <f>AL15*Constants!$H$29*Constants!$H$35</f>
        <v>2943735.826187904</v>
      </c>
      <c r="AM50" s="22">
        <f>AM15*Constants!$H$29*Constants!$H$35</f>
        <v>2981115.6713253534</v>
      </c>
      <c r="AN50" s="22">
        <f>AN15*Constants!$H$29*Constants!$H$35</f>
        <v>3017725.5221742885</v>
      </c>
      <c r="AO50" s="22">
        <f>AO15*Constants!$H$29*Constants!$H$35</f>
        <v>3053061.1035565753</v>
      </c>
      <c r="AP50" s="22">
        <f>AP15*Constants!$H$29*Constants!$H$35</f>
        <v>3094626.4377473304</v>
      </c>
      <c r="AQ50" s="22">
        <f>AQ15*Constants!$H$29*Constants!$H$35</f>
        <v>3135987.7952966685</v>
      </c>
      <c r="AR50" s="22">
        <f>AR15*Constants!$H$29*Constants!$H$35</f>
        <v>3178489.423135478</v>
      </c>
      <c r="AS50" s="22">
        <f>AS15*Constants!$H$29*Constants!$H$35</f>
        <v>3227316.3507985058</v>
      </c>
      <c r="AT50" s="22">
        <f>AT15*Constants!$H$29*Constants!$H$35</f>
        <v>3279469.2885040608</v>
      </c>
      <c r="AU50" s="22">
        <f>AU15*Constants!$H$29*Constants!$H$35</f>
        <v>3338629.9635375584</v>
      </c>
      <c r="AV50" s="22">
        <f>AV15*Constants!$H$29*Constants!$H$35</f>
        <v>3388330.338525882</v>
      </c>
      <c r="AW50" s="22">
        <f>AW15*Constants!$H$29*Constants!$H$35</f>
        <v>3435472.3447751352</v>
      </c>
      <c r="AX50" s="22">
        <f>AX15*Constants!$H$29*Constants!$H$35</f>
        <v>3486379.3339988114</v>
      </c>
      <c r="AY50" s="22">
        <f>AY15*Constants!$H$29*Constants!$H$35</f>
        <v>3536320.9330042629</v>
      </c>
      <c r="AZ50" s="22">
        <f>AZ15*Constants!$H$29*Constants!$H$35</f>
        <v>3588560.3138178503</v>
      </c>
      <c r="BA50" s="22">
        <f>BA15*Constants!$H$29*Constants!$H$35</f>
        <v>3641436.3233461082</v>
      </c>
      <c r="BB50" s="22">
        <f>BB15*Constants!$H$29*Constants!$H$35</f>
        <v>3698615.505435124</v>
      </c>
      <c r="BC50" s="22">
        <f>BC15*Constants!$H$29*Constants!$H$35</f>
        <v>3754376.5330658481</v>
      </c>
      <c r="BD50" s="22">
        <f>BD15*Constants!$H$29*Constants!$H$35</f>
        <v>3811260.5834614439</v>
      </c>
      <c r="BE50" s="22">
        <f>BE15*Constants!$H$29*Constants!$H$35</f>
        <v>3869951.8316636411</v>
      </c>
      <c r="BF50" s="22">
        <f>BF15*Constants!$H$29*Constants!$H$35</f>
        <v>3930731.8729178174</v>
      </c>
      <c r="BG50" s="22">
        <f>BG15*Constants!$H$29*Constants!$H$35</f>
        <v>3997129.8292554845</v>
      </c>
      <c r="BH50" s="22">
        <f>BH15*Constants!$H$29*Constants!$H$35</f>
        <v>4046612.1290646233</v>
      </c>
      <c r="BI50" s="22">
        <f>BI15*Constants!$H$29*Constants!$H$35</f>
        <v>4095297.9956594906</v>
      </c>
      <c r="BJ50" s="22">
        <f>BJ15*Constants!$H$29*Constants!$H$35</f>
        <v>4145065.4568446078</v>
      </c>
      <c r="BK50" s="22">
        <f>BK15*Constants!$H$29*Constants!$H$35</f>
        <v>4195125.2810116298</v>
      </c>
    </row>
    <row r="51" spans="1:63" x14ac:dyDescent="0.2">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3635202.1454829946</v>
      </c>
      <c r="AA51" s="22">
        <f>AA8*Constants!$H$30*Constants!$H$36</f>
        <v>3749346.479849041</v>
      </c>
      <c r="AB51" s="22">
        <f>AB8*Constants!$H$30*Constants!$H$36</f>
        <v>3826616.741798467</v>
      </c>
      <c r="AC51" s="22">
        <f>AC8*Constants!$H$30*Constants!$H$36</f>
        <v>3879298.5642415807</v>
      </c>
      <c r="AD51" s="22">
        <f>AD8*Constants!$H$30*Constants!$H$36</f>
        <v>3906775.7827615775</v>
      </c>
      <c r="AE51" s="22">
        <f>AE8*Constants!$H$30*Constants!$H$36</f>
        <v>3953557.7830203278</v>
      </c>
      <c r="AF51" s="22">
        <f>AF8*Constants!$H$30*Constants!$H$36</f>
        <v>4003230.5614012098</v>
      </c>
      <c r="AG51" s="22">
        <f>AG8*Constants!$H$30*Constants!$H$36</f>
        <v>3671572.7691088938</v>
      </c>
      <c r="AH51" s="22">
        <f>AH8*Constants!$H$30*Constants!$H$36</f>
        <v>3821624.0036386424</v>
      </c>
      <c r="AI51" s="22">
        <f>AI8*Constants!$H$30*Constants!$H$36</f>
        <v>3941071.541106157</v>
      </c>
      <c r="AJ51" s="22">
        <f>AJ8*Constants!$H$30*Constants!$H$36</f>
        <v>4053481.0466008061</v>
      </c>
      <c r="AK51" s="22">
        <f>AK8*Constants!$H$30*Constants!$H$36</f>
        <v>4181790.6211702186</v>
      </c>
      <c r="AL51" s="22">
        <f>AL8*Constants!$H$30*Constants!$H$36</f>
        <v>4303884.6868430758</v>
      </c>
      <c r="AM51" s="22">
        <f>AM8*Constants!$H$30*Constants!$H$36</f>
        <v>4414602.3865015404</v>
      </c>
      <c r="AN51" s="22">
        <f>AN8*Constants!$H$30*Constants!$H$36</f>
        <v>4521529.7982418342</v>
      </c>
      <c r="AO51" s="22">
        <f>AO8*Constants!$H$30*Constants!$H$36</f>
        <v>4622499.5645288816</v>
      </c>
      <c r="AP51" s="22">
        <f>AP8*Constants!$H$30*Constants!$H$36</f>
        <v>4749687.3275188189</v>
      </c>
      <c r="AQ51" s="22">
        <f>AQ8*Constants!$H$30*Constants!$H$36</f>
        <v>4875497.5672062198</v>
      </c>
      <c r="AR51" s="22">
        <f>AR8*Constants!$H$30*Constants!$H$36</f>
        <v>5012629.4855398918</v>
      </c>
      <c r="AS51" s="22">
        <f>AS8*Constants!$H$30*Constants!$H$36</f>
        <v>5176501.8470872929</v>
      </c>
      <c r="AT51" s="22">
        <f>AT8*Constants!$H$30*Constants!$H$36</f>
        <v>5354249.1113482406</v>
      </c>
      <c r="AU51" s="22">
        <f>AU8*Constants!$H$30*Constants!$H$36</f>
        <v>5561656.8037932348</v>
      </c>
      <c r="AV51" s="22">
        <f>AV8*Constants!$H$30*Constants!$H$36</f>
        <v>5728099.506013616</v>
      </c>
      <c r="AW51" s="22">
        <f>AW8*Constants!$H$30*Constants!$H$36</f>
        <v>5889866.3445473081</v>
      </c>
      <c r="AX51" s="22">
        <f>AX8*Constants!$H$30*Constants!$H$36</f>
        <v>6067483.2965781828</v>
      </c>
      <c r="AY51" s="22">
        <f>AY8*Constants!$H$30*Constants!$H$36</f>
        <v>6240662.3082999373</v>
      </c>
      <c r="AZ51" s="22">
        <f>AZ8*Constants!$H$30*Constants!$H$36</f>
        <v>6423395.0931107951</v>
      </c>
      <c r="BA51" s="22">
        <f>BA8*Constants!$H$30*Constants!$H$36</f>
        <v>6608555.710122481</v>
      </c>
      <c r="BB51" s="22">
        <f>BB8*Constants!$H$30*Constants!$H$36</f>
        <v>6818219.5249930844</v>
      </c>
      <c r="BC51" s="22">
        <f>BC8*Constants!$H$30*Constants!$H$36</f>
        <v>7021580.9102889188</v>
      </c>
      <c r="BD51" s="22">
        <f>BD8*Constants!$H$30*Constants!$H$36</f>
        <v>7229536.1630757498</v>
      </c>
      <c r="BE51" s="22">
        <f>BE8*Constants!$H$30*Constants!$H$36</f>
        <v>7445017.9424780058</v>
      </c>
      <c r="BF51" s="22">
        <f>BF8*Constants!$H$30*Constants!$H$36</f>
        <v>7669232.4625694528</v>
      </c>
      <c r="BG51" s="22">
        <f>BG8*Constants!$H$30*Constants!$H$36</f>
        <v>7923841.9411916891</v>
      </c>
      <c r="BH51" s="22">
        <f>BH8*Constants!$H$30*Constants!$H$36</f>
        <v>8105755.9324819027</v>
      </c>
      <c r="BI51" s="22">
        <f>BI8*Constants!$H$30*Constants!$H$36</f>
        <v>8284099.8602745617</v>
      </c>
      <c r="BJ51" s="22">
        <f>BJ8*Constants!$H$30*Constants!$H$36</f>
        <v>8466926.7316957135</v>
      </c>
      <c r="BK51" s="22">
        <f>BK8*Constants!$H$30*Constants!$H$36</f>
        <v>8650851.186572263</v>
      </c>
    </row>
    <row r="52" spans="1:63" x14ac:dyDescent="0.2">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683902.80388155975</v>
      </c>
      <c r="AH52" s="22">
        <f>AH18*Constants!$H$31*Constants!$H$37</f>
        <v>689383.20576162194</v>
      </c>
      <c r="AI52" s="22">
        <f>AI18*Constants!$H$31*Constants!$H$37</f>
        <v>694890.91748059914</v>
      </c>
      <c r="AJ52" s="22">
        <f>AJ18*Constants!$H$31*Constants!$H$37</f>
        <v>700452.73192647507</v>
      </c>
      <c r="AK52" s="22">
        <f>AK18*Constants!$H$31*Constants!$H$37</f>
        <v>706094.75535552891</v>
      </c>
      <c r="AL52" s="22">
        <f>AL18*Constants!$H$31*Constants!$H$37</f>
        <v>711793.22561057156</v>
      </c>
      <c r="AM52" s="22">
        <f>AM18*Constants!$H$31*Constants!$H$37</f>
        <v>716728.08579481894</v>
      </c>
      <c r="AN52" s="22">
        <f>AN18*Constants!$H$31*Constants!$H$37</f>
        <v>721706.1339116412</v>
      </c>
      <c r="AO52" s="22">
        <f>AO18*Constants!$H$31*Constants!$H$37</f>
        <v>726725.43715434021</v>
      </c>
      <c r="AP52" s="22">
        <f>AP18*Constants!$H$31*Constants!$H$37</f>
        <v>731822.08668518369</v>
      </c>
      <c r="AQ52" s="22">
        <f>AQ18*Constants!$H$31*Constants!$H$37</f>
        <v>736966.00871515542</v>
      </c>
      <c r="AR52" s="22">
        <f>AR18*Constants!$H$31*Constants!$H$37</f>
        <v>741498.23688436521</v>
      </c>
      <c r="AS52" s="22">
        <f>AS18*Constants!$H$31*Constants!$H$37</f>
        <v>746097.45169191458</v>
      </c>
      <c r="AT52" s="22">
        <f>AT18*Constants!$H$31*Constants!$H$37</f>
        <v>750749.72939958621</v>
      </c>
      <c r="AU52" s="22">
        <f>AU18*Constants!$H$31*Constants!$H$37</f>
        <v>755472.86711880052</v>
      </c>
      <c r="AV52" s="22">
        <f>AV18*Constants!$H$31*Constants!$H$37</f>
        <v>760189.00357937487</v>
      </c>
      <c r="AW52" s="22">
        <f>AW18*Constants!$H$31*Constants!$H$37</f>
        <v>764288.95271237928</v>
      </c>
      <c r="AX52" s="22">
        <f>AX18*Constants!$H$31*Constants!$H$37</f>
        <v>768435.15396241541</v>
      </c>
      <c r="AY52" s="22">
        <f>AY18*Constants!$H$31*Constants!$H$37</f>
        <v>772605.35762058594</v>
      </c>
      <c r="AZ52" s="22">
        <f>AZ18*Constants!$H$31*Constants!$H$37</f>
        <v>776815.26489010139</v>
      </c>
      <c r="BA52" s="22">
        <f>BA18*Constants!$H$31*Constants!$H$37</f>
        <v>781057.20025118336</v>
      </c>
      <c r="BB52" s="22">
        <f>BB18*Constants!$H$31*Constants!$H$37</f>
        <v>784739.14566382719</v>
      </c>
      <c r="BC52" s="22">
        <f>BC18*Constants!$H$31*Constants!$H$37</f>
        <v>788435.54067629064</v>
      </c>
      <c r="BD52" s="22">
        <f>BD18*Constants!$H$31*Constants!$H$37</f>
        <v>792158.58110035141</v>
      </c>
      <c r="BE52" s="22">
        <f>BE18*Constants!$H$31*Constants!$H$37</f>
        <v>795911.64743888634</v>
      </c>
      <c r="BF52" s="22">
        <f>BF18*Constants!$H$31*Constants!$H$37</f>
        <v>799696.20976761472</v>
      </c>
      <c r="BG52" s="22">
        <f>BG18*Constants!$H$31*Constants!$H$37</f>
        <v>802902.69391535455</v>
      </c>
      <c r="BH52" s="22">
        <f>BH18*Constants!$H$31*Constants!$H$37</f>
        <v>806043.63032673532</v>
      </c>
      <c r="BI52" s="22">
        <f>BI18*Constants!$H$31*Constants!$H$37</f>
        <v>809195.6204297801</v>
      </c>
      <c r="BJ52" s="22">
        <f>BJ18*Constants!$H$31*Constants!$H$37</f>
        <v>812367.65589883376</v>
      </c>
      <c r="BK52" s="22">
        <f>BK18*Constants!$H$31*Constants!$H$37</f>
        <v>815556.0659690355</v>
      </c>
    </row>
    <row r="53" spans="1:63" x14ac:dyDescent="0.2">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105125.62512519839</v>
      </c>
      <c r="Z53" s="22">
        <f>Z32*Constants!$H$32*Constants!$H$38</f>
        <v>107578.6499207025</v>
      </c>
      <c r="AA53" s="22">
        <f>AA32*Constants!$H$32*Constants!$H$38</f>
        <v>110633.12591910694</v>
      </c>
      <c r="AB53" s="22">
        <f>AB32*Constants!$H$32*Constants!$H$38</f>
        <v>112582.26561288942</v>
      </c>
      <c r="AC53" s="22">
        <f>AC32*Constants!$H$32*Constants!$H$38</f>
        <v>113789.77241225375</v>
      </c>
      <c r="AD53" s="22">
        <f>AD32*Constants!$H$32*Constants!$H$38</f>
        <v>114236.8782104491</v>
      </c>
      <c r="AE53" s="22">
        <f>AE32*Constants!$H$32*Constants!$H$38</f>
        <v>115251.32905709544</v>
      </c>
      <c r="AF53" s="22">
        <f>AF32*Constants!$H$32*Constants!$H$38</f>
        <v>116345.45035452006</v>
      </c>
      <c r="AG53" s="22">
        <f>AG32*Constants!$H$32*Constants!$H$38</f>
        <v>106129.68110436</v>
      </c>
      <c r="AH53" s="22">
        <f>AH32*Constants!$H$32*Constants!$H$38</f>
        <v>110299.49489262816</v>
      </c>
      <c r="AI53" s="22">
        <f>AI32*Constants!$H$32*Constants!$H$38</f>
        <v>113558.92139042588</v>
      </c>
      <c r="AJ53" s="22">
        <f>AJ32*Constants!$H$32*Constants!$H$38</f>
        <v>116606.48013008619</v>
      </c>
      <c r="AK53" s="22">
        <f>AK32*Constants!$H$32*Constants!$H$38</f>
        <v>120122.08735447745</v>
      </c>
      <c r="AL53" s="22">
        <f>AL32*Constants!$H$32*Constants!$H$38</f>
        <v>123450.13382018235</v>
      </c>
      <c r="AM53" s="22">
        <f>AM32*Constants!$H$32*Constants!$H$38</f>
        <v>126480.25931337038</v>
      </c>
      <c r="AN53" s="22">
        <f>AN32*Constants!$H$32*Constants!$H$38</f>
        <v>129395.54931020481</v>
      </c>
      <c r="AO53" s="22">
        <f>AO32*Constants!$H$32*Constants!$H$38</f>
        <v>132131.7324665515</v>
      </c>
      <c r="AP53" s="22">
        <f>AP32*Constants!$H$32*Constants!$H$38</f>
        <v>135642.56586078857</v>
      </c>
      <c r="AQ53" s="22">
        <f>AQ32*Constants!$H$32*Constants!$H$38</f>
        <v>139110.01129466412</v>
      </c>
      <c r="AR53" s="22">
        <f>AR32*Constants!$H$32*Constants!$H$38</f>
        <v>142945.73718015861</v>
      </c>
      <c r="AS53" s="22">
        <f>AS32*Constants!$H$32*Constants!$H$38</f>
        <v>147572.1726709528</v>
      </c>
      <c r="AT53" s="22">
        <f>AT32*Constants!$H$32*Constants!$H$38</f>
        <v>152607.92817974271</v>
      </c>
      <c r="AU53" s="22">
        <f>AU32*Constants!$H$32*Constants!$H$38</f>
        <v>158520.91679373063</v>
      </c>
      <c r="AV53" s="22">
        <f>AV32*Constants!$H$32*Constants!$H$38</f>
        <v>163217.57405332162</v>
      </c>
      <c r="AW53" s="22">
        <f>AW32*Constants!$H$32*Constants!$H$38</f>
        <v>167807.60526594007</v>
      </c>
      <c r="AX53" s="22">
        <f>AX32*Constants!$H$32*Constants!$H$38</f>
        <v>172865.9785474714</v>
      </c>
      <c r="AY53" s="22">
        <f>AY32*Constants!$H$32*Constants!$H$38</f>
        <v>177791.2846373482</v>
      </c>
      <c r="AZ53" s="22">
        <f>AZ32*Constants!$H$32*Constants!$H$38</f>
        <v>182998.26845844835</v>
      </c>
      <c r="BA53" s="22">
        <f>BA32*Constants!$H$32*Constants!$H$38</f>
        <v>188275.68476571498</v>
      </c>
      <c r="BB53" s="22">
        <f>BB32*Constants!$H$32*Constants!$H$38</f>
        <v>194310.17854607647</v>
      </c>
      <c r="BC53" s="22">
        <f>BC32*Constants!$H$32*Constants!$H$38</f>
        <v>200156.72808893258</v>
      </c>
      <c r="BD53" s="22">
        <f>BD32*Constants!$H$32*Constants!$H$38</f>
        <v>206138.32508456323</v>
      </c>
      <c r="BE53" s="22">
        <f>BE32*Constants!$H$32*Constants!$H$38</f>
        <v>212341.89526382805</v>
      </c>
      <c r="BF53" s="22">
        <f>BF32*Constants!$H$32*Constants!$H$38</f>
        <v>218803.18734750088</v>
      </c>
      <c r="BG53" s="22">
        <f>BG32*Constants!$H$32*Constants!$H$38</f>
        <v>226197.49434542662</v>
      </c>
      <c r="BH53" s="22">
        <f>BH32*Constants!$H$32*Constants!$H$38</f>
        <v>231436.10944372282</v>
      </c>
      <c r="BI53" s="22">
        <f>BI32*Constants!$H$32*Constants!$H$38</f>
        <v>236568.11182707886</v>
      </c>
      <c r="BJ53" s="22">
        <f>BJ32*Constants!$H$32*Constants!$H$38</f>
        <v>241832.2125707019</v>
      </c>
      <c r="BK53" s="22">
        <f>BK32*Constants!$H$32*Constants!$H$38</f>
        <v>247128.05549954029</v>
      </c>
    </row>
    <row r="54" spans="1:63" x14ac:dyDescent="0.2">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580166.48120341287</v>
      </c>
      <c r="AD54" s="22">
        <f>AD37*Constants!$H$33*Constants!$H$39</f>
        <v>586050.55870402523</v>
      </c>
      <c r="AE54" s="22">
        <f>AE37*Constants!$H$33*Constants!$H$39</f>
        <v>593601.80527957703</v>
      </c>
      <c r="AF54" s="22">
        <f>AF37*Constants!$H$33*Constants!$H$39</f>
        <v>601454.19754067948</v>
      </c>
      <c r="AG54" s="22">
        <f>AG37*Constants!$H$33*Constants!$H$39</f>
        <v>577378.41648419923</v>
      </c>
      <c r="AH54" s="22">
        <f>AH37*Constants!$H$33*Constants!$H$39</f>
        <v>592675.11502407875</v>
      </c>
      <c r="AI54" s="22">
        <f>AI37*Constants!$H$33*Constants!$H$39</f>
        <v>605435.83362705284</v>
      </c>
      <c r="AJ54" s="22">
        <f>AJ37*Constants!$H$33*Constants!$H$39</f>
        <v>617637.72874563513</v>
      </c>
      <c r="AK54" s="22">
        <f>AK37*Constants!$H$33*Constants!$H$39</f>
        <v>631205.31798825297</v>
      </c>
      <c r="AL54" s="22">
        <f>AL37*Constants!$H$33*Constants!$H$39</f>
        <v>644283.811735795</v>
      </c>
      <c r="AM54" s="22">
        <f>AM37*Constants!$H$33*Constants!$H$39</f>
        <v>656025.0672222242</v>
      </c>
      <c r="AN54" s="22">
        <f>AN37*Constants!$H$33*Constants!$H$39</f>
        <v>667472.53643066238</v>
      </c>
      <c r="AO54" s="22">
        <f>AO37*Constants!$H$33*Constants!$H$39</f>
        <v>678444.64926225203</v>
      </c>
      <c r="AP54" s="22">
        <f>AP37*Constants!$H$33*Constants!$H$39</f>
        <v>691640.68794809445</v>
      </c>
      <c r="AQ54" s="22">
        <f>AQ37*Constants!$H$33*Constants!$H$39</f>
        <v>704746.05497444386</v>
      </c>
      <c r="AR54" s="22">
        <f>AR37*Constants!$H$33*Constants!$H$39</f>
        <v>718482.84912666259</v>
      </c>
      <c r="AS54" s="22">
        <f>AS37*Constants!$H$33*Constants!$H$39</f>
        <v>734481.81717228505</v>
      </c>
      <c r="AT54" s="22">
        <f>AT37*Constants!$H$33*Constants!$H$39</f>
        <v>751663.90062146517</v>
      </c>
      <c r="AU54" s="22">
        <f>AU37*Constants!$H$33*Constants!$H$39</f>
        <v>771353.42657867295</v>
      </c>
      <c r="AV54" s="22">
        <f>AV37*Constants!$H$33*Constants!$H$39</f>
        <v>787626.17307729437</v>
      </c>
      <c r="AW54" s="22">
        <f>AW37*Constants!$H$33*Constants!$H$39</f>
        <v>803195.13772179664</v>
      </c>
      <c r="AX54" s="22">
        <f>AX37*Constants!$H$33*Constants!$H$39</f>
        <v>820108.31989601895</v>
      </c>
      <c r="AY54" s="22">
        <f>AY37*Constants!$H$33*Constants!$H$39</f>
        <v>836663.97077177896</v>
      </c>
      <c r="AZ54" s="22">
        <f>AZ37*Constants!$H$33*Constants!$H$39</f>
        <v>854035.88805887441</v>
      </c>
      <c r="BA54" s="22">
        <f>BA37*Constants!$H$33*Constants!$H$39</f>
        <v>871626.42353939835</v>
      </c>
      <c r="BB54" s="22">
        <f>BB37*Constants!$H$33*Constants!$H$39</f>
        <v>890973.03578925994</v>
      </c>
      <c r="BC54" s="22">
        <f>BC37*Constants!$H$33*Constants!$H$39</f>
        <v>909801.89630743221</v>
      </c>
      <c r="BD54" s="22">
        <f>BD37*Constants!$H$33*Constants!$H$39</f>
        <v>929027.1048501964</v>
      </c>
      <c r="BE54" s="22">
        <f>BE37*Constants!$H$33*Constants!$H$39</f>
        <v>948894.73473478155</v>
      </c>
      <c r="BF54" s="22">
        <f>BF37*Constants!$H$33*Constants!$H$39</f>
        <v>969506.03748988255</v>
      </c>
      <c r="BG54" s="22">
        <f>BG37*Constants!$H$33*Constants!$H$39</f>
        <v>992355.09644218709</v>
      </c>
      <c r="BH54" s="22">
        <f>BH37*Constants!$H$33*Constants!$H$39</f>
        <v>1009113.7335072221</v>
      </c>
      <c r="BI54" s="22">
        <f>BI37*Constants!$H$33*Constants!$H$39</f>
        <v>1025580.5484804218</v>
      </c>
      <c r="BJ54" s="22">
        <f>BJ37*Constants!$H$33*Constants!$H$39</f>
        <v>1042431.1039827871</v>
      </c>
      <c r="BK54" s="22">
        <f>BK37*Constants!$H$33*Constants!$H$39</f>
        <v>1059381.4595709478</v>
      </c>
    </row>
    <row r="55" spans="1:63" x14ac:dyDescent="0.2">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1560966.2063054191</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v>
      </c>
      <c r="AG55" s="22">
        <f>AG42*Constants!$H$34*Constants!$H$40</f>
        <v>1442550.2955838356</v>
      </c>
      <c r="AH55" s="22">
        <f>AH42*Constants!$H$34*Constants!$H$40</f>
        <v>1520584.1796435618</v>
      </c>
      <c r="AI55" s="22">
        <f>AI42*Constants!$H$34*Constants!$H$40</f>
        <v>1579356.4505549145</v>
      </c>
      <c r="AJ55" s="22">
        <f>AJ42*Constants!$H$34*Constants!$H$40</f>
        <v>1633559.3151296317</v>
      </c>
      <c r="AK55" s="22">
        <f>AK42*Constants!$H$34*Constants!$H$40</f>
        <v>1697493.6417045959</v>
      </c>
      <c r="AL55" s="22">
        <f>AL42*Constants!$H$34*Constants!$H$40</f>
        <v>1757367.2533705104</v>
      </c>
      <c r="AM55" s="22">
        <f>AM42*Constants!$H$34*Constants!$H$40</f>
        <v>1812341.8696148093</v>
      </c>
      <c r="AN55" s="22">
        <f>AN42*Constants!$H$34*Constants!$H$40</f>
        <v>1864814.598934141</v>
      </c>
      <c r="AO55" s="22">
        <f>AO42*Constants!$H$34*Constants!$H$40</f>
        <v>1913432.6317373391</v>
      </c>
      <c r="AP55" s="22">
        <f>AP42*Constants!$H$34*Constants!$H$40</f>
        <v>1978257.5697943773</v>
      </c>
      <c r="AQ55" s="22">
        <f>AQ42*Constants!$H$34*Constants!$H$40</f>
        <v>2042080.9588640707</v>
      </c>
      <c r="AR55" s="22">
        <f>AR42*Constants!$H$34*Constants!$H$40</f>
        <v>2114788.1048346888</v>
      </c>
      <c r="AS55" s="22">
        <f>AS42*Constants!$H$34*Constants!$H$40</f>
        <v>2204059.8893475658</v>
      </c>
      <c r="AT55" s="22">
        <f>AT42*Constants!$H$34*Constants!$H$40</f>
        <v>2301873.129482782</v>
      </c>
      <c r="AU55" s="22">
        <f>AU42*Constants!$H$34*Constants!$H$40</f>
        <v>2418069.8791817268</v>
      </c>
      <c r="AV55" s="22">
        <f>AV42*Constants!$H$34*Constants!$H$40</f>
        <v>2508611.0244438802</v>
      </c>
      <c r="AW55" s="22">
        <f>AW42*Constants!$H$34*Constants!$H$40</f>
        <v>2598022.1074712798</v>
      </c>
      <c r="AX55" s="22">
        <f>AX42*Constants!$H$34*Constants!$H$40</f>
        <v>2697232.5731567354</v>
      </c>
      <c r="AY55" s="22">
        <f>AY42*Constants!$H$34*Constants!$H$40</f>
        <v>2793591.2816032716</v>
      </c>
      <c r="AZ55" s="22">
        <f>AZ42*Constants!$H$34*Constants!$H$40</f>
        <v>2895822.0848678746</v>
      </c>
      <c r="BA55" s="22">
        <f>BA42*Constants!$H$34*Constants!$H$40</f>
        <v>2999481.0110263224</v>
      </c>
      <c r="BB55" s="22">
        <f>BB42*Constants!$H$34*Constants!$H$40</f>
        <v>3120134.5216884939</v>
      </c>
      <c r="BC55" s="22">
        <f>BC42*Constants!$H$34*Constants!$H$40</f>
        <v>3236795.5653614458</v>
      </c>
      <c r="BD55" s="22">
        <f>BD42*Constants!$H$34*Constants!$H$40</f>
        <v>3356258.0907435687</v>
      </c>
      <c r="BE55" s="22">
        <f>BE42*Constants!$H$34*Constants!$H$40</f>
        <v>3480350.3530817563</v>
      </c>
      <c r="BF55" s="22">
        <f>BF42*Constants!$H$34*Constants!$H$40</f>
        <v>3609824.0880560321</v>
      </c>
      <c r="BG55" s="22">
        <f>BG42*Constants!$H$34*Constants!$H$40</f>
        <v>3760038.1083359173</v>
      </c>
      <c r="BH55" s="22">
        <f>BH42*Constants!$H$34*Constants!$H$40</f>
        <v>3864879.5516912895</v>
      </c>
      <c r="BI55" s="22">
        <f>BI42*Constants!$H$34*Constants!$H$40</f>
        <v>3967451.0461391308</v>
      </c>
      <c r="BJ55" s="22">
        <f>BJ42*Constants!$H$34*Constants!$H$40</f>
        <v>4072773.784617532</v>
      </c>
      <c r="BK55" s="22">
        <f>BK42*Constants!$H$34*Constants!$H$40</f>
        <v>4178736.6158415489</v>
      </c>
    </row>
    <row r="56" spans="1:63" x14ac:dyDescent="0.2">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9095513.1405561939</v>
      </c>
      <c r="AA56" s="22">
        <f t="shared" si="8"/>
        <v>9326430.4780428484</v>
      </c>
      <c r="AB56" s="22">
        <f t="shared" si="8"/>
        <v>9484875.5644762423</v>
      </c>
      <c r="AC56" s="22">
        <f t="shared" si="8"/>
        <v>9595076.4625779279</v>
      </c>
      <c r="AD56" s="22">
        <f t="shared" si="8"/>
        <v>9655827.5030585341</v>
      </c>
      <c r="AE56" s="22">
        <f t="shared" si="8"/>
        <v>9754723.2383019067</v>
      </c>
      <c r="AF56" s="22">
        <f t="shared" si="8"/>
        <v>9859425.6401465051</v>
      </c>
      <c r="AG56" s="22">
        <f t="shared" si="8"/>
        <v>9212495.6953586228</v>
      </c>
      <c r="AH56" s="22">
        <f t="shared" si="8"/>
        <v>9513285.6878293436</v>
      </c>
      <c r="AI56" s="22">
        <f t="shared" si="8"/>
        <v>9753801.9923601355</v>
      </c>
      <c r="AJ56" s="22">
        <f t="shared" si="8"/>
        <v>9980501.8117267974</v>
      </c>
      <c r="AK56" s="22">
        <f t="shared" si="8"/>
        <v>10238605.198136495</v>
      </c>
      <c r="AL56" s="22">
        <f t="shared" si="8"/>
        <v>10484514.937568041</v>
      </c>
      <c r="AM56" s="22">
        <f t="shared" si="8"/>
        <v>10707293.339772116</v>
      </c>
      <c r="AN56" s="22">
        <f t="shared" si="8"/>
        <v>10922644.139002774</v>
      </c>
      <c r="AO56" s="22">
        <f t="shared" si="8"/>
        <v>11126295.11870594</v>
      </c>
      <c r="AP56" s="22">
        <f t="shared" si="8"/>
        <v>11381676.675554594</v>
      </c>
      <c r="AQ56" s="22">
        <f t="shared" si="8"/>
        <v>11634388.396351222</v>
      </c>
      <c r="AR56" s="22">
        <f t="shared" si="8"/>
        <v>11908833.836701246</v>
      </c>
      <c r="AS56" s="22">
        <f t="shared" si="8"/>
        <v>12236029.528768517</v>
      </c>
      <c r="AT56" s="22">
        <f t="shared" si="8"/>
        <v>12590613.087535877</v>
      </c>
      <c r="AU56" s="22">
        <f t="shared" si="8"/>
        <v>13003703.857003722</v>
      </c>
      <c r="AV56" s="22">
        <f t="shared" si="8"/>
        <v>13336073.619693367</v>
      </c>
      <c r="AW56" s="22">
        <f t="shared" si="8"/>
        <v>13658652.49249384</v>
      </c>
      <c r="AX56" s="22">
        <f t="shared" si="8"/>
        <v>14012504.656139633</v>
      </c>
      <c r="AY56" s="22">
        <f t="shared" si="8"/>
        <v>14357635.135937184</v>
      </c>
      <c r="AZ56" s="22">
        <f t="shared" si="8"/>
        <v>14721626.913203944</v>
      </c>
      <c r="BA56" s="22">
        <f t="shared" si="8"/>
        <v>15090432.353051208</v>
      </c>
      <c r="BB56" s="22">
        <f t="shared" si="8"/>
        <v>15506991.912115868</v>
      </c>
      <c r="BC56" s="22">
        <f t="shared" si="8"/>
        <v>15911147.173788868</v>
      </c>
      <c r="BD56" s="22">
        <f t="shared" si="8"/>
        <v>16324378.848315876</v>
      </c>
      <c r="BE56" s="22">
        <f t="shared" si="8"/>
        <v>16752468.404660899</v>
      </c>
      <c r="BF56" s="22">
        <f t="shared" si="8"/>
        <v>17197793.858148303</v>
      </c>
      <c r="BG56" s="22">
        <f t="shared" si="8"/>
        <v>17702465.16348606</v>
      </c>
      <c r="BH56" s="22">
        <f t="shared" si="8"/>
        <v>18063841.086515494</v>
      </c>
      <c r="BI56" s="22">
        <f t="shared" si="8"/>
        <v>18418193.182810463</v>
      </c>
      <c r="BJ56" s="22">
        <f t="shared" si="8"/>
        <v>18781396.945610177</v>
      </c>
      <c r="BK56" s="22">
        <f t="shared" si="8"/>
        <v>19146778.664464965</v>
      </c>
    </row>
    <row r="57" spans="1:63" x14ac:dyDescent="0.2">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2">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7537936.8788555842</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7303180.8999845404</v>
      </c>
      <c r="AH58" s="22">
        <f>((Data!$AJ$37*'Net zero Intermediate calcs'!AH56)+Data!$AK$37)</f>
        <v>7487749.114509033</v>
      </c>
      <c r="AI58" s="22">
        <f>((Data!$AJ$37*'Net zero Intermediate calcs'!AI56)+Data!$AK$37)</f>
        <v>7635332.6977480892</v>
      </c>
      <c r="AJ58" s="22">
        <f>((Data!$AJ$37*'Net zero Intermediate calcs'!AJ56)+Data!$AK$37)</f>
        <v>7774438.3260631766</v>
      </c>
      <c r="AK58" s="22">
        <f>((Data!$AJ$37*'Net zero Intermediate calcs'!AK56)+Data!$AK$37)</f>
        <v>7932813.545933567</v>
      </c>
      <c r="AL58" s="22">
        <f>((Data!$AJ$37*'Net zero Intermediate calcs'!AL56)+Data!$AK$37)</f>
        <v>8083706.6031401884</v>
      </c>
      <c r="AM58" s="22">
        <f>((Data!$AJ$37*'Net zero Intermediate calcs'!AM56)+Data!$AK$37)</f>
        <v>8220406.0045786463</v>
      </c>
      <c r="AN58" s="22">
        <f>((Data!$AJ$37*'Net zero Intermediate calcs'!AN56)+Data!$AK$37)</f>
        <v>8352547.7430186123</v>
      </c>
      <c r="AO58" s="22">
        <f>((Data!$AJ$37*'Net zero Intermediate calcs'!AO56)+Data!$AK$37)</f>
        <v>8477510.3370239157</v>
      </c>
      <c r="AP58" s="22">
        <f>((Data!$AJ$37*'Net zero Intermediate calcs'!AP56)+Data!$AK$37)</f>
        <v>8634215.410829287</v>
      </c>
      <c r="AQ58" s="22">
        <f>((Data!$AJ$37*'Net zero Intermediate calcs'!AQ56)+Data!$AK$37)</f>
        <v>8789282.2423874754</v>
      </c>
      <c r="AR58" s="22">
        <f>((Data!$AJ$37*'Net zero Intermediate calcs'!AR56)+Data!$AK$37)</f>
        <v>8957685.1353617925</v>
      </c>
      <c r="AS58" s="22">
        <f>((Data!$AJ$37*'Net zero Intermediate calcs'!AS56)+Data!$AK$37)</f>
        <v>9158456.1922341064</v>
      </c>
      <c r="AT58" s="22">
        <f>((Data!$AJ$37*'Net zero Intermediate calcs'!AT56)+Data!$AK$37)</f>
        <v>9376032.7605363354</v>
      </c>
      <c r="AU58" s="22">
        <f>((Data!$AJ$37*'Net zero Intermediate calcs'!AU56)+Data!$AK$37)</f>
        <v>9629510.029281076</v>
      </c>
      <c r="AV58" s="22">
        <f>((Data!$AJ$37*'Net zero Intermediate calcs'!AV56)+Data!$AK$37)</f>
        <v>9833455.9556653406</v>
      </c>
      <c r="AW58" s="22">
        <f>((Data!$AJ$37*'Net zero Intermediate calcs'!AW56)+Data!$AK$37)</f>
        <v>10031394.07889563</v>
      </c>
      <c r="AX58" s="22">
        <f>((Data!$AJ$37*'Net zero Intermediate calcs'!AX56)+Data!$AK$37)</f>
        <v>10248521.854701169</v>
      </c>
      <c r="AY58" s="22">
        <f>((Data!$AJ$37*'Net zero Intermediate calcs'!AY56)+Data!$AK$37)</f>
        <v>10460297.904532403</v>
      </c>
      <c r="AZ58" s="22">
        <f>((Data!$AJ$37*'Net zero Intermediate calcs'!AZ56)+Data!$AK$37)</f>
        <v>10683647.464402692</v>
      </c>
      <c r="BA58" s="22">
        <f>((Data!$AJ$37*'Net zero Intermediate calcs'!BA56)+Data!$AK$37)</f>
        <v>10909950.743246505</v>
      </c>
      <c r="BB58" s="22">
        <f>((Data!$AJ$37*'Net zero Intermediate calcs'!BB56)+Data!$AK$37)</f>
        <v>11165556.501364134</v>
      </c>
      <c r="BC58" s="22">
        <f>((Data!$AJ$37*'Net zero Intermediate calcs'!BC56)+Data!$AK$37)</f>
        <v>11413550.839290541</v>
      </c>
      <c r="BD58" s="22">
        <f>((Data!$AJ$37*'Net zero Intermediate calcs'!BD56)+Data!$AK$37)</f>
        <v>11667114.569007516</v>
      </c>
      <c r="BE58" s="22">
        <f>((Data!$AJ$37*'Net zero Intermediate calcs'!BE56)+Data!$AK$37)</f>
        <v>11929795.266666945</v>
      </c>
      <c r="BF58" s="22">
        <f>((Data!$AJ$37*'Net zero Intermediate calcs'!BF56)+Data!$AK$37)</f>
        <v>12203052.109946001</v>
      </c>
      <c r="BG58" s="22">
        <f>((Data!$AJ$37*'Net zero Intermediate calcs'!BG56)+Data!$AK$37)</f>
        <v>12512724.25356628</v>
      </c>
      <c r="BH58" s="22">
        <f>((Data!$AJ$37*'Net zero Intermediate calcs'!BH56)+Data!$AK$37)</f>
        <v>12734468.695054557</v>
      </c>
      <c r="BI58" s="22">
        <f>((Data!$AJ$37*'Net zero Intermediate calcs'!BI56)+Data!$AK$37)</f>
        <v>12951903.235309551</v>
      </c>
      <c r="BJ58" s="22">
        <f>((Data!$AJ$37*'Net zero Intermediate calcs'!BJ56)+Data!$AK$37)</f>
        <v>13174769.260398621</v>
      </c>
      <c r="BK58" s="22">
        <f>((Data!$AJ$37*'Net zero Intermediate calcs'!BK56)+Data!$AK$37)</f>
        <v>13398971.704485863</v>
      </c>
    </row>
    <row r="59" spans="1:63" x14ac:dyDescent="0.2">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16326912.19336874</v>
      </c>
      <c r="AA59" s="22">
        <f t="shared" si="9"/>
        <v>16699523.077015547</v>
      </c>
      <c r="AB59" s="22">
        <f t="shared" si="9"/>
        <v>16955191.899062544</v>
      </c>
      <c r="AC59" s="22">
        <f t="shared" si="9"/>
        <v>17133013.34143351</v>
      </c>
      <c r="AD59" s="22">
        <f t="shared" si="9"/>
        <v>17231041.922233555</v>
      </c>
      <c r="AE59" s="22">
        <f t="shared" si="9"/>
        <v>17390621.223203383</v>
      </c>
      <c r="AF59" s="22">
        <f t="shared" si="9"/>
        <v>17559570.228487637</v>
      </c>
      <c r="AG59" s="22">
        <f t="shared" si="9"/>
        <v>16515676.595343163</v>
      </c>
      <c r="AH59" s="22">
        <f t="shared" si="9"/>
        <v>17001034.802338377</v>
      </c>
      <c r="AI59" s="22">
        <f t="shared" si="9"/>
        <v>17389134.690108225</v>
      </c>
      <c r="AJ59" s="22">
        <f t="shared" si="9"/>
        <v>17754940.137789972</v>
      </c>
      <c r="AK59" s="22">
        <f t="shared" si="9"/>
        <v>18171418.744070061</v>
      </c>
      <c r="AL59" s="22">
        <f t="shared" si="9"/>
        <v>18568221.540708229</v>
      </c>
      <c r="AM59" s="22">
        <f t="shared" si="9"/>
        <v>18927699.344350763</v>
      </c>
      <c r="AN59" s="22">
        <f t="shared" si="9"/>
        <v>19275191.882021386</v>
      </c>
      <c r="AO59" s="22">
        <f t="shared" si="9"/>
        <v>19603805.455729857</v>
      </c>
      <c r="AP59" s="22">
        <f t="shared" si="9"/>
        <v>20015892.086383879</v>
      </c>
      <c r="AQ59" s="22">
        <f t="shared" si="9"/>
        <v>20423670.638738699</v>
      </c>
      <c r="AR59" s="22">
        <f t="shared" si="9"/>
        <v>20866518.972063038</v>
      </c>
      <c r="AS59" s="22">
        <f t="shared" si="9"/>
        <v>21394485.721002623</v>
      </c>
      <c r="AT59" s="22">
        <f t="shared" si="9"/>
        <v>21966645.848072212</v>
      </c>
      <c r="AU59" s="22">
        <f t="shared" si="9"/>
        <v>22633213.886284798</v>
      </c>
      <c r="AV59" s="22">
        <f t="shared" si="9"/>
        <v>23169529.575358707</v>
      </c>
      <c r="AW59" s="22">
        <f t="shared" si="9"/>
        <v>23690046.57138947</v>
      </c>
      <c r="AX59" s="22">
        <f t="shared" si="9"/>
        <v>24261026.510840803</v>
      </c>
      <c r="AY59" s="22">
        <f t="shared" si="9"/>
        <v>24817933.040469587</v>
      </c>
      <c r="AZ59" s="22">
        <f t="shared" si="9"/>
        <v>25405274.377606638</v>
      </c>
      <c r="BA59" s="22">
        <f t="shared" si="9"/>
        <v>26000383.096297711</v>
      </c>
      <c r="BB59" s="22">
        <f t="shared" si="9"/>
        <v>26672548.413480002</v>
      </c>
      <c r="BC59" s="22">
        <f t="shared" si="9"/>
        <v>27324698.013079409</v>
      </c>
      <c r="BD59" s="22">
        <f t="shared" si="9"/>
        <v>27991493.417323392</v>
      </c>
      <c r="BE59" s="22">
        <f t="shared" si="9"/>
        <v>28682263.671327844</v>
      </c>
      <c r="BF59" s="22">
        <f t="shared" si="9"/>
        <v>29400845.968094304</v>
      </c>
      <c r="BG59" s="22">
        <f t="shared" si="9"/>
        <v>30215189.41705234</v>
      </c>
      <c r="BH59" s="22">
        <f t="shared" si="9"/>
        <v>30798309.781570051</v>
      </c>
      <c r="BI59" s="22">
        <f t="shared" si="9"/>
        <v>31370096.418120012</v>
      </c>
      <c r="BJ59" s="22">
        <f t="shared" si="9"/>
        <v>31956166.206008799</v>
      </c>
      <c r="BK59" s="22">
        <f t="shared" si="9"/>
        <v>32545750.368950829</v>
      </c>
    </row>
    <row r="60" spans="1:63" x14ac:dyDescent="0.2">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19917222.898001812</v>
      </c>
      <c r="AG60" s="22">
        <f>((Data!$AJ$41*'Net zero Intermediate calcs'!AG59)+Data!$AK$41)</f>
        <v>18930098.937487088</v>
      </c>
      <c r="AH60" s="22">
        <f>((Data!$AJ$41*'Net zero Intermediate calcs'!AH59)+Data!$AK$41)</f>
        <v>19389062.092683509</v>
      </c>
      <c r="AI60" s="22">
        <f>((Data!$AJ$41*'Net zero Intermediate calcs'!AI59)+Data!$AK$41)</f>
        <v>19756056.091043945</v>
      </c>
      <c r="AJ60" s="22">
        <f>((Data!$AJ$41*'Net zero Intermediate calcs'!AJ59)+Data!$AK$41)</f>
        <v>20101968.079419382</v>
      </c>
      <c r="AK60" s="22">
        <f>((Data!$AJ$41*'Net zero Intermediate calcs'!AK59)+Data!$AK$41)</f>
        <v>20495797.48717472</v>
      </c>
      <c r="AL60" s="22">
        <f>((Data!$AJ$41*'Net zero Intermediate calcs'!AL59)+Data!$AK$41)</f>
        <v>20871021.107402109</v>
      </c>
      <c r="AM60" s="22">
        <f>((Data!$AJ$41*'Net zero Intermediate calcs'!AM59)+Data!$AK$41)</f>
        <v>21210949.565610878</v>
      </c>
      <c r="AN60" s="22">
        <f>((Data!$AJ$41*'Net zero Intermediate calcs'!AN59)+Data!$AK$41)</f>
        <v>21539544.54803402</v>
      </c>
      <c r="AO60" s="22">
        <f>((Data!$AJ$41*'Net zero Intermediate calcs'!AO59)+Data!$AK$41)</f>
        <v>21850287.254051752</v>
      </c>
      <c r="AP60" s="22">
        <f>((Data!$AJ$41*'Net zero Intermediate calcs'!AP59)+Data!$AK$41)</f>
        <v>22239963.533330366</v>
      </c>
      <c r="AQ60" s="22">
        <f>((Data!$AJ$41*'Net zero Intermediate calcs'!AQ59)+Data!$AK$41)</f>
        <v>22625566.01890251</v>
      </c>
      <c r="AR60" s="22">
        <f>((Data!$AJ$41*'Net zero Intermediate calcs'!AR59)+Data!$AK$41)</f>
        <v>23044331.098809808</v>
      </c>
      <c r="AS60" s="22">
        <f>((Data!$AJ$41*'Net zero Intermediate calcs'!AS59)+Data!$AK$41)</f>
        <v>23543585.631729446</v>
      </c>
      <c r="AT60" s="22">
        <f>((Data!$AJ$41*'Net zero Intermediate calcs'!AT59)+Data!$AK$41)</f>
        <v>24084630.191011064</v>
      </c>
      <c r="AU60" s="22">
        <f>((Data!$AJ$41*'Net zero Intermediate calcs'!AU59)+Data!$AK$41)</f>
        <v>24714948.511710964</v>
      </c>
      <c r="AV60" s="22">
        <f>((Data!$AJ$41*'Net zero Intermediate calcs'!AV59)+Data!$AK$41)</f>
        <v>25222097.94751133</v>
      </c>
      <c r="AW60" s="22">
        <f>((Data!$AJ$41*'Net zero Intermediate calcs'!AW59)+Data!$AK$41)</f>
        <v>25714307.864616945</v>
      </c>
      <c r="AX60" s="22">
        <f>((Data!$AJ$41*'Net zero Intermediate calcs'!AX59)+Data!$AK$41)</f>
        <v>26254236.417977177</v>
      </c>
      <c r="AY60" s="22">
        <f>((Data!$AJ$41*'Net zero Intermediate calcs'!AY59)+Data!$AK$41)</f>
        <v>26780856.910438396</v>
      </c>
      <c r="AZ60" s="22">
        <f>((Data!$AJ$41*'Net zero Intermediate calcs'!AZ59)+Data!$AK$41)</f>
        <v>27336257.085782222</v>
      </c>
      <c r="BA60" s="22">
        <f>((Data!$AJ$41*'Net zero Intermediate calcs'!BA59)+Data!$AK$41)</f>
        <v>27899002.23210679</v>
      </c>
      <c r="BB60" s="22">
        <f>((Data!$AJ$41*'Net zero Intermediate calcs'!BB59)+Data!$AK$41)</f>
        <v>28534613.437071182</v>
      </c>
      <c r="BC60" s="22">
        <f>((Data!$AJ$41*'Net zero Intermediate calcs'!BC59)+Data!$AK$41)</f>
        <v>29151297.431651659</v>
      </c>
      <c r="BD60" s="22">
        <f>((Data!$AJ$41*'Net zero Intermediate calcs'!BD59)+Data!$AK$41)</f>
        <v>29781830.753622063</v>
      </c>
      <c r="BE60" s="22">
        <f>((Data!$AJ$41*'Net zero Intermediate calcs'!BE59)+Data!$AK$41)</f>
        <v>30435035.110166177</v>
      </c>
      <c r="BF60" s="22">
        <f>((Data!$AJ$41*'Net zero Intermediate calcs'!BF59)+Data!$AK$41)</f>
        <v>31114539.017669849</v>
      </c>
      <c r="BG60" s="22">
        <f>((Data!$AJ$41*'Net zero Intermediate calcs'!BG59)+Data!$AK$41)</f>
        <v>31884596.334844254</v>
      </c>
      <c r="BH60" s="22">
        <f>((Data!$AJ$41*'Net zero Intermediate calcs'!BH59)+Data!$AK$41)</f>
        <v>32436005.085126236</v>
      </c>
      <c r="BI60" s="22">
        <f>((Data!$AJ$41*'Net zero Intermediate calcs'!BI59)+Data!$AK$41)</f>
        <v>32976696.465281896</v>
      </c>
      <c r="BJ60" s="22">
        <f>((Data!$AJ$41*'Net zero Intermediate calcs'!BJ59)+Data!$AK$41)</f>
        <v>33530894.241559297</v>
      </c>
      <c r="BK60" s="22">
        <f>((Data!$AJ$41*'Net zero Intermediate calcs'!BK59)+Data!$AK$41)</f>
        <v>34088415.271960624</v>
      </c>
    </row>
    <row r="61" spans="1:63" x14ac:dyDescent="0.2">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3533134.1936058402</v>
      </c>
      <c r="AH61" s="22">
        <f>((Data!$AJ$42*LN('Net zero Intermediate calcs'!AH60))+Data!$AK$42)</f>
        <v>3551592.8057409506</v>
      </c>
      <c r="AI61" s="22">
        <f>((Data!$AJ$42*LN('Net zero Intermediate calcs'!AI60))+Data!$AK$42)</f>
        <v>3566040.8985523209</v>
      </c>
      <c r="AJ61" s="22">
        <f>((Data!$AJ$42*LN('Net zero Intermediate calcs'!AJ60))+Data!$AK$42)</f>
        <v>3579415.3874971271</v>
      </c>
      <c r="AK61" s="22">
        <f>((Data!$AJ$42*LN('Net zero Intermediate calcs'!AK60))+Data!$AK$42)</f>
        <v>3594365.2114793099</v>
      </c>
      <c r="AL61" s="22">
        <f>((Data!$AJ$42*LN('Net zero Intermediate calcs'!AL60))+Data!$AK$42)</f>
        <v>3608343.8992133755</v>
      </c>
      <c r="AM61" s="22">
        <f>((Data!$AJ$42*LN('Net zero Intermediate calcs'!AM60))+Data!$AK$42)</f>
        <v>3620792.4084558729</v>
      </c>
      <c r="AN61" s="22">
        <f>((Data!$AJ$42*LN('Net zero Intermediate calcs'!AN60))+Data!$AK$42)</f>
        <v>3632637.6736033764</v>
      </c>
      <c r="AO61" s="22">
        <f>((Data!$AJ$42*LN('Net zero Intermediate calcs'!AO60))+Data!$AK$42)</f>
        <v>3643674.3128369395</v>
      </c>
      <c r="AP61" s="22">
        <f>((Data!$AJ$42*LN('Net zero Intermediate calcs'!AP60))+Data!$AK$42)</f>
        <v>3657294.6906282641</v>
      </c>
      <c r="AQ61" s="22">
        <f>((Data!$AJ$42*LN('Net zero Intermediate calcs'!AQ60))+Data!$AK$42)</f>
        <v>3670539.7577979695</v>
      </c>
      <c r="AR61" s="22">
        <f>((Data!$AJ$42*LN('Net zero Intermediate calcs'!AR60))+Data!$AK$42)</f>
        <v>3684670.6324141324</v>
      </c>
      <c r="AS61" s="22">
        <f>((Data!$AJ$42*LN('Net zero Intermediate calcs'!AS60))+Data!$AK$42)</f>
        <v>3701185.7548105363</v>
      </c>
      <c r="AT61" s="22">
        <f>((Data!$AJ$42*LN('Net zero Intermediate calcs'!AT60))+Data!$AK$42)</f>
        <v>3718692.4370110072</v>
      </c>
      <c r="AU61" s="22">
        <f>((Data!$AJ$42*LN('Net zero Intermediate calcs'!AU60))+Data!$AK$42)</f>
        <v>3738598.4579304736</v>
      </c>
      <c r="AV61" s="22">
        <f>((Data!$AJ$42*LN('Net zero Intermediate calcs'!AV60))+Data!$AK$42)</f>
        <v>3754249.5436777677</v>
      </c>
      <c r="AW61" s="22">
        <f>((Data!$AJ$42*LN('Net zero Intermediate calcs'!AW60))+Data!$AK$42)</f>
        <v>3769141.5093315784</v>
      </c>
      <c r="AX61" s="22">
        <f>((Data!$AJ$42*LN('Net zero Intermediate calcs'!AX60))+Data!$AK$42)</f>
        <v>3785152.8543187492</v>
      </c>
      <c r="AY61" s="22">
        <f>((Data!$AJ$42*LN('Net zero Intermediate calcs'!AY60))+Data!$AK$42)</f>
        <v>3800455.451151805</v>
      </c>
      <c r="AZ61" s="22">
        <f>((Data!$AJ$42*LN('Net zero Intermediate calcs'!AZ60))+Data!$AK$42)</f>
        <v>3816271.6850029007</v>
      </c>
      <c r="BA61" s="22">
        <f>((Data!$AJ$42*LN('Net zero Intermediate calcs'!BA60))+Data!$AK$42)</f>
        <v>3831972.6676072143</v>
      </c>
      <c r="BB61" s="22">
        <f>((Data!$AJ$42*LN('Net zero Intermediate calcs'!BB60))+Data!$AK$42)</f>
        <v>3849330.2197420876</v>
      </c>
      <c r="BC61" s="22">
        <f>((Data!$AJ$42*LN('Net zero Intermediate calcs'!BC60))+Data!$AK$42)</f>
        <v>3865805.2382898442</v>
      </c>
      <c r="BD61" s="22">
        <f>((Data!$AJ$42*LN('Net zero Intermediate calcs'!BD60))+Data!$AK$42)</f>
        <v>3882293.7541240845</v>
      </c>
      <c r="BE61" s="22">
        <f>((Data!$AJ$42*LN('Net zero Intermediate calcs'!BE60))+Data!$AK$42)</f>
        <v>3899010.9874762483</v>
      </c>
      <c r="BF61" s="22">
        <f>((Data!$AJ$42*LN('Net zero Intermediate calcs'!BF60))+Data!$AK$42)</f>
        <v>3916024.7746488545</v>
      </c>
      <c r="BG61" s="22">
        <f>((Data!$AJ$42*LN('Net zero Intermediate calcs'!BG60))+Data!$AK$42)</f>
        <v>3934862.4166172836</v>
      </c>
      <c r="BH61" s="22">
        <f>((Data!$AJ$42*LN('Net zero Intermediate calcs'!BH60))+Data!$AK$42)</f>
        <v>3948073.8713603262</v>
      </c>
      <c r="BI61" s="22">
        <f>((Data!$AJ$42*LN('Net zero Intermediate calcs'!BI60))+Data!$AK$42)</f>
        <v>3960812.2365733348</v>
      </c>
      <c r="BJ61" s="22">
        <f>((Data!$AJ$42*LN('Net zero Intermediate calcs'!BJ60))+Data!$AK$42)</f>
        <v>3973653.8638464957</v>
      </c>
      <c r="BK61" s="22">
        <f>((Data!$AJ$42*LN('Net zero Intermediate calcs'!BK60))+Data!$AK$42)</f>
        <v>3986360.0966620483</v>
      </c>
    </row>
    <row r="62" spans="1:63" s="44" customFormat="1" x14ac:dyDescent="0.2">
      <c r="A62" s="36" t="s">
        <v>875</v>
      </c>
    </row>
    <row r="63" spans="1:63" x14ac:dyDescent="0.2">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2">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0.57767999999999997</v>
      </c>
      <c r="AI64" s="94">
        <f>IF($Y$1="Off",'Intermediate calculations'!AI64,IF($Y$1="PQ",'Net zero supporting data'!L101,IF('Net zero Intermediate calcs'!$Y$1="GS",'Net zero supporting data'!L65,'Net zero supporting data'!L84)))</f>
        <v>0.57535999999999998</v>
      </c>
      <c r="AJ64" s="94">
        <f>IF($Y$1="Off",'Intermediate calculations'!AJ64,IF($Y$1="PQ",'Net zero supporting data'!M101,IF('Net zero Intermediate calcs'!$Y$1="GS",'Net zero supporting data'!M65,'Net zero supporting data'!M84)))</f>
        <v>0.57303999999999999</v>
      </c>
      <c r="AK64" s="94">
        <f>IF($Y$1="Off",'Intermediate calculations'!AK64,IF($Y$1="PQ",'Net zero supporting data'!N101,IF('Net zero Intermediate calcs'!$Y$1="GS",'Net zero supporting data'!N65,'Net zero supporting data'!N84)))</f>
        <v>0.57071999999999989</v>
      </c>
      <c r="AL64" s="94">
        <f>IF($Y$1="Off",'Intermediate calculations'!AL64,IF($Y$1="PQ",'Net zero supporting data'!O101,IF('Net zero Intermediate calcs'!$Y$1="GS",'Net zero supporting data'!O65,'Net zero supporting data'!O84)))</f>
        <v>0.56840000000000002</v>
      </c>
      <c r="AM64" s="94">
        <f>IF($Y$1="Off",'Intermediate calculations'!AM64,IF($Y$1="PQ",'Net zero supporting data'!P101,IF('Net zero Intermediate calcs'!$Y$1="GS",'Net zero supporting data'!P65,'Net zero supporting data'!P84)))</f>
        <v>0.56607999999999992</v>
      </c>
      <c r="AN64" s="94">
        <f>IF($Y$1="Off",'Intermediate calculations'!AN64,IF($Y$1="PQ",'Net zero supporting data'!Q101,IF('Net zero Intermediate calcs'!$Y$1="GS",'Net zero supporting data'!Q65,'Net zero supporting data'!Q84)))</f>
        <v>0.56375999999999993</v>
      </c>
      <c r="AO64" s="94">
        <f>IF($Y$1="Off",'Intermediate calculations'!AO64,IF($Y$1="PQ",'Net zero supporting data'!R101,IF('Net zero Intermediate calcs'!$Y$1="GS",'Net zero supporting data'!R65,'Net zero supporting data'!R84)))</f>
        <v>0.56143999999999994</v>
      </c>
      <c r="AP64" s="94">
        <f>IF($Y$1="Off",'Intermediate calculations'!AP64,IF($Y$1="PQ",'Net zero supporting data'!S101,IF('Net zero Intermediate calcs'!$Y$1="GS",'Net zero supporting data'!S65,'Net zero supporting data'!S84)))</f>
        <v>0.55911999999999995</v>
      </c>
      <c r="AQ64" s="94">
        <f>IF($Y$1="Off",'Intermediate calculations'!AQ64,IF($Y$1="PQ",'Net zero supporting data'!T101,IF('Net zero Intermediate calcs'!$Y$1="GS",'Net zero supporting data'!T65,'Net zero supporting data'!T84)))</f>
        <v>0.55679999999999996</v>
      </c>
      <c r="AR64" s="94">
        <f>IF($Y$1="Off",'Intermediate calculations'!AR64,IF($Y$1="PQ",'Net zero supporting data'!U101,IF('Net zero Intermediate calcs'!$Y$1="GS",'Net zero supporting data'!U65,'Net zero supporting data'!U84)))</f>
        <v>0.55767</v>
      </c>
      <c r="AS64" s="94">
        <f>IF($Y$1="Off",'Intermediate calculations'!AS64,IF($Y$1="PQ",'Net zero supporting data'!V101,IF('Net zero Intermediate calcs'!$Y$1="GS",'Net zero supporting data'!V65,'Net zero supporting data'!V84)))</f>
        <v>0.55854000000000004</v>
      </c>
      <c r="AT64" s="94">
        <f>IF($Y$1="Off",'Intermediate calculations'!AT64,IF($Y$1="PQ",'Net zero supporting data'!W101,IF('Net zero Intermediate calcs'!$Y$1="GS",'Net zero supporting data'!W65,'Net zero supporting data'!W84)))</f>
        <v>0.55941000000000007</v>
      </c>
      <c r="AU64" s="94">
        <f>IF($Y$1="Off",'Intermediate calculations'!AU64,IF($Y$1="PQ",'Net zero supporting data'!X101,IF('Net zero Intermediate calcs'!$Y$1="GS",'Net zero supporting data'!X65,'Net zero supporting data'!X84)))</f>
        <v>0.56028</v>
      </c>
      <c r="AV64" s="94">
        <f>IF($Y$1="Off",'Intermediate calculations'!AV64,IF($Y$1="PQ",'Net zero supporting data'!Y101,IF('Net zero Intermediate calcs'!$Y$1="GS",'Net zero supporting data'!Y65,'Net zero supporting data'!Y84)))</f>
        <v>0.56115000000000004</v>
      </c>
      <c r="AW64" s="94">
        <f>IF($Y$1="Off",'Intermediate calculations'!AW64,IF($Y$1="PQ",'Net zero supporting data'!Z101,IF('Net zero Intermediate calcs'!$Y$1="GS",'Net zero supporting data'!Z65,'Net zero supporting data'!Z84)))</f>
        <v>0.56202000000000008</v>
      </c>
      <c r="AX64" s="94">
        <f>IF($Y$1="Off",'Intermediate calculations'!AX64,IF($Y$1="PQ",'Net zero supporting data'!AA101,IF('Net zero Intermediate calcs'!$Y$1="GS",'Net zero supporting data'!AA65,'Net zero supporting data'!AA84)))</f>
        <v>0.56289</v>
      </c>
      <c r="AY64" s="94">
        <f>IF($Y$1="Off",'Intermediate calculations'!AY64,IF($Y$1="PQ",'Net zero supporting data'!AB101,IF('Net zero Intermediate calcs'!$Y$1="GS",'Net zero supporting data'!AB65,'Net zero supporting data'!AB84)))</f>
        <v>0.56376000000000004</v>
      </c>
      <c r="AZ64" s="94">
        <f>IF($Y$1="Off",'Intermediate calculations'!AZ64,IF($Y$1="PQ",'Net zero supporting data'!AC101,IF('Net zero Intermediate calcs'!$Y$1="GS",'Net zero supporting data'!AC65,'Net zero supporting data'!AC84)))</f>
        <v>0.56462999999999997</v>
      </c>
      <c r="BA64" s="94">
        <f>IF($Y$1="Off",'Intermediate calculations'!BA64,IF($Y$1="PQ",'Net zero supporting data'!AD101,IF('Net zero Intermediate calcs'!$Y$1="GS",'Net zero supporting data'!AD65,'Net zero supporting data'!AD84)))</f>
        <v>0.5655</v>
      </c>
      <c r="BB64" s="94">
        <f>IF($Y$1="Off",'Intermediate calculations'!BB64,IF($Y$1="PQ",'Net zero supporting data'!AE101,IF('Net zero Intermediate calcs'!$Y$1="GS",'Net zero supporting data'!AE65,'Net zero supporting data'!AE84)))</f>
        <v>0.56637000000000004</v>
      </c>
      <c r="BC64" s="94">
        <f>IF($Y$1="Off",'Intermediate calculations'!BC64,IF($Y$1="PQ",'Net zero supporting data'!AF101,IF('Net zero Intermediate calcs'!$Y$1="GS",'Net zero supporting data'!AF65,'Net zero supporting data'!AF84)))</f>
        <v>0.56723999999999997</v>
      </c>
      <c r="BD64" s="94">
        <f>IF($Y$1="Off",'Intermediate calculations'!BD64,IF($Y$1="PQ",'Net zero supporting data'!AG101,IF('Net zero Intermediate calcs'!$Y$1="GS",'Net zero supporting data'!AG65,'Net zero supporting data'!AG84)))</f>
        <v>0.56811</v>
      </c>
      <c r="BE64" s="94">
        <f>IF($Y$1="Off",'Intermediate calculations'!BE64,IF($Y$1="PQ",'Net zero supporting data'!AH101,IF('Net zero Intermediate calcs'!$Y$1="GS",'Net zero supporting data'!AH65,'Net zero supporting data'!AH84)))</f>
        <v>0.56898000000000004</v>
      </c>
      <c r="BF64" s="94">
        <f>IF($Y$1="Off",'Intermediate calculations'!BF64,IF($Y$1="PQ",'Net zero supporting data'!AI101,IF('Net zero Intermediate calcs'!$Y$1="GS",'Net zero supporting data'!AI65,'Net zero supporting data'!AI84)))</f>
        <v>0.56984999999999997</v>
      </c>
      <c r="BG64" s="94">
        <f>IF($Y$1="Off",'Intermediate calculations'!BG64,IF($Y$1="PQ",'Net zero supporting data'!AJ101,IF('Net zero Intermediate calcs'!$Y$1="GS",'Net zero supporting data'!AJ65,'Net zero supporting data'!AJ84)))</f>
        <v>0.57072000000000001</v>
      </c>
      <c r="BH64" s="94">
        <f>IF($Y$1="Off",'Intermediate calculations'!BH64,IF($Y$1="PQ",'Net zero supporting data'!AK101,IF('Net zero Intermediate calcs'!$Y$1="GS",'Net zero supporting data'!AK65,'Net zero supporting data'!AK84)))</f>
        <v>0.57159000000000004</v>
      </c>
      <c r="BI64" s="94">
        <f>IF($Y$1="Off",'Intermediate calculations'!BI64,IF($Y$1="PQ",'Net zero supporting data'!AL101,IF('Net zero Intermediate calcs'!$Y$1="GS",'Net zero supporting data'!AL65,'Net zero supporting data'!AL84)))</f>
        <v>0.57245999999999997</v>
      </c>
      <c r="BJ64" s="94">
        <f>IF($Y$1="Off",'Intermediate calculations'!BJ64,IF($Y$1="PQ",'Net zero supporting data'!AM101,IF('Net zero Intermediate calcs'!$Y$1="GS",'Net zero supporting data'!AM65,'Net zero supporting data'!AM84)))</f>
        <v>0.57333000000000001</v>
      </c>
      <c r="BK64" s="94">
        <f>IF($Y$1="Off",'Intermediate calculations'!BK64,IF($Y$1="PQ",'Net zero supporting data'!AN101,IF('Net zero Intermediate calcs'!$Y$1="GS",'Net zero supporting data'!AN65,'Net zero supporting data'!AN84)))</f>
        <v>0.57420000000000004</v>
      </c>
    </row>
    <row r="65" spans="1:63" x14ac:dyDescent="0.2">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baseColWidth="10" defaultColWidth="8.83203125" defaultRowHeight="15" x14ac:dyDescent="0.2"/>
  <cols>
    <col min="1" max="1" width="51" customWidth="1"/>
    <col min="2" max="9" width="10.6640625" customWidth="1"/>
    <col min="10" max="10" width="12" customWidth="1"/>
    <col min="11" max="11" width="11.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9" x14ac:dyDescent="0.25">
      <c r="A1" s="1" t="s">
        <v>941</v>
      </c>
      <c r="B1" s="1"/>
      <c r="C1" s="1"/>
      <c r="D1" s="1"/>
      <c r="E1" s="1"/>
      <c r="F1" s="1"/>
      <c r="G1" s="1"/>
      <c r="H1" s="1"/>
      <c r="I1" s="1"/>
    </row>
    <row r="3" spans="1:48" s="19" customFormat="1" ht="29.25" customHeight="1" x14ac:dyDescent="0.2">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9" x14ac:dyDescent="0.2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6" x14ac:dyDescent="0.2">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2">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2">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2">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2">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2">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2">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2">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2">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2">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2">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47517.423013115724</v>
      </c>
      <c r="L15">
        <f>'Net zero Activity data'!AN5*'Net zero supporting data'!L12</f>
        <v>95107.70944181188</v>
      </c>
      <c r="M15">
        <f>'Net zero Activity data'!AO5*'Net zero supporting data'!M12</f>
        <v>142684.69655092357</v>
      </c>
      <c r="N15">
        <f>'Net zero Activity data'!AP5*'Net zero supporting data'!N12</f>
        <v>190515.7809677246</v>
      </c>
      <c r="O15">
        <f>'Net zero Activity data'!AQ5*'Net zero supporting data'!O12</f>
        <v>238347.87169462611</v>
      </c>
      <c r="P15">
        <f>'Net zero Activity data'!AR5*'Net zero supporting data'!P12</f>
        <v>285801.00580776331</v>
      </c>
      <c r="Q15">
        <f>'Net zero Activity data'!AS5*'Net zero supporting data'!Q12</f>
        <v>333069.87219999952</v>
      </c>
      <c r="R15">
        <f>'Net zero Activity data'!AT5*'Net zero supporting data'!R12</f>
        <v>380045.14299190592</v>
      </c>
      <c r="S15">
        <f>'Net zero Activity data'!AU5*'Net zero supporting data'!S12</f>
        <v>427697.50050006219</v>
      </c>
      <c r="T15">
        <f>'Net zero Activity data'!AV5*'Net zero supporting data'!T12</f>
        <v>475288.11547970877</v>
      </c>
      <c r="U15">
        <f>'Net zero Activity data'!AW5*'Net zero supporting data'!U12</f>
        <v>490823.10525842116</v>
      </c>
      <c r="V15">
        <f>'Net zero Activity data'!AX5*'Net zero supporting data'!V12</f>
        <v>507521.88299365964</v>
      </c>
      <c r="W15">
        <f>'Net zero Activity data'!AY5*'Net zero supporting data'!W12</f>
        <v>524955.93196669908</v>
      </c>
      <c r="X15">
        <f>'Net zero Activity data'!AZ5*'Net zero supporting data'!X12</f>
        <v>543750.51085989608</v>
      </c>
      <c r="Y15">
        <f>'Net zero Activity data'!BA5*'Net zero supporting data'!Y12</f>
        <v>561233.71845810651</v>
      </c>
      <c r="Z15">
        <f>'Net zero Activity data'!BB5*'Net zero supporting data'!Z12</f>
        <v>578486.85962281423</v>
      </c>
      <c r="AA15">
        <f>'Net zero Activity data'!BC5*'Net zero supporting data'!AA12</f>
        <v>596568.79382458038</v>
      </c>
      <c r="AB15">
        <f>'Net zero Activity data'!BD5*'Net zero supporting data'!AB12</f>
        <v>614685.82002490677</v>
      </c>
      <c r="AC15">
        <f>'Net zero Activity data'!BE5*'Net zero supporting data'!AC12</f>
        <v>633403.87912263907</v>
      </c>
      <c r="AD15">
        <f>'Net zero Activity data'!BF5*'Net zero supporting data'!AD12</f>
        <v>652441.54155396321</v>
      </c>
      <c r="AE15">
        <f>'Net zero Activity data'!BG5*'Net zero supporting data'!AE12</f>
        <v>659282.55499903113</v>
      </c>
      <c r="AF15">
        <f>'Net zero Activity data'!BH5*'Net zero supporting data'!AF12</f>
        <v>665827.11858377943</v>
      </c>
      <c r="AG15">
        <f>'Net zero Activity data'!BI5*'Net zero supporting data'!AG12</f>
        <v>672527.5728021476</v>
      </c>
      <c r="AH15">
        <f>'Net zero Activity data'!BJ5*'Net zero supporting data'!AH12</f>
        <v>679501.20016670297</v>
      </c>
      <c r="AI15">
        <f>'Net zero Activity data'!BK5*'Net zero supporting data'!AI12</f>
        <v>686792.69853548973</v>
      </c>
      <c r="AJ15">
        <f>'Net zero Activity data'!BL5*'Net zero supporting data'!AJ12</f>
        <v>695010.64067024505</v>
      </c>
      <c r="AK15">
        <f>'Net zero Activity data'!BM5*'Net zero supporting data'!AK12</f>
        <v>700242.00908968993</v>
      </c>
      <c r="AL15">
        <f>'Net zero Activity data'!BN5*'Net zero supporting data'!AL12</f>
        <v>705305.10255158006</v>
      </c>
      <c r="AM15">
        <f>'Net zero Activity data'!BO5*'Net zero supporting data'!AM12</f>
        <v>710523.68866472994</v>
      </c>
      <c r="AN15">
        <f>'Net zero Activity data'!BP5*'Net zero supporting data'!AN12</f>
        <v>715760.42902929429</v>
      </c>
    </row>
    <row r="16" spans="1:48" x14ac:dyDescent="0.2">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39371.579068010164</v>
      </c>
      <c r="L16">
        <f>'Net zero Activity data'!AN6*'Net zero supporting data'!L12</f>
        <v>78803.530680358395</v>
      </c>
      <c r="M16">
        <f>'Net zero Activity data'!AO6*'Net zero supporting data'!M12</f>
        <v>118224.46285647954</v>
      </c>
      <c r="N16">
        <f>'Net zero Activity data'!AP6*'Net zero supporting data'!N12</f>
        <v>157855.93280182895</v>
      </c>
      <c r="O16">
        <f>'Net zero Activity data'!AQ6*'Net zero supporting data'!O12</f>
        <v>197488.23654697591</v>
      </c>
      <c r="P16">
        <f>'Net zero Activity data'!AR6*'Net zero supporting data'!P12</f>
        <v>236806.54766928958</v>
      </c>
      <c r="Q16">
        <f>'Net zero Activity data'!AS6*'Net zero supporting data'!Q12</f>
        <v>275972.17982285679</v>
      </c>
      <c r="R16">
        <f>'Net zero Activity data'!AT6*'Net zero supporting data'!R12</f>
        <v>314894.54705043632</v>
      </c>
      <c r="S16">
        <f>'Net zero Activity data'!AU6*'Net zero supporting data'!S12</f>
        <v>354377.92898576579</v>
      </c>
      <c r="T16">
        <f>'Net zero Activity data'!AV6*'Net zero supporting data'!T12</f>
        <v>393810.15282604442</v>
      </c>
      <c r="U16">
        <f>'Net zero Activity data'!AW6*'Net zero supporting data'!U12</f>
        <v>406682.00149983465</v>
      </c>
      <c r="V16">
        <f>'Net zero Activity data'!AX6*'Net zero supporting data'!V12</f>
        <v>420518.13162331795</v>
      </c>
      <c r="W16">
        <f>'Net zero Activity data'!AY6*'Net zero supporting data'!W12</f>
        <v>434963.48648669349</v>
      </c>
      <c r="X16">
        <f>'Net zero Activity data'!AZ6*'Net zero supporting data'!X12</f>
        <v>450536.13756962819</v>
      </c>
      <c r="Y16">
        <f>'Net zero Activity data'!BA6*'Net zero supporting data'!Y12</f>
        <v>465022.22386528819</v>
      </c>
      <c r="Z16">
        <f>'Net zero Activity data'!BB6*'Net zero supporting data'!Z12</f>
        <v>479317.68368747458</v>
      </c>
      <c r="AA16">
        <f>'Net zero Activity data'!BC6*'Net zero supporting data'!AA12</f>
        <v>494299.8577403666</v>
      </c>
      <c r="AB16">
        <f>'Net zero Activity data'!BD6*'Net zero supporting data'!AB12</f>
        <v>509311.10802063701</v>
      </c>
      <c r="AC16">
        <f>'Net zero Activity data'!BE6*'Net zero supporting data'!AC12</f>
        <v>524820.35698732955</v>
      </c>
      <c r="AD16">
        <f>'Net zero Activity data'!BF6*'Net zero supporting data'!AD12</f>
        <v>540594.42014471244</v>
      </c>
      <c r="AE16">
        <f>'Net zero Activity data'!BG6*'Net zero supporting data'!AE12</f>
        <v>546262.68842776865</v>
      </c>
      <c r="AF16">
        <f>'Net zero Activity data'!BH6*'Net zero supporting data'!AF12</f>
        <v>551685.32682656008</v>
      </c>
      <c r="AG16">
        <f>'Net zero Activity data'!BI6*'Net zero supporting data'!AG12</f>
        <v>557237.13175035082</v>
      </c>
      <c r="AH16">
        <f>'Net zero Activity data'!BJ6*'Net zero supporting data'!AH12</f>
        <v>563015.28013812529</v>
      </c>
      <c r="AI16">
        <f>'Net zero Activity data'!BK6*'Net zero supporting data'!AI12</f>
        <v>569056.80735797714</v>
      </c>
      <c r="AJ16">
        <f>'Net zero Activity data'!BL6*'Net zero supporting data'!AJ12</f>
        <v>575865.95941248874</v>
      </c>
      <c r="AK16">
        <f>'Net zero Activity data'!BM6*'Net zero supporting data'!AK12</f>
        <v>580200.5218171716</v>
      </c>
      <c r="AL16">
        <f>'Net zero Activity data'!BN6*'Net zero supporting data'!AL12</f>
        <v>584395.65639988065</v>
      </c>
      <c r="AM16">
        <f>'Net zero Activity data'!BO6*'Net zero supporting data'!AM12</f>
        <v>588719.62775077624</v>
      </c>
      <c r="AN16">
        <f>'Net zero Activity data'!BP6*'Net zero supporting data'!AN12</f>
        <v>593058.64119570097</v>
      </c>
    </row>
    <row r="17" spans="1:48" x14ac:dyDescent="0.2">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48875.063670633324</v>
      </c>
      <c r="L17">
        <f>'Net zero Activity data'!AN7*'Net zero supporting data'!L12</f>
        <v>97825.072568720803</v>
      </c>
      <c r="M17">
        <f>'Net zero Activity data'!AO7*'Net zero supporting data'!M12</f>
        <v>146761.40216666428</v>
      </c>
      <c r="N17">
        <f>'Net zero Activity data'!AP7*'Net zero supporting data'!N12</f>
        <v>195959.08899537392</v>
      </c>
      <c r="O17">
        <f>'Net zero Activity data'!AQ7*'Net zero supporting data'!O12</f>
        <v>245157.81088590121</v>
      </c>
      <c r="P17">
        <f>'Net zero Activity data'!AR7*'Net zero supporting data'!P12</f>
        <v>293966.74883084232</v>
      </c>
      <c r="Q17">
        <f>'Net zero Activity data'!AS7*'Net zero supporting data'!Q12</f>
        <v>342586.15426285675</v>
      </c>
      <c r="R17">
        <f>'Net zero Activity data'!AT7*'Net zero supporting data'!R12</f>
        <v>390903.57564881752</v>
      </c>
      <c r="S17">
        <f>'Net zero Activity data'!AU7*'Net zero supporting data'!S12</f>
        <v>439917.42908577831</v>
      </c>
      <c r="T17">
        <f>'Net zero Activity data'!AV7*'Net zero supporting data'!T12</f>
        <v>488867.77592198626</v>
      </c>
      <c r="U17">
        <f>'Net zero Activity data'!AW7*'Net zero supporting data'!U12</f>
        <v>504846.62255151896</v>
      </c>
      <c r="V17">
        <f>'Net zero Activity data'!AX7*'Net zero supporting data'!V12</f>
        <v>522022.50822205003</v>
      </c>
      <c r="W17">
        <f>'Net zero Activity data'!AY7*'Net zero supporting data'!W12</f>
        <v>539954.67288003338</v>
      </c>
      <c r="X17">
        <f>'Net zero Activity data'!AZ7*'Net zero supporting data'!X12</f>
        <v>559286.23974160745</v>
      </c>
      <c r="Y17">
        <f>'Net zero Activity data'!BA7*'Net zero supporting data'!Y12</f>
        <v>577268.96755690954</v>
      </c>
      <c r="Z17">
        <f>'Net zero Activity data'!BB7*'Net zero supporting data'!Z12</f>
        <v>595015.05561203754</v>
      </c>
      <c r="AA17">
        <f>'Net zero Activity data'!BC7*'Net zero supporting data'!AA12</f>
        <v>613613.61650528281</v>
      </c>
      <c r="AB17">
        <f>'Net zero Activity data'!BD7*'Net zero supporting data'!AB12</f>
        <v>632248.27202561847</v>
      </c>
      <c r="AC17">
        <f>'Net zero Activity data'!BE7*'Net zero supporting data'!AC12</f>
        <v>651501.1328118575</v>
      </c>
      <c r="AD17">
        <f>'Net zero Activity data'!BF7*'Net zero supporting data'!AD12</f>
        <v>671082.72845550522</v>
      </c>
      <c r="AE17">
        <f>'Net zero Activity data'!BG7*'Net zero supporting data'!AE12</f>
        <v>678119.19942757499</v>
      </c>
      <c r="AF17">
        <f>'Net zero Activity data'!BH7*'Net zero supporting data'!AF12</f>
        <v>684850.75054331601</v>
      </c>
      <c r="AG17">
        <f>'Net zero Activity data'!BI7*'Net zero supporting data'!AG12</f>
        <v>691742.64631078043</v>
      </c>
      <c r="AH17">
        <f>'Net zero Activity data'!BJ7*'Net zero supporting data'!AH12</f>
        <v>698915.52017146605</v>
      </c>
      <c r="AI17">
        <f>'Net zero Activity data'!BK7*'Net zero supporting data'!AI12</f>
        <v>706415.34706507518</v>
      </c>
      <c r="AJ17">
        <f>'Net zero Activity data'!BL7*'Net zero supporting data'!AJ12</f>
        <v>714868.08754653786</v>
      </c>
      <c r="AK17">
        <f>'Net zero Activity data'!BM7*'Net zero supporting data'!AK12</f>
        <v>720248.92363510968</v>
      </c>
      <c r="AL17">
        <f>'Net zero Activity data'!BN7*'Net zero supporting data'!AL12</f>
        <v>725456.67691019678</v>
      </c>
      <c r="AM17">
        <f>'Net zero Activity data'!BO7*'Net zero supporting data'!AM12</f>
        <v>730824.3654837223</v>
      </c>
      <c r="AN17">
        <f>'Net zero Activity data'!BP7*'Net zero supporting data'!AN12</f>
        <v>736210.72700155992</v>
      </c>
    </row>
    <row r="18" spans="1:48" x14ac:dyDescent="0.2">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238578.61352725851</v>
      </c>
      <c r="L18">
        <f>'Net zero Activity data'!AN8*'Net zero supporting data'!L13</f>
        <v>478058.87086992181</v>
      </c>
      <c r="M18">
        <f>'Net zero Activity data'!AO8*'Net zero supporting data'!M13</f>
        <v>716698.12798623077</v>
      </c>
      <c r="N18">
        <f>'Net zero Activity data'!AP8*'Net zero supporting data'!N13</f>
        <v>958172.79650177585</v>
      </c>
      <c r="O18">
        <f>'Net zero Activity data'!AQ8*'Net zero supporting data'!O13</f>
        <v>1198288.6266135445</v>
      </c>
      <c r="P18">
        <f>'Net zero Activity data'!AR8*'Net zero supporting data'!P13</f>
        <v>1433996.2748705132</v>
      </c>
      <c r="Q18">
        <f>'Net zero Activity data'!AS8*'Net zero supporting data'!Q13</f>
        <v>1666170.6613952981</v>
      </c>
      <c r="R18">
        <f>'Net zero Activity data'!AT8*'Net zero supporting data'!R13</f>
        <v>1893138.2267541206</v>
      </c>
      <c r="S18">
        <f>'Net zero Activity data'!AU8*'Net zero supporting data'!S13</f>
        <v>2128352.7193792253</v>
      </c>
      <c r="T18">
        <f>'Net zero Activity data'!AV8*'Net zero supporting data'!T13</f>
        <v>2361076.2230428797</v>
      </c>
      <c r="U18">
        <f>'Net zero Activity data'!AW8*'Net zero supporting data'!U13</f>
        <v>2499567.7371810172</v>
      </c>
      <c r="V18">
        <f>'Net zero Activity data'!AX8*'Net zero supporting data'!V13</f>
        <v>2649173.6559522236</v>
      </c>
      <c r="W18">
        <f>'Net zero Activity data'!AY8*'Net zero supporting data'!W13</f>
        <v>2803822.9918687255</v>
      </c>
      <c r="X18">
        <f>'Net zero Activity data'!AZ8*'Net zero supporting data'!X13</f>
        <v>2972025.5916779628</v>
      </c>
      <c r="Y18">
        <f>'Net zero Activity data'!BA8*'Net zero supporting data'!Y13</f>
        <v>3115812.2228809129</v>
      </c>
      <c r="Z18">
        <f>'Net zero Activity data'!BB8*'Net zero supporting data'!Z13</f>
        <v>3253702.3503187019</v>
      </c>
      <c r="AA18">
        <f>'Net zero Activity data'!BC8*'Net zero supporting data'!AA13</f>
        <v>3396747.3971603839</v>
      </c>
      <c r="AB18">
        <f>'Net zero Activity data'!BD8*'Net zero supporting data'!AB13</f>
        <v>3533454.972100337</v>
      </c>
      <c r="AC18">
        <f>'Net zero Activity data'!BE8*'Net zero supporting data'!AC13</f>
        <v>3671406.7494570459</v>
      </c>
      <c r="AD18">
        <f>'Net zero Activity data'!BF8*'Net zero supporting data'!AD13</f>
        <v>3806306.6253218986</v>
      </c>
      <c r="AE18">
        <f>'Net zero Activity data'!BG8*'Net zero supporting data'!AE13</f>
        <v>3922953.5171073149</v>
      </c>
      <c r="AF18">
        <f>'Net zero Activity data'!BH8*'Net zero supporting data'!AF13</f>
        <v>4032878.7711196556</v>
      </c>
      <c r="AG18">
        <f>'Net zero Activity data'!BI8*'Net zero supporting data'!AG13</f>
        <v>4142177.6320360792</v>
      </c>
      <c r="AH18">
        <f>'Net zero Activity data'!BJ8*'Net zero supporting data'!AH13</f>
        <v>4252339.8777733957</v>
      </c>
      <c r="AI18">
        <f>'Net zero Activity data'!BK8*'Net zero supporting data'!AI13</f>
        <v>4363843.2616891097</v>
      </c>
      <c r="AJ18">
        <f>'Net zero Activity data'!BL8*'Net zero supporting data'!AJ13</f>
        <v>4488730.897301239</v>
      </c>
      <c r="AK18">
        <f>'Net zero Activity data'!BM8*'Net zero supporting data'!AK13</f>
        <v>4568472.5639079846</v>
      </c>
      <c r="AL18">
        <f>'Net zero Activity data'!BN8*'Net zero supporting data'!AL13</f>
        <v>4642316.9551085448</v>
      </c>
      <c r="AM18">
        <f>'Net zero Activity data'!BO8*'Net zero supporting data'!AM13</f>
        <v>4714675.8088424234</v>
      </c>
      <c r="AN18">
        <f>'Net zero Activity data'!BP8*'Net zero supporting data'!AN13</f>
        <v>4783522.1909572668</v>
      </c>
    </row>
    <row r="19" spans="1:48" x14ac:dyDescent="0.2">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49679.787799751139</v>
      </c>
      <c r="L19">
        <f>'Net zero Activity data'!AN10*'Net zero supporting data'!L14</f>
        <v>103023.27766202271</v>
      </c>
      <c r="M19">
        <f>'Net zero Activity data'!AO10*'Net zero supporting data'!M14</f>
        <v>159808.49260095932</v>
      </c>
      <c r="N19">
        <f>'Net zero Activity data'!AP10*'Net zero supporting data'!N14</f>
        <v>221020.37010457832</v>
      </c>
      <c r="O19">
        <f>'Net zero Activity data'!AQ10*'Net zero supporting data'!O14</f>
        <v>285890.96614654775</v>
      </c>
      <c r="P19">
        <f>'Net zero Activity data'!AR10*'Net zero supporting data'!P14</f>
        <v>353812.0805503162</v>
      </c>
      <c r="Q19">
        <f>'Net zero Activity data'!AS10*'Net zero supporting data'!Q14</f>
        <v>425082.80213302939</v>
      </c>
      <c r="R19">
        <f>'Net zero Activity data'!AT10*'Net zero supporting data'!R14</f>
        <v>499364.37301542418</v>
      </c>
      <c r="S19">
        <f>'Net zero Activity data'!AU10*'Net zero supporting data'!S14</f>
        <v>580388.9723666166</v>
      </c>
      <c r="T19">
        <f>'Net zero Activity data'!AV10*'Net zero supporting data'!T14</f>
        <v>665567.14569132566</v>
      </c>
      <c r="U19">
        <f>'Net zero Activity data'!AW10*'Net zero supporting data'!U14</f>
        <v>704344.97710428166</v>
      </c>
      <c r="V19">
        <f>'Net zero Activity data'!AX10*'Net zero supporting data'!V14</f>
        <v>748226.73126189876</v>
      </c>
      <c r="W19">
        <f>'Net zero Activity data'!AY10*'Net zero supporting data'!W14</f>
        <v>795636.82928811817</v>
      </c>
      <c r="X19">
        <f>'Net zero Activity data'!AZ10*'Net zero supporting data'!X14</f>
        <v>849168.39768956893</v>
      </c>
      <c r="Y19">
        <f>'Net zero Activity data'!BA10*'Net zero supporting data'!Y14</f>
        <v>898127.67099127849</v>
      </c>
      <c r="Z19">
        <f>'Net zero Activity data'!BB10*'Net zero supporting data'!Z14</f>
        <v>947862.59264011285</v>
      </c>
      <c r="AA19">
        <f>'Net zero Activity data'!BC10*'Net zero supporting data'!AA14</f>
        <v>1001716.5131193262</v>
      </c>
      <c r="AB19">
        <f>'Net zero Activity data'!BD10*'Net zero supporting data'!AB14</f>
        <v>1056466.8204599847</v>
      </c>
      <c r="AC19">
        <f>'Net zero Activity data'!BE10*'Net zero supporting data'!AC14</f>
        <v>1114498.8084109644</v>
      </c>
      <c r="AD19">
        <f>'Net zero Activity data'!BF10*'Net zero supporting data'!AD14</f>
        <v>1174680.9035678047</v>
      </c>
      <c r="AE19">
        <f>'Net zero Activity data'!BG10*'Net zero supporting data'!AE14</f>
        <v>1215228.3681977217</v>
      </c>
      <c r="AF19">
        <f>'Net zero Activity data'!BH10*'Net zero supporting data'!AF14</f>
        <v>1254844.171508742</v>
      </c>
      <c r="AG19">
        <f>'Net zero Activity data'!BI10*'Net zero supporting data'!AG14</f>
        <v>1295471.1745145689</v>
      </c>
      <c r="AH19">
        <f>'Net zero Activity data'!BJ10*'Net zero supporting data'!AH14</f>
        <v>1337642.2889837744</v>
      </c>
      <c r="AI19">
        <f>'Net zero Activity data'!BK10*'Net zero supporting data'!AI14</f>
        <v>1381584.9843402614</v>
      </c>
      <c r="AJ19">
        <f>'Net zero Activity data'!BL10*'Net zero supporting data'!AJ14</f>
        <v>1431223.7982246315</v>
      </c>
      <c r="AK19">
        <f>'Net zero Activity data'!BM10*'Net zero supporting data'!AK14</f>
        <v>1467931.9864039156</v>
      </c>
      <c r="AL19">
        <f>'Net zero Activity data'!BN10*'Net zero supporting data'!AL14</f>
        <v>1504156.6489796164</v>
      </c>
      <c r="AM19">
        <f>'Net zero Activity data'!BO10*'Net zero supporting data'!AM14</f>
        <v>1541358.2160037851</v>
      </c>
      <c r="AN19">
        <f>'Net zero Activity data'!BP10*'Net zero supporting data'!AN14</f>
        <v>1578924.6546684001</v>
      </c>
    </row>
    <row r="20" spans="1:48" x14ac:dyDescent="0.2">
      <c r="A20" t="s">
        <v>1030</v>
      </c>
      <c r="B20" s="11">
        <f>'Net zero Activity data'!AD5-'Net zero supporting data'!B15</f>
        <v>590059.9281599375</v>
      </c>
      <c r="C20" s="11">
        <f>'Net zero Activity data'!AE5-'Net zero supporting data'!C15</f>
        <v>593358.66490468499</v>
      </c>
      <c r="D20" s="11">
        <f>'Net zero Activity data'!AF5-'Net zero supporting data'!D15</f>
        <v>598039.0074127327</v>
      </c>
      <c r="E20" s="11">
        <f>'Net zero Activity data'!AG5-'Net zero supporting data'!E15</f>
        <v>601046.62603335571</v>
      </c>
      <c r="F20" s="11">
        <f>'Net zero Activity data'!AH5-'Net zero supporting data'!F15</f>
        <v>603045.20236245112</v>
      </c>
      <c r="G20" s="11">
        <f>'Net zero Activity data'!AI5-'Net zero supporting data'!G15</f>
        <v>604015.06594627816</v>
      </c>
      <c r="H20" s="11">
        <f>'Net zero Activity data'!AJ5-'Net zero supporting data'!H15</f>
        <v>606157.85554919671</v>
      </c>
      <c r="I20" s="11">
        <f>'Net zero Activity data'!AK5-'Net zero supporting data'!I15</f>
        <v>608615.99513645703</v>
      </c>
      <c r="J20" s="11">
        <f>'Net zero Activity data'!AL5-'Net zero supporting data'!J15</f>
        <v>591954.99978317763</v>
      </c>
      <c r="K20" s="11">
        <f>'Net zero Activity data'!AM5-'Net zero supporting data'!K15</f>
        <v>546450.36465083074</v>
      </c>
      <c r="L20" s="11">
        <f>'Net zero Activity data'!AN5-'Net zero supporting data'!L15</f>
        <v>499315.4745695123</v>
      </c>
      <c r="M20" s="11">
        <f>'Net zero Activity data'!AO5-'Net zero supporting data'!M15</f>
        <v>451834.87241125799</v>
      </c>
      <c r="N20" s="11">
        <f>'Net zero Activity data'!AP5-'Net zero supporting data'!N15</f>
        <v>404846.0345564147</v>
      </c>
      <c r="O20" s="11">
        <f>'Net zero Activity data'!AQ5-'Net zero supporting data'!O15</f>
        <v>357521.80754193914</v>
      </c>
      <c r="P20" s="11">
        <f>'Net zero Activity data'!AR5-'Net zero supporting data'!P15</f>
        <v>309617.75629174348</v>
      </c>
      <c r="Q20" s="11">
        <f>'Net zero Activity data'!AS5-'Net zero supporting data'!Q15</f>
        <v>261697.75672857102</v>
      </c>
      <c r="R20" s="11">
        <f>'Net zero Activity data'!AT5-'Net zero supporting data'!R15</f>
        <v>213775.39293294703</v>
      </c>
      <c r="S20" s="11">
        <f>'Net zero Activity data'!AU5-'Net zero supporting data'!S15</f>
        <v>166326.80575002421</v>
      </c>
      <c r="T20" s="11">
        <f>'Net zero Activity data'!AV5-'Net zero supporting data'!T15</f>
        <v>118822.02886992716</v>
      </c>
      <c r="U20" s="11">
        <f>'Net zero Activity data'!AW5-'Net zero supporting data'!U15</f>
        <v>107741.65725184849</v>
      </c>
      <c r="V20" s="11">
        <f>'Net zero Activity data'!AX5-'Net zero supporting data'!V15</f>
        <v>96670.834855935129</v>
      </c>
      <c r="W20" s="11">
        <f>'Net zero Activity data'!AY5-'Net zero supporting data'!W15</f>
        <v>85457.942413183511</v>
      </c>
      <c r="X20" s="11">
        <f>'Net zero Activity data'!AZ5-'Net zero supporting data'!X15</f>
        <v>74147.796935440274</v>
      </c>
      <c r="Y20" s="11">
        <f>'Net zero Activity data'!BA5-'Net zero supporting data'!Y15</f>
        <v>62359.302050900646</v>
      </c>
      <c r="Z20" s="11">
        <f>'Net zero Activity data'!BB5-'Net zero supporting data'!Z15</f>
        <v>50303.2051845924</v>
      </c>
      <c r="AA20" s="11">
        <f>'Net zero Activity data'!BC5-'Net zero supporting data'!AA15</f>
        <v>38078.859180292231</v>
      </c>
      <c r="AB20" s="11">
        <f>'Net zero Activity data'!BD5-'Net zero supporting data'!AB15</f>
        <v>25611.909167704289</v>
      </c>
      <c r="AC20" s="11">
        <f>'Net zero Activity data'!BE5-'Net zero supporting data'!AC15</f>
        <v>12926.609778012964</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2">
      <c r="A21" t="s">
        <v>1111</v>
      </c>
      <c r="B21" s="11">
        <f>'Net zero Activity data'!AD6-'Net zero supporting data'!B16</f>
        <v>488906.79761823389</v>
      </c>
      <c r="C21" s="11">
        <f>'Net zero Activity data'!AE6-'Net zero supporting data'!C16</f>
        <v>491640.03663531045</v>
      </c>
      <c r="D21" s="11">
        <f>'Net zero Activity data'!AF6-'Net zero supporting data'!D16</f>
        <v>495518.03471340711</v>
      </c>
      <c r="E21" s="11">
        <f>'Net zero Activity data'!AG6-'Net zero supporting data'!E16</f>
        <v>498010.06157049473</v>
      </c>
      <c r="F21" s="11">
        <f>'Net zero Activity data'!AH6-'Net zero supporting data'!F16</f>
        <v>499666.02481460234</v>
      </c>
      <c r="G21" s="11">
        <f>'Net zero Activity data'!AI6-'Net zero supporting data'!G16</f>
        <v>500469.62606977334</v>
      </c>
      <c r="H21" s="11">
        <f>'Net zero Activity data'!AJ6-'Net zero supporting data'!H16</f>
        <v>502245.08031219151</v>
      </c>
      <c r="I21" s="11">
        <f>'Net zero Activity data'!AK6-'Net zero supporting data'!I16</f>
        <v>504281.82454163581</v>
      </c>
      <c r="J21" s="11">
        <f>'Net zero Activity data'!AL6-'Net zero supporting data'!J16</f>
        <v>490476.99982034724</v>
      </c>
      <c r="K21" s="11">
        <f>'Net zero Activity data'!AM6-'Net zero supporting data'!K16</f>
        <v>452773.15928211692</v>
      </c>
      <c r="L21" s="11">
        <f>'Net zero Activity data'!AN6-'Net zero supporting data'!L16</f>
        <v>413718.53607188159</v>
      </c>
      <c r="M21" s="11">
        <f>'Net zero Activity data'!AO6-'Net zero supporting data'!M16</f>
        <v>374377.46571218525</v>
      </c>
      <c r="N21" s="11">
        <f>'Net zero Activity data'!AP6-'Net zero supporting data'!N16</f>
        <v>335443.85720388649</v>
      </c>
      <c r="O21" s="11">
        <f>'Net zero Activity data'!AQ6-'Net zero supporting data'!O16</f>
        <v>296232.35482046386</v>
      </c>
      <c r="P21" s="11">
        <f>'Net zero Activity data'!AR6-'Net zero supporting data'!P16</f>
        <v>256540.42664173036</v>
      </c>
      <c r="Q21" s="11">
        <f>'Net zero Activity data'!AS6-'Net zero supporting data'!Q16</f>
        <v>216835.28414653026</v>
      </c>
      <c r="R21" s="11">
        <f>'Net zero Activity data'!AT6-'Net zero supporting data'!R16</f>
        <v>177128.18271587038</v>
      </c>
      <c r="S21" s="11">
        <f>'Net zero Activity data'!AU6-'Net zero supporting data'!S16</f>
        <v>137813.63905002008</v>
      </c>
      <c r="T21" s="11">
        <f>'Net zero Activity data'!AV6-'Net zero supporting data'!T16</f>
        <v>98452.538206511061</v>
      </c>
      <c r="U21" s="11">
        <f>'Net zero Activity data'!AW6-'Net zero supporting data'!U16</f>
        <v>89271.658865817357</v>
      </c>
      <c r="V21" s="11">
        <f>'Net zero Activity data'!AX6-'Net zero supporting data'!V16</f>
        <v>80098.691737774818</v>
      </c>
      <c r="W21" s="11">
        <f>'Net zero Activity data'!AY6-'Net zero supporting data'!W16</f>
        <v>70808.009428066318</v>
      </c>
      <c r="X21" s="11">
        <f>'Net zero Activity data'!AZ6-'Net zero supporting data'!X16</f>
        <v>61436.746032221941</v>
      </c>
      <c r="Y21" s="11">
        <f>'Net zero Activity data'!BA6-'Net zero supporting data'!Y16</f>
        <v>51669.135985031957</v>
      </c>
      <c r="Z21" s="11">
        <f>'Net zero Activity data'!BB6-'Net zero supporting data'!Z16</f>
        <v>41679.798581519455</v>
      </c>
      <c r="AA21" s="11">
        <f>'Net zero Activity data'!BC6-'Net zero supporting data'!AA16</f>
        <v>31551.054749384988</v>
      </c>
      <c r="AB21" s="11">
        <f>'Net zero Activity data'!BD6-'Net zero supporting data'!AB16</f>
        <v>21221.296167526452</v>
      </c>
      <c r="AC21" s="11">
        <f>'Net zero Activity data'!BE6-'Net zero supporting data'!AC16</f>
        <v>10710.619530353579</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2">
      <c r="A22" t="s">
        <v>1112</v>
      </c>
      <c r="B22" s="11">
        <f>'Net zero Activity data'!AD7-'Net zero supporting data'!B17</f>
        <v>606918.78325022152</v>
      </c>
      <c r="C22" s="11">
        <f>'Net zero Activity data'!AE7-'Net zero supporting data'!C17</f>
        <v>610311.7696162475</v>
      </c>
      <c r="D22" s="11">
        <f>'Net zero Activity data'!AF7-'Net zero supporting data'!D17</f>
        <v>615125.83619595377</v>
      </c>
      <c r="E22" s="11">
        <f>'Net zero Activity data'!AG7-'Net zero supporting data'!E17</f>
        <v>618219.38677716604</v>
      </c>
      <c r="F22" s="11">
        <f>'Net zero Activity data'!AH7-'Net zero supporting data'!F17</f>
        <v>620275.0652870927</v>
      </c>
      <c r="G22" s="11">
        <f>'Net zero Activity data'!AI7-'Net zero supporting data'!G17</f>
        <v>621272.63925902906</v>
      </c>
      <c r="H22" s="11">
        <f>'Net zero Activity data'!AJ7-'Net zero supporting data'!H17</f>
        <v>623476.65142203099</v>
      </c>
      <c r="I22" s="11">
        <f>'Net zero Activity data'!AK7-'Net zero supporting data'!I17</f>
        <v>626005.02356892731</v>
      </c>
      <c r="J22" s="11">
        <f>'Net zero Activity data'!AL7-'Net zero supporting data'!J17</f>
        <v>608867.99977698282</v>
      </c>
      <c r="K22" s="11">
        <f>'Net zero Activity data'!AM7-'Net zero supporting data'!K17</f>
        <v>562063.23221228318</v>
      </c>
      <c r="L22" s="11">
        <f>'Net zero Activity data'!AN7-'Net zero supporting data'!L17</f>
        <v>513581.63098578423</v>
      </c>
      <c r="M22" s="11">
        <f>'Net zero Activity data'!AO7-'Net zero supporting data'!M17</f>
        <v>464744.44019443693</v>
      </c>
      <c r="N22" s="11">
        <f>'Net zero Activity data'!AP7-'Net zero supporting data'!N17</f>
        <v>416413.06411516957</v>
      </c>
      <c r="O22" s="11">
        <f>'Net zero Activity data'!AQ7-'Net zero supporting data'!O17</f>
        <v>367736.71632885176</v>
      </c>
      <c r="P22" s="11">
        <f>'Net zero Activity data'!AR7-'Net zero supporting data'!P17</f>
        <v>318463.9779000791</v>
      </c>
      <c r="Q22" s="11">
        <f>'Net zero Activity data'!AS7-'Net zero supporting data'!Q17</f>
        <v>269174.83549224451</v>
      </c>
      <c r="R22" s="11">
        <f>'Net zero Activity data'!AT7-'Net zero supporting data'!R17</f>
        <v>219883.26130245981</v>
      </c>
      <c r="S22" s="11">
        <f>'Net zero Activity data'!AU7-'Net zero supporting data'!S17</f>
        <v>171079.00020002492</v>
      </c>
      <c r="T22" s="11">
        <f>'Net zero Activity data'!AV7-'Net zero supporting data'!T17</f>
        <v>122216.94398049655</v>
      </c>
      <c r="U22" s="11">
        <f>'Net zero Activity data'!AW7-'Net zero supporting data'!U17</f>
        <v>110819.99031618703</v>
      </c>
      <c r="V22" s="11">
        <f>'Net zero Activity data'!AX7-'Net zero supporting data'!V17</f>
        <v>99432.858708961867</v>
      </c>
      <c r="W22" s="11">
        <f>'Net zero Activity data'!AY7-'Net zero supporting data'!W17</f>
        <v>87899.597910703043</v>
      </c>
      <c r="X22" s="11">
        <f>'Net zero Activity data'!AZ7-'Net zero supporting data'!X17</f>
        <v>76266.305419309996</v>
      </c>
      <c r="Y22" s="11">
        <f>'Net zero Activity data'!BA7-'Net zero supporting data'!Y17</f>
        <v>64140.996395212132</v>
      </c>
      <c r="Z22" s="11">
        <f>'Net zero Activity data'!BB7-'Net zero supporting data'!Z17</f>
        <v>51740.4396184379</v>
      </c>
      <c r="AA22" s="11">
        <f>'Net zero Activity data'!BC7-'Net zero supporting data'!AA17</f>
        <v>39166.826585443458</v>
      </c>
      <c r="AB22" s="11">
        <f>'Net zero Activity data'!BD7-'Net zero supporting data'!AB17</f>
        <v>26343.678001067252</v>
      </c>
      <c r="AC22" s="11">
        <f>'Net zero Activity data'!BE7-'Net zero supporting data'!AC17</f>
        <v>13295.941485956078</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2">
      <c r="A23" t="s">
        <v>1113</v>
      </c>
      <c r="B23" s="11">
        <f>'Net zero Activity data'!AD8-'Net zero supporting data'!B18</f>
        <v>5954880.1627134737</v>
      </c>
      <c r="C23" s="11">
        <f>'Net zero Activity data'!AE8-'Net zero supporting data'!C18</f>
        <v>5903235.3888004785</v>
      </c>
      <c r="D23" s="11">
        <f>'Net zero Activity data'!AF8-'Net zero supporting data'!D18</f>
        <v>5883575.7867908729</v>
      </c>
      <c r="E23" s="11">
        <f>'Net zero Activity data'!AG8-'Net zero supporting data'!E18</f>
        <v>5805008.3335930631</v>
      </c>
      <c r="F23" s="11">
        <f>'Net zero Activity data'!AH8-'Net zero supporting data'!F18</f>
        <v>5690965.7565264814</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4719772.8767197365</v>
      </c>
      <c r="K23" s="11">
        <f>'Net zero Activity data'!AM8-'Net zero supporting data'!K18</f>
        <v>4532993.6570179109</v>
      </c>
      <c r="L23" s="11">
        <f>'Net zero Activity data'!AN8-'Net zero supporting data'!L18</f>
        <v>4302529.8378292965</v>
      </c>
      <c r="M23" s="11">
        <f>'Net zero Activity data'!AO8-'Net zero supporting data'!M18</f>
        <v>4061289.3919219738</v>
      </c>
      <c r="N23" s="11">
        <f>'Net zero Activity data'!AP8-'Net zero supporting data'!N18</f>
        <v>3832691.1860071034</v>
      </c>
      <c r="O23" s="11">
        <f>'Net zero Activity data'!AQ8-'Net zero supporting data'!O18</f>
        <v>3594865.8798406338</v>
      </c>
      <c r="P23" s="11">
        <f>'Net zero Activity data'!AR8-'Net zero supporting data'!P18</f>
        <v>3345991.3080311976</v>
      </c>
      <c r="Q23" s="11">
        <f>'Net zero Activity data'!AS8-'Net zero supporting data'!Q18</f>
        <v>3094316.9425912676</v>
      </c>
      <c r="R23" s="11">
        <f>'Net zero Activity data'!AT8-'Net zero supporting data'!R18</f>
        <v>2839707.3401311813</v>
      </c>
      <c r="S23" s="11">
        <f>'Net zero Activity data'!AU8-'Net zero supporting data'!S18</f>
        <v>2601319.9903523871</v>
      </c>
      <c r="T23" s="11">
        <f>'Net zero Activity data'!AV8-'Net zero supporting data'!T18</f>
        <v>2361076.2230428797</v>
      </c>
      <c r="U23" s="11">
        <f>'Net zero Activity data'!AW8-'Net zero supporting data'!U18</f>
        <v>2216597.8046699585</v>
      </c>
      <c r="V23" s="11">
        <f>'Net zero Activity data'!AX8-'Net zero supporting data'!V18</f>
        <v>2081493.586819604</v>
      </c>
      <c r="W23" s="11">
        <f>'Net zero Activity data'!AY8-'Net zero supporting data'!W18</f>
        <v>1948419.3672308088</v>
      </c>
      <c r="X23" s="11">
        <f>'Net zero Activity data'!AZ8-'Net zero supporting data'!X18</f>
        <v>1821564.0723187504</v>
      </c>
      <c r="Y23" s="11">
        <f>'Net zero Activity data'!BA8-'Net zero supporting data'!Y18</f>
        <v>1677745.0430897214</v>
      </c>
      <c r="Z23" s="11">
        <f>'Net zero Activity data'!BB8-'Net zero supporting data'!Z18</f>
        <v>1531154.0472088</v>
      </c>
      <c r="AA23" s="11">
        <f>'Net zero Activity data'!BC8-'Net zero supporting data'!AA18</f>
        <v>1387403.8664457891</v>
      </c>
      <c r="AB23" s="11">
        <f>'Net zero Activity data'!BD8-'Net zero supporting data'!AB18</f>
        <v>1241484.1793866036</v>
      </c>
      <c r="AC23" s="11">
        <f>'Net zero Activity data'!BE8-'Net zero supporting data'!AC18</f>
        <v>1096653.9641235317</v>
      </c>
      <c r="AD23" s="11">
        <f>'Net zero Activity data'!BF8-'Net zero supporting data'!AD18</f>
        <v>951576.65633047465</v>
      </c>
      <c r="AE23" s="11">
        <f>'Net zero Activity data'!BG8-'Net zero supporting data'!AE18</f>
        <v>861136.13790160557</v>
      </c>
      <c r="AF23" s="11">
        <f>'Net zero Activity data'!BH8-'Net zero supporting data'!AF18</f>
        <v>768167.38497517211</v>
      </c>
      <c r="AG23" s="11">
        <f>'Net zero Activity data'!BI8-'Net zero supporting data'!AG18</f>
        <v>674307.98661052389</v>
      </c>
      <c r="AH23" s="11">
        <f>'Net zero Activity data'!BJ8-'Net zero supporting data'!AH18</f>
        <v>579864.52878728043</v>
      </c>
      <c r="AI23" s="11">
        <f>'Net zero Activity data'!BK8-'Net zero supporting data'!AI18</f>
        <v>484871.47352101188</v>
      </c>
      <c r="AJ23" s="11">
        <f>'Net zero Activity data'!BL8-'Net zero supporting data'!AJ18</f>
        <v>390324.42585228104</v>
      </c>
      <c r="AK23" s="11">
        <f>'Net zero Activity data'!BM8-'Net zero supporting data'!AK18</f>
        <v>291604.63173880707</v>
      </c>
      <c r="AL23" s="11">
        <f>'Net zero Activity data'!BN8-'Net zero supporting data'!AL18</f>
        <v>193429.8731295215</v>
      </c>
      <c r="AM23" s="11">
        <f>'Net zero Activity data'!BO8-'Net zero supporting data'!AM18</f>
        <v>96217.873649843968</v>
      </c>
      <c r="AN23" s="11">
        <f>'Net zero Activity data'!BP8-'Net zero supporting data'!AN18</f>
        <v>0</v>
      </c>
    </row>
    <row r="24" spans="1:48" x14ac:dyDescent="0.2">
      <c r="A24" t="s">
        <v>1031</v>
      </c>
      <c r="B24" s="11">
        <f>'Net zero Activity data'!AD10-'Net zero supporting data'!B19</f>
        <v>541460.03376820497</v>
      </c>
      <c r="C24" s="11">
        <f>'Net zero Activity data'!AE10-'Net zero supporting data'!C19</f>
        <v>559717.1030773099</v>
      </c>
      <c r="D24" s="11">
        <f>'Net zero Activity data'!AF10-'Net zero supporting data'!D19</f>
        <v>581386.33409904351</v>
      </c>
      <c r="E24" s="11">
        <f>'Net zero Activity data'!AG10-'Net zero supporting data'!E19</f>
        <v>597546.77075746458</v>
      </c>
      <c r="F24" s="11">
        <f>'Net zero Activity data'!AH10-'Net zero supporting data'!F19</f>
        <v>610009.49754182261</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593382.52815527772</v>
      </c>
      <c r="K24" s="11">
        <f>'Net zero Activity data'!AM10-'Net zero supporting data'!K19</f>
        <v>571317.55969713803</v>
      </c>
      <c r="L24" s="11">
        <f>'Net zero Activity data'!AN10-'Net zero supporting data'!L19</f>
        <v>540872.2077256192</v>
      </c>
      <c r="M24" s="11">
        <f>'Net zero Activity data'!AO10-'Net zero supporting data'!M19</f>
        <v>506060.22656970454</v>
      </c>
      <c r="N24" s="11">
        <f>'Net zero Activity data'!AP10-'Net zero supporting data'!N19</f>
        <v>469668.28647222894</v>
      </c>
      <c r="O24" s="11">
        <f>'Net zero Activity data'!AQ10-'Net zero supporting data'!O19</f>
        <v>428836.44921982154</v>
      </c>
      <c r="P24" s="11">
        <f>'Net zero Activity data'!AR10-'Net zero supporting data'!P19</f>
        <v>383296.42059617577</v>
      </c>
      <c r="Q24" s="11">
        <f>'Net zero Activity data'!AS10-'Net zero supporting data'!Q19</f>
        <v>333993.63024738018</v>
      </c>
      <c r="R24" s="11">
        <f>'Net zero Activity data'!AT10-'Net zero supporting data'!R19</f>
        <v>280892.45982117607</v>
      </c>
      <c r="S24" s="11">
        <f>'Net zero Activity data'!AU10-'Net zero supporting data'!S19</f>
        <v>225706.82258701755</v>
      </c>
      <c r="T24" s="11">
        <f>'Net zero Activity data'!AV10-'Net zero supporting data'!T19</f>
        <v>166391.78642283136</v>
      </c>
      <c r="U24" s="11">
        <f>'Net zero Activity data'!AW10-'Net zero supporting data'!U19</f>
        <v>154612.3120472813</v>
      </c>
      <c r="V24" s="11">
        <f>'Net zero Activity data'!AX10-'Net zero supporting data'!V19</f>
        <v>142519.37738321873</v>
      </c>
      <c r="W24" s="11">
        <f>'Net zero Activity data'!AY10-'Net zero supporting data'!W19</f>
        <v>129522.27453527495</v>
      </c>
      <c r="X24" s="11">
        <f>'Net zero Activity data'!AZ10-'Net zero supporting data'!X19</f>
        <v>115795.69059403194</v>
      </c>
      <c r="Y24" s="11">
        <f>'Net zero Activity data'!BA10-'Net zero supporting data'!Y19</f>
        <v>99791.963443475193</v>
      </c>
      <c r="Z24" s="11">
        <f>'Net zero Activity data'!BB10-'Net zero supporting data'!Z19</f>
        <v>82422.834142618347</v>
      </c>
      <c r="AA24" s="11">
        <f>'Net zero Activity data'!BC10-'Net zero supporting data'!AA19</f>
        <v>63939.351901233429</v>
      </c>
      <c r="AB24" s="11">
        <f>'Net zero Activity data'!BD10-'Net zero supporting data'!AB19</f>
        <v>44019.450852499111</v>
      </c>
      <c r="AC24" s="11">
        <f>'Net zero Activity data'!BE10-'Net zero supporting data'!AC19</f>
        <v>22744.873641039943</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2">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2">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2">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2">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2">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6" x14ac:dyDescent="0.2">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2">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2">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2">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2">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2">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2">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2">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41577.745136476253</v>
      </c>
      <c r="L38">
        <f>'Net zero Activity data'!AN5*'Net zero supporting data'!L36</f>
        <v>83219.245761585378</v>
      </c>
      <c r="M38">
        <f>'Net zero Activity data'!AO5*'Net zero supporting data'!M36</f>
        <v>124849.10948205811</v>
      </c>
      <c r="N38">
        <f>'Net zero Activity data'!AP5*'Net zero supporting data'!N36</f>
        <v>166701.308346759</v>
      </c>
      <c r="O38">
        <f>'Net zero Activity data'!AQ5*'Net zero supporting data'!O36</f>
        <v>208554.38773279783</v>
      </c>
      <c r="P38">
        <f>'Net zero Activity data'!AR5*'Net zero supporting data'!P36</f>
        <v>250075.88008179286</v>
      </c>
      <c r="Q38">
        <f>'Net zero Activity data'!AS5*'Net zero supporting data'!Q36</f>
        <v>291436.13817499956</v>
      </c>
      <c r="R38">
        <f>'Net zero Activity data'!AT5*'Net zero supporting data'!R36</f>
        <v>332539.5001179176</v>
      </c>
      <c r="S38">
        <f>'Net zero Activity data'!AU5*'Net zero supporting data'!S36</f>
        <v>374235.31293755438</v>
      </c>
      <c r="T38">
        <f>'Net zero Activity data'!AV5*'Net zero supporting data'!T36</f>
        <v>415877.10104474513</v>
      </c>
      <c r="U38">
        <f>'Net zero Activity data'!AW5*'Net zero supporting data'!U36</f>
        <v>436952.27663249685</v>
      </c>
      <c r="V38">
        <f>'Net zero Activity data'!AX5*'Net zero supporting data'!V36</f>
        <v>459186.46556569205</v>
      </c>
      <c r="W38">
        <f>'Net zero Activity data'!AY5*'Net zero supporting data'!W36</f>
        <v>482226.96076010726</v>
      </c>
      <c r="X38">
        <f>'Net zero Activity data'!AZ5*'Net zero supporting data'!X36</f>
        <v>506676.61239217583</v>
      </c>
      <c r="Y38">
        <f>'Net zero Activity data'!BA5*'Net zero supporting data'!Y36</f>
        <v>530054.06743265619</v>
      </c>
      <c r="Z38">
        <f>'Net zero Activity data'!BB5*'Net zero supporting data'!Z36</f>
        <v>553335.25703051791</v>
      </c>
      <c r="AA38">
        <f>'Net zero Activity data'!BC5*'Net zero supporting data'!AA36</f>
        <v>577529.36423443421</v>
      </c>
      <c r="AB38">
        <f>'Net zero Activity data'!BD5*'Net zero supporting data'!AB36</f>
        <v>601879.86544105446</v>
      </c>
      <c r="AC38">
        <f>'Net zero Activity data'!BE5*'Net zero supporting data'!AC36</f>
        <v>626940.57423363265</v>
      </c>
      <c r="AD38">
        <f>'Net zero Activity data'!BF5*'Net zero supporting data'!AD36</f>
        <v>652441.54155396321</v>
      </c>
      <c r="AE38">
        <f>'Net zero Activity data'!BG5*'Net zero supporting data'!AE36</f>
        <v>659282.55499903113</v>
      </c>
      <c r="AF38">
        <f>'Net zero Activity data'!BH5*'Net zero supporting data'!AF36</f>
        <v>665827.11858377943</v>
      </c>
      <c r="AG38">
        <f>'Net zero Activity data'!BI5*'Net zero supporting data'!AG36</f>
        <v>672527.5728021476</v>
      </c>
      <c r="AH38">
        <f>'Net zero Activity data'!BJ5*'Net zero supporting data'!AH36</f>
        <v>679501.20016670297</v>
      </c>
      <c r="AI38">
        <f>'Net zero Activity data'!BK5*'Net zero supporting data'!AI36</f>
        <v>686792.69853548973</v>
      </c>
      <c r="AJ38">
        <f>'Net zero Activity data'!BL5*'Net zero supporting data'!AJ36</f>
        <v>695010.64067024505</v>
      </c>
      <c r="AK38">
        <f>'Net zero Activity data'!BM5*'Net zero supporting data'!AK36</f>
        <v>700242.00908968993</v>
      </c>
      <c r="AL38">
        <f>'Net zero Activity data'!BN5*'Net zero supporting data'!AL36</f>
        <v>705305.10255158006</v>
      </c>
      <c r="AM38">
        <f>'Net zero Activity data'!BO5*'Net zero supporting data'!AM36</f>
        <v>710523.68866472994</v>
      </c>
      <c r="AN38">
        <f>'Net zero Activity data'!BP5*'Net zero supporting data'!AN36</f>
        <v>715760.42902929429</v>
      </c>
    </row>
    <row r="39" spans="1:48" x14ac:dyDescent="0.2">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43469.814324782237</v>
      </c>
      <c r="L39">
        <f>'Net zero Activity data'!AN10*'Net zero supporting data'!L37</f>
        <v>90145.367954269866</v>
      </c>
      <c r="M39">
        <f>'Net zero Activity data'!AO10*'Net zero supporting data'!M37</f>
        <v>139832.43102583938</v>
      </c>
      <c r="N39">
        <f>'Net zero Activity data'!AP10*'Net zero supporting data'!N37</f>
        <v>193392.823841506</v>
      </c>
      <c r="O39">
        <f>'Net zero Activity data'!AQ10*'Net zero supporting data'!O37</f>
        <v>250154.59537822925</v>
      </c>
      <c r="P39">
        <f>'Net zero Activity data'!AR10*'Net zero supporting data'!P37</f>
        <v>309585.57048152661</v>
      </c>
      <c r="Q39">
        <f>'Net zero Activity data'!AS10*'Net zero supporting data'!Q37</f>
        <v>371947.45186640066</v>
      </c>
      <c r="R39">
        <f>'Net zero Activity data'!AT10*'Net zero supporting data'!R37</f>
        <v>436943.82638849609</v>
      </c>
      <c r="S39">
        <f>'Net zero Activity data'!AU10*'Net zero supporting data'!S37</f>
        <v>507840.3508207894</v>
      </c>
      <c r="T39">
        <f>'Net zero Activity data'!AV10*'Net zero supporting data'!T37</f>
        <v>582371.25247990992</v>
      </c>
      <c r="U39">
        <f>'Net zero Activity data'!AW10*'Net zero supporting data'!U37</f>
        <v>627038.82108064089</v>
      </c>
      <c r="V39">
        <f>'Net zero Activity data'!AX10*'Net zero supporting data'!V37</f>
        <v>676967.04257028934</v>
      </c>
      <c r="W39">
        <f>'Net zero Activity data'!AY10*'Net zero supporting data'!W37</f>
        <v>730875.69202048064</v>
      </c>
      <c r="X39">
        <f>'Net zero Activity data'!AZ10*'Net zero supporting data'!X37</f>
        <v>791270.55239255272</v>
      </c>
      <c r="Y39">
        <f>'Net zero Activity data'!BA10*'Net zero supporting data'!Y37</f>
        <v>848231.68926954072</v>
      </c>
      <c r="Z39">
        <f>'Net zero Activity data'!BB10*'Net zero supporting data'!Z37</f>
        <v>906651.17556880356</v>
      </c>
      <c r="AA39">
        <f>'Net zero Activity data'!BC10*'Net zero supporting data'!AA37</f>
        <v>969746.83716870937</v>
      </c>
      <c r="AB39">
        <f>'Net zero Activity data'!BD10*'Net zero supporting data'!AB37</f>
        <v>1034457.0950337349</v>
      </c>
      <c r="AC39">
        <f>'Net zero Activity data'!BE10*'Net zero supporting data'!AC37</f>
        <v>1103126.3715904446</v>
      </c>
      <c r="AD39">
        <f>'Net zero Activity data'!BF10*'Net zero supporting data'!AD37</f>
        <v>1174680.9035678047</v>
      </c>
      <c r="AE39">
        <f>'Net zero Activity data'!BG10*'Net zero supporting data'!AE37</f>
        <v>1215228.3681977217</v>
      </c>
      <c r="AF39">
        <f>'Net zero Activity data'!BH10*'Net zero supporting data'!AF37</f>
        <v>1254844.171508742</v>
      </c>
      <c r="AG39">
        <f>'Net zero Activity data'!BI10*'Net zero supporting data'!AG37</f>
        <v>1295471.1745145689</v>
      </c>
      <c r="AH39">
        <f>'Net zero Activity data'!BJ10*'Net zero supporting data'!AH37</f>
        <v>1337642.2889837744</v>
      </c>
      <c r="AI39">
        <f>'Net zero Activity data'!BK10*'Net zero supporting data'!AI37</f>
        <v>1381584.9843402614</v>
      </c>
      <c r="AJ39">
        <f>'Net zero Activity data'!BL10*'Net zero supporting data'!AJ37</f>
        <v>1431223.7982246315</v>
      </c>
      <c r="AK39">
        <f>'Net zero Activity data'!BM10*'Net zero supporting data'!AK37</f>
        <v>1467931.9864039156</v>
      </c>
      <c r="AL39">
        <f>'Net zero Activity data'!BN10*'Net zero supporting data'!AL37</f>
        <v>1504156.6489796164</v>
      </c>
      <c r="AM39">
        <f>'Net zero Activity data'!BO10*'Net zero supporting data'!AM37</f>
        <v>1541358.2160037851</v>
      </c>
      <c r="AN39">
        <f>'Net zero Activity data'!BP10*'Net zero supporting data'!AN37</f>
        <v>1578924.6546684001</v>
      </c>
    </row>
    <row r="40" spans="1:48" x14ac:dyDescent="0.2">
      <c r="A40" t="s">
        <v>1030</v>
      </c>
      <c r="B40" s="11">
        <f>'Net zero Activity data'!AD5-'Net zero supporting data'!B38</f>
        <v>590059.9281599375</v>
      </c>
      <c r="C40" s="11">
        <f>'Net zero Activity data'!AE5-'Net zero supporting data'!C38</f>
        <v>593358.66490468499</v>
      </c>
      <c r="D40" s="11">
        <f>'Net zero Activity data'!AF5-'Net zero supporting data'!D38</f>
        <v>598039.0074127327</v>
      </c>
      <c r="E40" s="11">
        <f>'Net zero Activity data'!AG5-'Net zero supporting data'!E38</f>
        <v>601046.62603335571</v>
      </c>
      <c r="F40" s="11">
        <f>'Net zero Activity data'!AH5-'Net zero supporting data'!F38</f>
        <v>603045.20236245112</v>
      </c>
      <c r="G40" s="11">
        <f>'Net zero Activity data'!AI5-'Net zero supporting data'!G38</f>
        <v>604015.06594627816</v>
      </c>
      <c r="H40" s="11">
        <f>'Net zero Activity data'!AJ5-'Net zero supporting data'!H38</f>
        <v>606157.85554919671</v>
      </c>
      <c r="I40" s="11">
        <f>'Net zero Activity data'!AK5-'Net zero supporting data'!I38</f>
        <v>608615.99513645703</v>
      </c>
      <c r="J40" s="11">
        <f>'Net zero Activity data'!AL5-'Net zero supporting data'!J38</f>
        <v>591954.99978317763</v>
      </c>
      <c r="K40" s="11">
        <f>'Net zero Activity data'!AM5-'Net zero supporting data'!K38</f>
        <v>552390.04252747027</v>
      </c>
      <c r="L40" s="11">
        <f>'Net zero Activity data'!AN5-'Net zero supporting data'!L38</f>
        <v>511203.93824973883</v>
      </c>
      <c r="M40" s="11">
        <f>'Net zero Activity data'!AO5-'Net zero supporting data'!M38</f>
        <v>469670.45948012348</v>
      </c>
      <c r="N40" s="11">
        <f>'Net zero Activity data'!AP5-'Net zero supporting data'!N38</f>
        <v>428660.50717738032</v>
      </c>
      <c r="O40" s="11">
        <f>'Net zero Activity data'!AQ5-'Net zero supporting data'!O38</f>
        <v>387315.29150376742</v>
      </c>
      <c r="P40" s="11">
        <f>'Net zero Activity data'!AR5-'Net zero supporting data'!P38</f>
        <v>345342.88201771397</v>
      </c>
      <c r="Q40" s="11">
        <f>'Net zero Activity data'!AS5-'Net zero supporting data'!Q38</f>
        <v>303331.49075357098</v>
      </c>
      <c r="R40" s="11">
        <f>'Net zero Activity data'!AT5-'Net zero supporting data'!R38</f>
        <v>261281.03580693534</v>
      </c>
      <c r="S40" s="11">
        <f>'Net zero Activity data'!AU5-'Net zero supporting data'!S38</f>
        <v>219788.99331253202</v>
      </c>
      <c r="T40" s="11">
        <f>'Net zero Activity data'!AV5-'Net zero supporting data'!T38</f>
        <v>178233.0433048908</v>
      </c>
      <c r="U40" s="11">
        <f>'Net zero Activity data'!AW5-'Net zero supporting data'!U38</f>
        <v>161612.48587777279</v>
      </c>
      <c r="V40" s="11">
        <f>'Net zero Activity data'!AX5-'Net zero supporting data'!V38</f>
        <v>145006.25228390272</v>
      </c>
      <c r="W40" s="11">
        <f>'Net zero Activity data'!AY5-'Net zero supporting data'!W38</f>
        <v>128186.91361977533</v>
      </c>
      <c r="X40" s="11">
        <f>'Net zero Activity data'!AZ5-'Net zero supporting data'!X38</f>
        <v>111221.69540316053</v>
      </c>
      <c r="Y40" s="11">
        <f>'Net zero Activity data'!BA5-'Net zero supporting data'!Y38</f>
        <v>93538.953076350968</v>
      </c>
      <c r="Z40" s="11">
        <f>'Net zero Activity data'!BB5-'Net zero supporting data'!Z38</f>
        <v>75454.807776888716</v>
      </c>
      <c r="AA40" s="11">
        <f>'Net zero Activity data'!BC5-'Net zero supporting data'!AA38</f>
        <v>57118.288770438405</v>
      </c>
      <c r="AB40" s="11">
        <f>'Net zero Activity data'!BD5-'Net zero supporting data'!AB38</f>
        <v>38417.863751556608</v>
      </c>
      <c r="AC40" s="11">
        <f>'Net zero Activity data'!BE5-'Net zero supporting data'!AC38</f>
        <v>19389.914667019388</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2">
      <c r="A41" t="s">
        <v>1031</v>
      </c>
      <c r="B41" s="11">
        <f>'Net zero Activity data'!AD10-'Net zero supporting data'!B39</f>
        <v>541460.03376820497</v>
      </c>
      <c r="C41" s="11">
        <f>'Net zero Activity data'!AE10-'Net zero supporting data'!C39</f>
        <v>559717.1030773099</v>
      </c>
      <c r="D41" s="11">
        <f>'Net zero Activity data'!AF10-'Net zero supporting data'!D39</f>
        <v>581386.33409904351</v>
      </c>
      <c r="E41" s="11">
        <f>'Net zero Activity data'!AG10-'Net zero supporting data'!E39</f>
        <v>597546.77075746458</v>
      </c>
      <c r="F41" s="11">
        <f>'Net zero Activity data'!AH10-'Net zero supporting data'!F39</f>
        <v>610009.49754182261</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593382.52815527772</v>
      </c>
      <c r="K41" s="11">
        <f>'Net zero Activity data'!AM10-'Net zero supporting data'!K39</f>
        <v>577527.53317210695</v>
      </c>
      <c r="L41" s="11">
        <f>'Net zero Activity data'!AN10-'Net zero supporting data'!L39</f>
        <v>553750.11743337207</v>
      </c>
      <c r="M41" s="11">
        <f>'Net zero Activity data'!AO10-'Net zero supporting data'!M39</f>
        <v>526036.28814482444</v>
      </c>
      <c r="N41" s="11">
        <f>'Net zero Activity data'!AP10-'Net zero supporting data'!N39</f>
        <v>497295.83273530123</v>
      </c>
      <c r="O41" s="11">
        <f>'Net zero Activity data'!AQ10-'Net zero supporting data'!O39</f>
        <v>464572.81998814002</v>
      </c>
      <c r="P41" s="11">
        <f>'Net zero Activity data'!AR10-'Net zero supporting data'!P39</f>
        <v>427522.93066496536</v>
      </c>
      <c r="Q41" s="11">
        <f>'Net zero Activity data'!AS10-'Net zero supporting data'!Q39</f>
        <v>387128.9805140089</v>
      </c>
      <c r="R41" s="11">
        <f>'Net zero Activity data'!AT10-'Net zero supporting data'!R39</f>
        <v>343313.00644810416</v>
      </c>
      <c r="S41" s="11">
        <f>'Net zero Activity data'!AU10-'Net zero supporting data'!S39</f>
        <v>298255.44413284474</v>
      </c>
      <c r="T41" s="11">
        <f>'Net zero Activity data'!AV10-'Net zero supporting data'!T39</f>
        <v>249587.67963424709</v>
      </c>
      <c r="U41" s="11">
        <f>'Net zero Activity data'!AW10-'Net zero supporting data'!U39</f>
        <v>231918.46807092207</v>
      </c>
      <c r="V41" s="11">
        <f>'Net zero Activity data'!AX10-'Net zero supporting data'!V39</f>
        <v>213779.06607482815</v>
      </c>
      <c r="W41" s="11">
        <f>'Net zero Activity data'!AY10-'Net zero supporting data'!W39</f>
        <v>194283.41180291248</v>
      </c>
      <c r="X41" s="11">
        <f>'Net zero Activity data'!AZ10-'Net zero supporting data'!X39</f>
        <v>173693.53589104814</v>
      </c>
      <c r="Y41" s="11">
        <f>'Net zero Activity data'!BA10-'Net zero supporting data'!Y39</f>
        <v>149687.94516521296</v>
      </c>
      <c r="Z41" s="11">
        <f>'Net zero Activity data'!BB10-'Net zero supporting data'!Z39</f>
        <v>123634.25121392764</v>
      </c>
      <c r="AA41" s="11">
        <f>'Net zero Activity data'!BC10-'Net zero supporting data'!AA39</f>
        <v>95909.02785185026</v>
      </c>
      <c r="AB41" s="11">
        <f>'Net zero Activity data'!BD10-'Net zero supporting data'!AB39</f>
        <v>66029.176278748899</v>
      </c>
      <c r="AC41" s="11">
        <f>'Net zero Activity data'!BE10-'Net zero supporting data'!AC39</f>
        <v>34117.310461559799</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2">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2">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6" x14ac:dyDescent="0.2">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2">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2">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2">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2">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2">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2">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2">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2">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2">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2">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2">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2">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2">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2">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2">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2">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2">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2">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2">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34.332432461379746</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32.472873053740493</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30.486539473828898</v>
      </c>
      <c r="W64">
        <f>'Intermediate calculations'!AT11-('Intermediate calculations'!AT11*W62)</f>
        <v>30.131374674232919</v>
      </c>
      <c r="X64">
        <f>'Intermediate calculations'!AU11-('Intermediate calculations'!AU11*X62)</f>
        <v>29.78559443985402</v>
      </c>
      <c r="Y64">
        <f>'Intermediate calculations'!AV11-('Intermediate calculations'!AV11*Y62)</f>
        <v>29.448710471285555</v>
      </c>
      <c r="Z64">
        <f>'Intermediate calculations'!AW11-('Intermediate calculations'!AW11*Z62)</f>
        <v>29.120272207649716</v>
      </c>
      <c r="AA64">
        <f>'Intermediate calculations'!AX11-('Intermediate calculations'!AX11*AA62)</f>
        <v>28.799863020094541</v>
      </c>
      <c r="AB64">
        <f>'Intermediate calculations'!AY11-('Intermediate calculations'!AY11*AB62)</f>
        <v>28.487096874181876</v>
      </c>
      <c r="AC64">
        <f>'Intermediate calculations'!AZ11-('Intermediate calculations'!AZ11*AC62)</f>
        <v>28.181615393465901</v>
      </c>
      <c r="AD64">
        <f>'Intermediate calculations'!BA11-('Intermediate calculations'!BA11*AD62)</f>
        <v>27.88308526770312</v>
      </c>
      <c r="AE64">
        <f>'Intermediate calculations'!BB11-('Intermediate calculations'!BB11*AE62)</f>
        <v>27.591195958228614</v>
      </c>
      <c r="AF64">
        <f>'Intermediate calculations'!BC11-('Intermediate calculations'!BC11*AF62)</f>
        <v>27.305657660492471</v>
      </c>
      <c r="AG64">
        <f>'Intermediate calculations'!BD11-('Intermediate calculations'!BD11*AG62)</f>
        <v>27.026199489899401</v>
      </c>
      <c r="AH64">
        <f>'Intermediate calculations'!BE11-('Intermediate calculations'!BE11*AH62)</f>
        <v>26.752567862185956</v>
      </c>
      <c r="AI64">
        <f>'Intermediate calculations'!BF11-('Intermediate calculations'!BF11*AI62)</f>
        <v>26.484525043804279</v>
      </c>
      <c r="AJ64">
        <f>'Intermediate calculations'!BG11-('Intermediate calculations'!BG11*AJ62)</f>
        <v>26.221847851318081</v>
      </c>
      <c r="AK64">
        <f>'Intermediate calculations'!BH11-('Intermediate calculations'!BH11*AK62)</f>
        <v>25.964326481781811</v>
      </c>
      <c r="AL64">
        <f>'Intermediate calculations'!BI11-('Intermediate calculations'!BI11*AL62)</f>
        <v>25.71176345857014</v>
      </c>
      <c r="AM64">
        <f>'Intermediate calculations'!BJ11-('Intermediate calculations'!BJ11*AM62)</f>
        <v>25.463972679233411</v>
      </c>
      <c r="AN64">
        <f>'Intermediate calculations'!BK11-('Intermediate calculations'!BK11*AN62)</f>
        <v>25.220778553742353</v>
      </c>
    </row>
    <row r="65" spans="1:40" x14ac:dyDescent="0.2">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2">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2">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2">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2">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2">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2">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23758.711506557862</v>
      </c>
      <c r="L71">
        <f>'Net zero Activity data'!AN5*'Net zero supporting data'!L66</f>
        <v>47553.85472090594</v>
      </c>
      <c r="M71">
        <f>'Net zero Activity data'!AO5*'Net zero supporting data'!M66</f>
        <v>71342.348275461787</v>
      </c>
      <c r="N71">
        <f>'Net zero Activity data'!AP5*'Net zero supporting data'!N66</f>
        <v>95257.890483862298</v>
      </c>
      <c r="O71">
        <f>'Net zero Activity data'!AQ5*'Net zero supporting data'!O66</f>
        <v>119173.93584731306</v>
      </c>
      <c r="P71">
        <f>'Net zero Activity data'!AR5*'Net zero supporting data'!P66</f>
        <v>142900.50290388166</v>
      </c>
      <c r="Q71">
        <f>'Net zero Activity data'!AS5*'Net zero supporting data'!Q66</f>
        <v>166534.93609999976</v>
      </c>
      <c r="R71">
        <f>'Net zero Activity data'!AT5*'Net zero supporting data'!R66</f>
        <v>190022.57149595296</v>
      </c>
      <c r="S71">
        <f>'Net zero Activity data'!AU5*'Net zero supporting data'!S66</f>
        <v>213848.75025003109</v>
      </c>
      <c r="T71">
        <f>'Net zero Activity data'!AV5*'Net zero supporting data'!T66</f>
        <v>237644.05773985438</v>
      </c>
      <c r="U71">
        <f>'Net zero Activity data'!AW5*'Net zero supporting data'!U66</f>
        <v>251397.20025431327</v>
      </c>
      <c r="V71">
        <f>'Net zero Activity data'!AX5*'Net zero supporting data'!V66</f>
        <v>265844.79585382174</v>
      </c>
      <c r="W71">
        <f>'Net zero Activity data'!AY5*'Net zero supporting data'!W66</f>
        <v>280790.38221474603</v>
      </c>
      <c r="X71">
        <f>'Net zero Activity data'!AZ5*'Net zero supporting data'!X66</f>
        <v>296591.1877417615</v>
      </c>
      <c r="Y71">
        <f>'Net zero Activity data'!BA5*'Net zero supporting data'!Y66</f>
        <v>311796.51025450364</v>
      </c>
      <c r="Z71">
        <f>'Net zero Activity data'!BB5*'Net zero supporting data'!Z66</f>
        <v>326970.83369985153</v>
      </c>
      <c r="AA71">
        <f>'Net zero Activity data'!BC5*'Net zero supporting data'!AA66</f>
        <v>342709.7326226313</v>
      </c>
      <c r="AB71">
        <f>'Net zero Activity data'!BD5*'Net zero supporting data'!AB66</f>
        <v>358566.72834786231</v>
      </c>
      <c r="AC71">
        <f>'Net zero Activity data'!BE5*'Net zero supporting data'!AC66</f>
        <v>374871.68356237828</v>
      </c>
      <c r="AD71">
        <f>'Net zero Activity data'!BF5*'Net zero supporting data'!AD66</f>
        <v>391464.92493237794</v>
      </c>
      <c r="AE71">
        <f>'Net zero Activity data'!BG5*'Net zero supporting data'!AE66</f>
        <v>408755.18409939931</v>
      </c>
      <c r="AF71">
        <f>'Net zero Activity data'!BH5*'Net zero supporting data'!AF66</f>
        <v>426129.35589361883</v>
      </c>
      <c r="AG71">
        <f>'Net zero Activity data'!BI5*'Net zero supporting data'!AG66</f>
        <v>443868.19804941741</v>
      </c>
      <c r="AH71">
        <f>'Net zero Activity data'!BJ5*'Net zero supporting data'!AH66</f>
        <v>462060.81611335807</v>
      </c>
      <c r="AI71">
        <f>'Net zero Activity data'!BK5*'Net zero supporting data'!AI66</f>
        <v>480754.88897484285</v>
      </c>
      <c r="AJ71">
        <f>'Net zero Activity data'!BL5*'Net zero supporting data'!AJ66</f>
        <v>500407.6612825765</v>
      </c>
      <c r="AK71">
        <f>'Net zero Activity data'!BM5*'Net zero supporting data'!AK66</f>
        <v>518179.08672637062</v>
      </c>
      <c r="AL71">
        <f>'Net zero Activity data'!BN5*'Net zero supporting data'!AL66</f>
        <v>536031.87793920096</v>
      </c>
      <c r="AM71">
        <f>'Net zero Activity data'!BO5*'Net zero supporting data'!AM66</f>
        <v>554208.4771584894</v>
      </c>
      <c r="AN71">
        <f>'Net zero Activity data'!BP5*'Net zero supporting data'!AN66</f>
        <v>572608.34322343546</v>
      </c>
    </row>
    <row r="72" spans="1:40" x14ac:dyDescent="0.2">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19685.789534005082</v>
      </c>
      <c r="L72">
        <f>'Net zero Activity data'!AN6*'Net zero supporting data'!L67</f>
        <v>39401.765340179198</v>
      </c>
      <c r="M72">
        <f>'Net zero Activity data'!AO6*'Net zero supporting data'!M67</f>
        <v>59112.231428239771</v>
      </c>
      <c r="N72">
        <f>'Net zero Activity data'!AP6*'Net zero supporting data'!N67</f>
        <v>78927.966400914476</v>
      </c>
      <c r="O72">
        <f>'Net zero Activity data'!AQ6*'Net zero supporting data'!O67</f>
        <v>98744.118273487955</v>
      </c>
      <c r="P72">
        <f>'Net zero Activity data'!AR6*'Net zero supporting data'!P67</f>
        <v>118403.27383464479</v>
      </c>
      <c r="Q72">
        <f>'Net zero Activity data'!AS6*'Net zero supporting data'!Q67</f>
        <v>137986.0899114284</v>
      </c>
      <c r="R72">
        <f>'Net zero Activity data'!AT6*'Net zero supporting data'!R67</f>
        <v>157447.27352521816</v>
      </c>
      <c r="S72">
        <f>'Net zero Activity data'!AU6*'Net zero supporting data'!S67</f>
        <v>177188.96449288289</v>
      </c>
      <c r="T72">
        <f>'Net zero Activity data'!AV6*'Net zero supporting data'!T67</f>
        <v>196905.07641302221</v>
      </c>
      <c r="U72">
        <f>'Net zero Activity data'!AW6*'Net zero supporting data'!U67</f>
        <v>208300.53735357386</v>
      </c>
      <c r="V72">
        <f>'Net zero Activity data'!AX6*'Net zero supporting data'!V67</f>
        <v>220271.40227888085</v>
      </c>
      <c r="W72">
        <f>'Net zero Activity data'!AY6*'Net zero supporting data'!W67</f>
        <v>232654.88812078955</v>
      </c>
      <c r="X72">
        <f>'Net zero Activity data'!AZ6*'Net zero supporting data'!X67</f>
        <v>245746.98412888811</v>
      </c>
      <c r="Y72">
        <f>'Net zero Activity data'!BA6*'Net zero supporting data'!Y67</f>
        <v>258345.67992516013</v>
      </c>
      <c r="Z72">
        <f>'Net zero Activity data'!BB6*'Net zero supporting data'!Z67</f>
        <v>270918.69077987695</v>
      </c>
      <c r="AA72">
        <f>'Net zero Activity data'!BC6*'Net zero supporting data'!AA67</f>
        <v>283959.49274446594</v>
      </c>
      <c r="AB72">
        <f>'Net zero Activity data'!BD6*'Net zero supporting data'!AB67</f>
        <v>297098.14634537161</v>
      </c>
      <c r="AC72">
        <f>'Net zero Activity data'!BE6*'Net zero supporting data'!AC67</f>
        <v>310607.96638025629</v>
      </c>
      <c r="AD72">
        <f>'Net zero Activity data'!BF6*'Net zero supporting data'!AD67</f>
        <v>324356.65208682744</v>
      </c>
      <c r="AE72">
        <f>'Net zero Activity data'!BG6*'Net zero supporting data'!AE67</f>
        <v>338682.86682521657</v>
      </c>
      <c r="AF72">
        <f>'Net zero Activity data'!BH6*'Net zero supporting data'!AF67</f>
        <v>353078.60916899843</v>
      </c>
      <c r="AG72">
        <f>'Net zero Activity data'!BI6*'Net zero supporting data'!AG67</f>
        <v>367776.50695523154</v>
      </c>
      <c r="AH72">
        <f>'Net zero Activity data'!BJ6*'Net zero supporting data'!AH67</f>
        <v>382850.39049392525</v>
      </c>
      <c r="AI72">
        <f>'Net zero Activity data'!BK6*'Net zero supporting data'!AI67</f>
        <v>398339.76515058405</v>
      </c>
      <c r="AJ72">
        <f>'Net zero Activity data'!BL6*'Net zero supporting data'!AJ67</f>
        <v>414623.49077699194</v>
      </c>
      <c r="AK72">
        <f>'Net zero Activity data'!BM6*'Net zero supporting data'!AK67</f>
        <v>429348.38614470704</v>
      </c>
      <c r="AL72">
        <f>'Net zero Activity data'!BN6*'Net zero supporting data'!AL67</f>
        <v>444140.69886390935</v>
      </c>
      <c r="AM72">
        <f>'Net zero Activity data'!BO6*'Net zero supporting data'!AM67</f>
        <v>459201.30964560556</v>
      </c>
      <c r="AN72">
        <f>'Net zero Activity data'!BP6*'Net zero supporting data'!AN67</f>
        <v>474446.91295656079</v>
      </c>
    </row>
    <row r="73" spans="1:40" x14ac:dyDescent="0.2">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24437.531835316662</v>
      </c>
      <c r="L73">
        <f>'Net zero Activity data'!AN7*'Net zero supporting data'!L68</f>
        <v>48912.536284360402</v>
      </c>
      <c r="M73">
        <f>'Net zero Activity data'!AO7*'Net zero supporting data'!M68</f>
        <v>73380.70108333214</v>
      </c>
      <c r="N73">
        <f>'Net zero Activity data'!AP7*'Net zero supporting data'!N68</f>
        <v>97979.544497686962</v>
      </c>
      <c r="O73">
        <f>'Net zero Activity data'!AQ7*'Net zero supporting data'!O68</f>
        <v>122578.90544295061</v>
      </c>
      <c r="P73">
        <f>'Net zero Activity data'!AR7*'Net zero supporting data'!P68</f>
        <v>146983.37441542116</v>
      </c>
      <c r="Q73">
        <f>'Net zero Activity data'!AS7*'Net zero supporting data'!Q68</f>
        <v>171293.07713142838</v>
      </c>
      <c r="R73">
        <f>'Net zero Activity data'!AT7*'Net zero supporting data'!R68</f>
        <v>195451.78782440876</v>
      </c>
      <c r="S73">
        <f>'Net zero Activity data'!AU7*'Net zero supporting data'!S68</f>
        <v>219958.71454288915</v>
      </c>
      <c r="T73">
        <f>'Net zero Activity data'!AV7*'Net zero supporting data'!T68</f>
        <v>244433.88796099313</v>
      </c>
      <c r="U73">
        <f>'Net zero Activity data'!AW7*'Net zero supporting data'!U68</f>
        <v>258579.97740443653</v>
      </c>
      <c r="V73">
        <f>'Net zero Activity data'!AX7*'Net zero supporting data'!V68</f>
        <v>273440.36144964525</v>
      </c>
      <c r="W73">
        <f>'Net zero Activity data'!AY7*'Net zero supporting data'!W68</f>
        <v>288812.96456373879</v>
      </c>
      <c r="X73">
        <f>'Net zero Activity data'!AZ7*'Net zero supporting data'!X68</f>
        <v>305065.22167724045</v>
      </c>
      <c r="Y73">
        <f>'Net zero Activity data'!BA7*'Net zero supporting data'!Y68</f>
        <v>320704.9819760609</v>
      </c>
      <c r="Z73">
        <f>'Net zero Activity data'!BB7*'Net zero supporting data'!Z68</f>
        <v>336312.85751984734</v>
      </c>
      <c r="AA73">
        <f>'Net zero Activity data'!BC7*'Net zero supporting data'!AA68</f>
        <v>352501.43926899228</v>
      </c>
      <c r="AB73">
        <f>'Net zero Activity data'!BD7*'Net zero supporting data'!AB68</f>
        <v>368811.49201494409</v>
      </c>
      <c r="AC73">
        <f>'Net zero Activity data'!BE7*'Net zero supporting data'!AC68</f>
        <v>385582.30309273198</v>
      </c>
      <c r="AD73">
        <f>'Net zero Activity data'!BF7*'Net zero supporting data'!AD68</f>
        <v>402649.63707330311</v>
      </c>
      <c r="AE73">
        <f>'Net zero Activity data'!BG7*'Net zero supporting data'!AE68</f>
        <v>420433.90364509646</v>
      </c>
      <c r="AF73">
        <f>'Net zero Activity data'!BH7*'Net zero supporting data'!AF68</f>
        <v>438304.48034772224</v>
      </c>
      <c r="AG73">
        <f>'Net zero Activity data'!BI7*'Net zero supporting data'!AG68</f>
        <v>456550.14656511508</v>
      </c>
      <c r="AH73">
        <f>'Net zero Activity data'!BJ7*'Net zero supporting data'!AH68</f>
        <v>475262.55371659697</v>
      </c>
      <c r="AI73">
        <f>'Net zero Activity data'!BK7*'Net zero supporting data'!AI68</f>
        <v>494490.74294555269</v>
      </c>
      <c r="AJ73">
        <f>'Net zero Activity data'!BL7*'Net zero supporting data'!AJ68</f>
        <v>514705.02303350734</v>
      </c>
      <c r="AK73">
        <f>'Net zero Activity data'!BM7*'Net zero supporting data'!AK68</f>
        <v>532984.20348998124</v>
      </c>
      <c r="AL73">
        <f>'Net zero Activity data'!BN7*'Net zero supporting data'!AL68</f>
        <v>551347.07445174968</v>
      </c>
      <c r="AM73">
        <f>'Net zero Activity data'!BO7*'Net zero supporting data'!AM68</f>
        <v>570043.0050773035</v>
      </c>
      <c r="AN73">
        <f>'Net zero Activity data'!BP7*'Net zero supporting data'!AN68</f>
        <v>588968.58160124801</v>
      </c>
    </row>
    <row r="74" spans="1:40" x14ac:dyDescent="0.2">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190862.8908218068</v>
      </c>
      <c r="L74">
        <f>'Net zero Activity data'!AN8*'Net zero supporting data'!L69</f>
        <v>382447.09669593745</v>
      </c>
      <c r="M74">
        <f>'Net zero Activity data'!AO8*'Net zero supporting data'!M69</f>
        <v>573358.50238898455</v>
      </c>
      <c r="N74">
        <f>'Net zero Activity data'!AP8*'Net zero supporting data'!N69</f>
        <v>766538.23720142071</v>
      </c>
      <c r="O74">
        <f>'Net zero Activity data'!AQ8*'Net zero supporting data'!O69</f>
        <v>958630.9012908357</v>
      </c>
      <c r="P74">
        <f>'Net zero Activity data'!AR8*'Net zero supporting data'!P69</f>
        <v>1147197.0198964106</v>
      </c>
      <c r="Q74">
        <f>'Net zero Activity data'!AS8*'Net zero supporting data'!Q69</f>
        <v>1332936.5291162387</v>
      </c>
      <c r="R74">
        <f>'Net zero Activity data'!AT8*'Net zero supporting data'!R69</f>
        <v>1514510.5814032967</v>
      </c>
      <c r="S74">
        <f>'Net zero Activity data'!AU8*'Net zero supporting data'!S69</f>
        <v>1702682.1755033804</v>
      </c>
      <c r="T74">
        <f>'Net zero Activity data'!AV8*'Net zero supporting data'!T69</f>
        <v>1888860.9784343038</v>
      </c>
      <c r="U74">
        <f>'Net zero Activity data'!AW8*'Net zero supporting data'!U69</f>
        <v>1980789.52757741</v>
      </c>
      <c r="V74">
        <f>'Net zero Activity data'!AX8*'Net zero supporting data'!V69</f>
        <v>2081493.5868196045</v>
      </c>
      <c r="W74">
        <f>'Net zero Activity data'!AY8*'Net zero supporting data'!W69</f>
        <v>2186031.4851857862</v>
      </c>
      <c r="X74">
        <f>'Net zero Activity data'!AZ8*'Net zero supporting data'!X69</f>
        <v>2300923.0387184229</v>
      </c>
      <c r="Y74">
        <f>'Net zero Activity data'!BA8*'Net zero supporting data'!Y69</f>
        <v>2396778.6329853176</v>
      </c>
      <c r="Z74">
        <f>'Net zero Activity data'!BB8*'Net zero supporting data'!Z69</f>
        <v>2488125.3267143015</v>
      </c>
      <c r="AA74">
        <f>'Net zero Activity data'!BC8*'Net zero supporting data'!AA69</f>
        <v>2583441.682347334</v>
      </c>
      <c r="AB74">
        <f>'Net zero Activity data'!BD8*'Net zero supporting data'!AB69</f>
        <v>2673965.9248326877</v>
      </c>
      <c r="AC74">
        <f>'Net zero Activity data'!BE8*'Net zero supporting data'!AC69</f>
        <v>2765475.2138767359</v>
      </c>
      <c r="AD74">
        <f>'Net zero Activity data'!BF8*'Net zero supporting data'!AD69</f>
        <v>2854729.968991424</v>
      </c>
      <c r="AE74">
        <f>'Net zero Activity data'!BG8*'Net zero supporting data'!AE69</f>
        <v>2966135.5861055306</v>
      </c>
      <c r="AF74">
        <f>'Net zero Activity data'!BH8*'Net zero supporting data'!AF69</f>
        <v>3072669.5399006899</v>
      </c>
      <c r="AG74">
        <f>'Net zero Activity data'!BI8*'Net zero supporting data'!AG69</f>
        <v>3178880.508306758</v>
      </c>
      <c r="AH74">
        <f>'Net zero Activity data'!BJ8*'Net zero supporting data'!AH69</f>
        <v>3285898.9964612601</v>
      </c>
      <c r="AI74">
        <f>'Net zero Activity data'!BK8*'Net zero supporting data'!AI69</f>
        <v>3394100.3146470855</v>
      </c>
      <c r="AJ74">
        <f>'Net zero Activity data'!BL8*'Net zero supporting data'!AJ69</f>
        <v>3512919.832670535</v>
      </c>
      <c r="AK74">
        <f>'Net zero Activity data'!BM8*'Net zero supporting data'!AK69</f>
        <v>3596457.1247786265</v>
      </c>
      <c r="AL74">
        <f>'Net zero Activity data'!BN8*'Net zero supporting data'!AL69</f>
        <v>3675167.5894609308</v>
      </c>
      <c r="AM74">
        <f>'Net zero Activity data'!BO8*'Net zero supporting data'!AM69</f>
        <v>3752497.0723439693</v>
      </c>
      <c r="AN74">
        <f>'Net zero Activity data'!BP8*'Net zero supporting data'!AN69</f>
        <v>3826817.7527658138</v>
      </c>
    </row>
    <row r="75" spans="1:40" x14ac:dyDescent="0.2">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24839.893899875569</v>
      </c>
      <c r="L75">
        <f>'Net zero Activity data'!AN10*'Net zero supporting data'!L70</f>
        <v>51511.638831011354</v>
      </c>
      <c r="M75">
        <f>'Net zero Activity data'!AO10*'Net zero supporting data'!M70</f>
        <v>79904.246300479659</v>
      </c>
      <c r="N75">
        <f>'Net zero Activity data'!AP10*'Net zero supporting data'!N70</f>
        <v>110510.18505228916</v>
      </c>
      <c r="O75">
        <f>'Net zero Activity data'!AQ10*'Net zero supporting data'!O70</f>
        <v>142945.48307327388</v>
      </c>
      <c r="P75">
        <f>'Net zero Activity data'!AR10*'Net zero supporting data'!P70</f>
        <v>176906.0402751581</v>
      </c>
      <c r="Q75">
        <f>'Net zero Activity data'!AS10*'Net zero supporting data'!Q70</f>
        <v>212541.40106651469</v>
      </c>
      <c r="R75">
        <f>'Net zero Activity data'!AT10*'Net zero supporting data'!R70</f>
        <v>249682.18650771209</v>
      </c>
      <c r="S75">
        <f>'Net zero Activity data'!AU10*'Net zero supporting data'!S70</f>
        <v>290194.4861833083</v>
      </c>
      <c r="T75">
        <f>'Net zero Activity data'!AV10*'Net zero supporting data'!T70</f>
        <v>332783.57284566283</v>
      </c>
      <c r="U75">
        <f>'Net zero Activity data'!AW10*'Net zero supporting data'!U70</f>
        <v>360762.06144365645</v>
      </c>
      <c r="V75">
        <f>'Net zero Activity data'!AX10*'Net zero supporting data'!V70</f>
        <v>391928.28780385177</v>
      </c>
      <c r="W75">
        <f>'Net zero Activity data'!AY10*'Net zero supporting data'!W70</f>
        <v>425573.18775876088</v>
      </c>
      <c r="X75">
        <f>'Net zero Activity data'!AZ10*'Net zero supporting data'!X70</f>
        <v>463182.76237612852</v>
      </c>
      <c r="Y75">
        <f>'Net zero Activity data'!BA10*'Net zero supporting data'!Y70</f>
        <v>498959.81721737696</v>
      </c>
      <c r="Z75">
        <f>'Net zero Activity data'!BB10*'Net zero supporting data'!Z70</f>
        <v>535748.4219270203</v>
      </c>
      <c r="AA75">
        <f>'Net zero Activity data'!BC10*'Net zero supporting data'!AA70</f>
        <v>575454.16711110238</v>
      </c>
      <c r="AB75">
        <f>'Net zero Activity data'!BD10*'Net zero supporting data'!AB70</f>
        <v>616272.31193499116</v>
      </c>
      <c r="AC75">
        <f>'Net zero Activity data'!BE10*'Net zero supporting data'!AC70</f>
        <v>659601.33559016278</v>
      </c>
      <c r="AD75">
        <f>'Net zero Activity data'!BF10*'Net zero supporting data'!AD70</f>
        <v>704808.54214068281</v>
      </c>
      <c r="AE75">
        <f>'Net zero Activity data'!BG10*'Net zero supporting data'!AE70</f>
        <v>753441.58828258747</v>
      </c>
      <c r="AF75">
        <f>'Net zero Activity data'!BH10*'Net zero supporting data'!AF70</f>
        <v>803100.26976559497</v>
      </c>
      <c r="AG75">
        <f>'Net zero Activity data'!BI10*'Net zero supporting data'!AG70</f>
        <v>855010.97517961555</v>
      </c>
      <c r="AH75">
        <f>'Net zero Activity data'!BJ10*'Net zero supporting data'!AH70</f>
        <v>909596.75650896668</v>
      </c>
      <c r="AI75">
        <f>'Net zero Activity data'!BK10*'Net zero supporting data'!AI70</f>
        <v>967109.48903818312</v>
      </c>
      <c r="AJ75">
        <f>'Net zero Activity data'!BL10*'Net zero supporting data'!AJ70</f>
        <v>1030481.1347217348</v>
      </c>
      <c r="AK75">
        <f>'Net zero Activity data'!BM10*'Net zero supporting data'!AK70</f>
        <v>1086269.6699388977</v>
      </c>
      <c r="AL75">
        <f>'Net zero Activity data'!BN10*'Net zero supporting data'!AL70</f>
        <v>1143159.0532245087</v>
      </c>
      <c r="AM75">
        <f>'Net zero Activity data'!BO10*'Net zero supporting data'!AM70</f>
        <v>1202259.4084829525</v>
      </c>
      <c r="AN75">
        <f>'Net zero Activity data'!BP10*'Net zero supporting data'!AN70</f>
        <v>1263139.7237347201</v>
      </c>
    </row>
    <row r="76" spans="1:40" x14ac:dyDescent="0.2">
      <c r="A76" t="s">
        <v>1030</v>
      </c>
      <c r="B76" s="11">
        <f>'Net zero Activity data'!AD5-'Net zero supporting data'!B71</f>
        <v>590059.9281599375</v>
      </c>
      <c r="C76" s="11">
        <f>'Net zero Activity data'!AE5-'Net zero supporting data'!C71</f>
        <v>593358.66490468499</v>
      </c>
      <c r="D76" s="11">
        <f>'Net zero Activity data'!AF5-'Net zero supporting data'!D71</f>
        <v>598039.0074127327</v>
      </c>
      <c r="E76" s="11">
        <f>'Net zero Activity data'!AG5-'Net zero supporting data'!E71</f>
        <v>601046.62603335571</v>
      </c>
      <c r="F76" s="11">
        <f>'Net zero Activity data'!AH5-'Net zero supporting data'!F71</f>
        <v>603045.20236245112</v>
      </c>
      <c r="G76" s="11">
        <f>'Net zero Activity data'!AI5-'Net zero supporting data'!G71</f>
        <v>604015.06594627816</v>
      </c>
      <c r="H76" s="11">
        <f>'Net zero Activity data'!AJ5-'Net zero supporting data'!H71</f>
        <v>606157.85554919671</v>
      </c>
      <c r="I76" s="11">
        <f>'Net zero Activity data'!AK5-'Net zero supporting data'!I71</f>
        <v>608615.99513645703</v>
      </c>
      <c r="J76" s="11">
        <f>'Net zero Activity data'!AL5-'Net zero supporting data'!J71</f>
        <v>591954.99978317763</v>
      </c>
      <c r="K76" s="11">
        <f>'Net zero Activity data'!AM5-'Net zero supporting data'!K71</f>
        <v>570209.07615738863</v>
      </c>
      <c r="L76" s="11">
        <f>'Net zero Activity data'!AN5-'Net zero supporting data'!L71</f>
        <v>546869.3292904183</v>
      </c>
      <c r="M76" s="11">
        <f>'Net zero Activity data'!AO5-'Net zero supporting data'!M71</f>
        <v>523177.22068671975</v>
      </c>
      <c r="N76" s="11">
        <f>'Net zero Activity data'!AP5-'Net zero supporting data'!N71</f>
        <v>500103.92504027701</v>
      </c>
      <c r="O76" s="11">
        <f>'Net zero Activity data'!AQ5-'Net zero supporting data'!O71</f>
        <v>476695.74338925222</v>
      </c>
      <c r="P76" s="11">
        <f>'Net zero Activity data'!AR5-'Net zero supporting data'!P71</f>
        <v>452518.25919562514</v>
      </c>
      <c r="Q76" s="11">
        <f>'Net zero Activity data'!AS5-'Net zero supporting data'!Q71</f>
        <v>428232.69282857078</v>
      </c>
      <c r="R76" s="11">
        <f>'Net zero Activity data'!AT5-'Net zero supporting data'!R71</f>
        <v>403797.96442889998</v>
      </c>
      <c r="S76" s="11">
        <f>'Net zero Activity data'!AU5-'Net zero supporting data'!S71</f>
        <v>380175.55600005528</v>
      </c>
      <c r="T76" s="11">
        <f>'Net zero Activity data'!AV5-'Net zero supporting data'!T71</f>
        <v>356466.08660978155</v>
      </c>
      <c r="U76" s="11">
        <f>'Net zero Activity data'!AW5-'Net zero supporting data'!U71</f>
        <v>347167.56225595635</v>
      </c>
      <c r="V76" s="11">
        <f>'Net zero Activity data'!AX5-'Net zero supporting data'!V71</f>
        <v>338347.92199577304</v>
      </c>
      <c r="W76" s="11">
        <f>'Net zero Activity data'!AY5-'Net zero supporting data'!W71</f>
        <v>329623.49216513656</v>
      </c>
      <c r="X76" s="11">
        <f>'Net zero Activity data'!AZ5-'Net zero supporting data'!X71</f>
        <v>321307.12005357485</v>
      </c>
      <c r="Y76" s="11">
        <f>'Net zero Activity data'!BA5-'Net zero supporting data'!Y71</f>
        <v>311796.51025450352</v>
      </c>
      <c r="Z76" s="11">
        <f>'Net zero Activity data'!BB5-'Net zero supporting data'!Z71</f>
        <v>301819.2311075551</v>
      </c>
      <c r="AA76" s="11">
        <f>'Net zero Activity data'!BC5-'Net zero supporting data'!AA71</f>
        <v>291937.92038224131</v>
      </c>
      <c r="AB76" s="11">
        <f>'Net zero Activity data'!BD5-'Net zero supporting data'!AB71</f>
        <v>281731.00084474875</v>
      </c>
      <c r="AC76" s="11">
        <f>'Net zero Activity data'!BE5-'Net zero supporting data'!AC71</f>
        <v>271458.80533827376</v>
      </c>
      <c r="AD76" s="11">
        <f>'Net zero Activity data'!BF5-'Net zero supporting data'!AD71</f>
        <v>260976.61662158527</v>
      </c>
      <c r="AE76" s="11">
        <f>'Net zero Activity data'!BG5-'Net zero supporting data'!AE71</f>
        <v>250527.37089963182</v>
      </c>
      <c r="AF76" s="11">
        <f>'Net zero Activity data'!BH5-'Net zero supporting data'!AF71</f>
        <v>239697.7626901606</v>
      </c>
      <c r="AG76" s="11">
        <f>'Net zero Activity data'!BI5-'Net zero supporting data'!AG71</f>
        <v>228659.37475273019</v>
      </c>
      <c r="AH76" s="11">
        <f>'Net zero Activity data'!BJ5-'Net zero supporting data'!AH71</f>
        <v>217440.3840533449</v>
      </c>
      <c r="AI76" s="11">
        <f>'Net zero Activity data'!BK5-'Net zero supporting data'!AI71</f>
        <v>206037.80956064689</v>
      </c>
      <c r="AJ76" s="11">
        <f>'Net zero Activity data'!BL5-'Net zero supporting data'!AJ71</f>
        <v>194602.97938766854</v>
      </c>
      <c r="AK76" s="11">
        <f>'Net zero Activity data'!BM5-'Net zero supporting data'!AK71</f>
        <v>182062.92236331932</v>
      </c>
      <c r="AL76" s="11">
        <f>'Net zero Activity data'!BN5-'Net zero supporting data'!AL71</f>
        <v>169273.2246123791</v>
      </c>
      <c r="AM76" s="11">
        <f>'Net zero Activity data'!BO5-'Net zero supporting data'!AM71</f>
        <v>156315.21150624054</v>
      </c>
      <c r="AN76" s="11">
        <f>'Net zero Activity data'!BP5-'Net zero supporting data'!AN71</f>
        <v>143152.08580585883</v>
      </c>
    </row>
    <row r="77" spans="1:40" x14ac:dyDescent="0.2">
      <c r="A77" t="s">
        <v>1111</v>
      </c>
      <c r="B77" s="11">
        <f>'Net zero Activity data'!AD6-'Net zero supporting data'!B72</f>
        <v>488906.79761823389</v>
      </c>
      <c r="C77" s="11">
        <f>'Net zero Activity data'!AE6-'Net zero supporting data'!C72</f>
        <v>491640.03663531045</v>
      </c>
      <c r="D77" s="11">
        <f>'Net zero Activity data'!AF6-'Net zero supporting data'!D72</f>
        <v>495518.03471340711</v>
      </c>
      <c r="E77" s="11">
        <f>'Net zero Activity data'!AG6-'Net zero supporting data'!E72</f>
        <v>498010.06157049473</v>
      </c>
      <c r="F77" s="11">
        <f>'Net zero Activity data'!AH6-'Net zero supporting data'!F72</f>
        <v>499666.02481460234</v>
      </c>
      <c r="G77" s="11">
        <f>'Net zero Activity data'!AI6-'Net zero supporting data'!G72</f>
        <v>500469.62606977334</v>
      </c>
      <c r="H77" s="11">
        <f>'Net zero Activity data'!AJ6-'Net zero supporting data'!H72</f>
        <v>502245.08031219151</v>
      </c>
      <c r="I77" s="11">
        <f>'Net zero Activity data'!AK6-'Net zero supporting data'!I72</f>
        <v>504281.82454163581</v>
      </c>
      <c r="J77" s="11">
        <f>'Net zero Activity data'!AL6-'Net zero supporting data'!J72</f>
        <v>490476.99982034724</v>
      </c>
      <c r="K77" s="11">
        <f>'Net zero Activity data'!AM6-'Net zero supporting data'!K72</f>
        <v>472458.94881612196</v>
      </c>
      <c r="L77" s="11">
        <f>'Net zero Activity data'!AN6-'Net zero supporting data'!L72</f>
        <v>453120.3014120608</v>
      </c>
      <c r="M77" s="11">
        <f>'Net zero Activity data'!AO6-'Net zero supporting data'!M72</f>
        <v>433489.69714042498</v>
      </c>
      <c r="N77" s="11">
        <f>'Net zero Activity data'!AP6-'Net zero supporting data'!N72</f>
        <v>414371.82360480097</v>
      </c>
      <c r="O77" s="11">
        <f>'Net zero Activity data'!AQ6-'Net zero supporting data'!O72</f>
        <v>394976.47309395182</v>
      </c>
      <c r="P77" s="11">
        <f>'Net zero Activity data'!AR6-'Net zero supporting data'!P72</f>
        <v>374943.70047637518</v>
      </c>
      <c r="Q77" s="11">
        <f>'Net zero Activity data'!AS6-'Net zero supporting data'!Q72</f>
        <v>354821.37405795866</v>
      </c>
      <c r="R77" s="11">
        <f>'Net zero Activity data'!AT6-'Net zero supporting data'!R72</f>
        <v>334575.45624108857</v>
      </c>
      <c r="S77" s="11">
        <f>'Net zero Activity data'!AU6-'Net zero supporting data'!S72</f>
        <v>315002.60354290297</v>
      </c>
      <c r="T77" s="11">
        <f>'Net zero Activity data'!AV6-'Net zero supporting data'!T72</f>
        <v>295357.6146195333</v>
      </c>
      <c r="U77" s="11">
        <f>'Net zero Activity data'!AW6-'Net zero supporting data'!U72</f>
        <v>287653.12301207811</v>
      </c>
      <c r="V77" s="11">
        <f>'Net zero Activity data'!AX6-'Net zero supporting data'!V72</f>
        <v>280345.42108221189</v>
      </c>
      <c r="W77" s="11">
        <f>'Net zero Activity data'!AY6-'Net zero supporting data'!W72</f>
        <v>273116.60779397027</v>
      </c>
      <c r="X77" s="11">
        <f>'Net zero Activity data'!AZ6-'Net zero supporting data'!X72</f>
        <v>266225.89947296202</v>
      </c>
      <c r="Y77" s="11">
        <f>'Net zero Activity data'!BA6-'Net zero supporting data'!Y72</f>
        <v>258345.67992516002</v>
      </c>
      <c r="Z77" s="11">
        <f>'Net zero Activity data'!BB6-'Net zero supporting data'!Z72</f>
        <v>250078.79148911708</v>
      </c>
      <c r="AA77" s="11">
        <f>'Net zero Activity data'!BC6-'Net zero supporting data'!AA72</f>
        <v>241891.41974528565</v>
      </c>
      <c r="AB77" s="11">
        <f>'Net zero Activity data'!BD6-'Net zero supporting data'!AB72</f>
        <v>233434.25784279185</v>
      </c>
      <c r="AC77" s="11">
        <f>'Net zero Activity data'!BE6-'Net zero supporting data'!AC72</f>
        <v>224923.01013742684</v>
      </c>
      <c r="AD77" s="11">
        <f>'Net zero Activity data'!BF6-'Net zero supporting data'!AD72</f>
        <v>216237.768057885</v>
      </c>
      <c r="AE77" s="11">
        <f>'Net zero Activity data'!BG6-'Net zero supporting data'!AE72</f>
        <v>207579.82160255208</v>
      </c>
      <c r="AF77" s="11">
        <f>'Net zero Activity data'!BH6-'Net zero supporting data'!AF72</f>
        <v>198606.71765756165</v>
      </c>
      <c r="AG77" s="11">
        <f>'Net zero Activity data'!BI6-'Net zero supporting data'!AG72</f>
        <v>189460.62479511928</v>
      </c>
      <c r="AH77" s="11">
        <f>'Net zero Activity data'!BJ6-'Net zero supporting data'!AH72</f>
        <v>180164.88964420004</v>
      </c>
      <c r="AI77" s="11">
        <f>'Net zero Activity data'!BK6-'Net zero supporting data'!AI72</f>
        <v>170717.0422073931</v>
      </c>
      <c r="AJ77" s="11">
        <f>'Net zero Activity data'!BL6-'Net zero supporting data'!AJ72</f>
        <v>161242.4686354968</v>
      </c>
      <c r="AK77" s="11">
        <f>'Net zero Activity data'!BM6-'Net zero supporting data'!AK72</f>
        <v>150852.13567246456</v>
      </c>
      <c r="AL77" s="11">
        <f>'Net zero Activity data'!BN6-'Net zero supporting data'!AL72</f>
        <v>140254.95753597131</v>
      </c>
      <c r="AM77" s="11">
        <f>'Net zero Activity data'!BO6-'Net zero supporting data'!AM72</f>
        <v>129518.31810517068</v>
      </c>
      <c r="AN77" s="11">
        <f>'Net zero Activity data'!BP6-'Net zero supporting data'!AN72</f>
        <v>118611.72823914018</v>
      </c>
    </row>
    <row r="78" spans="1:40" x14ac:dyDescent="0.2">
      <c r="A78" t="s">
        <v>1112</v>
      </c>
      <c r="B78" s="11">
        <f>'Net zero Activity data'!AD7-'Net zero supporting data'!B73</f>
        <v>606918.78325022152</v>
      </c>
      <c r="C78" s="11">
        <f>'Net zero Activity data'!AE7-'Net zero supporting data'!C73</f>
        <v>610311.7696162475</v>
      </c>
      <c r="D78" s="11">
        <f>'Net zero Activity data'!AF7-'Net zero supporting data'!D73</f>
        <v>615125.83619595377</v>
      </c>
      <c r="E78" s="11">
        <f>'Net zero Activity data'!AG7-'Net zero supporting data'!E73</f>
        <v>618219.38677716604</v>
      </c>
      <c r="F78" s="11">
        <f>'Net zero Activity data'!AH7-'Net zero supporting data'!F73</f>
        <v>620275.0652870927</v>
      </c>
      <c r="G78" s="11">
        <f>'Net zero Activity data'!AI7-'Net zero supporting data'!G73</f>
        <v>621272.63925902906</v>
      </c>
      <c r="H78" s="11">
        <f>'Net zero Activity data'!AJ7-'Net zero supporting data'!H73</f>
        <v>623476.65142203099</v>
      </c>
      <c r="I78" s="11">
        <f>'Net zero Activity data'!AK7-'Net zero supporting data'!I73</f>
        <v>626005.02356892731</v>
      </c>
      <c r="J78" s="11">
        <f>'Net zero Activity data'!AL7-'Net zero supporting data'!J73</f>
        <v>608867.99977698282</v>
      </c>
      <c r="K78" s="11">
        <f>'Net zero Activity data'!AM7-'Net zero supporting data'!K73</f>
        <v>586500.76404759986</v>
      </c>
      <c r="L78" s="11">
        <f>'Net zero Activity data'!AN7-'Net zero supporting data'!L73</f>
        <v>562494.16727014456</v>
      </c>
      <c r="M78" s="11">
        <f>'Net zero Activity data'!AO7-'Net zero supporting data'!M73</f>
        <v>538125.141277769</v>
      </c>
      <c r="N78" s="11">
        <f>'Net zero Activity data'!AP7-'Net zero supporting data'!N73</f>
        <v>514392.60861285654</v>
      </c>
      <c r="O78" s="11">
        <f>'Net zero Activity data'!AQ7-'Net zero supporting data'!O73</f>
        <v>490315.62177180237</v>
      </c>
      <c r="P78" s="11">
        <f>'Net zero Activity data'!AR7-'Net zero supporting data'!P73</f>
        <v>465447.35231550026</v>
      </c>
      <c r="Q78" s="11">
        <f>'Net zero Activity data'!AS7-'Net zero supporting data'!Q73</f>
        <v>440467.91262367286</v>
      </c>
      <c r="R78" s="11">
        <f>'Net zero Activity data'!AT7-'Net zero supporting data'!R73</f>
        <v>415335.0491268686</v>
      </c>
      <c r="S78" s="11">
        <f>'Net zero Activity data'!AU7-'Net zero supporting data'!S73</f>
        <v>391037.71474291408</v>
      </c>
      <c r="T78" s="11">
        <f>'Net zero Activity data'!AV7-'Net zero supporting data'!T73</f>
        <v>366650.83194148971</v>
      </c>
      <c r="U78" s="11">
        <f>'Net zero Activity data'!AW7-'Net zero supporting data'!U73</f>
        <v>357086.63546326943</v>
      </c>
      <c r="V78" s="11">
        <f>'Net zero Activity data'!AX7-'Net zero supporting data'!V73</f>
        <v>348015.00548136665</v>
      </c>
      <c r="W78" s="11">
        <f>'Net zero Activity data'!AY7-'Net zero supporting data'!W73</f>
        <v>339041.30622699764</v>
      </c>
      <c r="X78" s="11">
        <f>'Net zero Activity data'!AZ7-'Net zero supporting data'!X73</f>
        <v>330487.323483677</v>
      </c>
      <c r="Y78" s="11">
        <f>'Net zero Activity data'!BA7-'Net zero supporting data'!Y73</f>
        <v>320704.98197606078</v>
      </c>
      <c r="Z78" s="11">
        <f>'Net zero Activity data'!BB7-'Net zero supporting data'!Z73</f>
        <v>310442.6377106281</v>
      </c>
      <c r="AA78" s="11">
        <f>'Net zero Activity data'!BC7-'Net zero supporting data'!AA73</f>
        <v>300279.00382173399</v>
      </c>
      <c r="AB78" s="11">
        <f>'Net zero Activity data'!BD7-'Net zero supporting data'!AB73</f>
        <v>289780.45801174163</v>
      </c>
      <c r="AC78" s="11">
        <f>'Net zero Activity data'!BE7-'Net zero supporting data'!AC73</f>
        <v>279214.7712050816</v>
      </c>
      <c r="AD78" s="11">
        <f>'Net zero Activity data'!BF7-'Net zero supporting data'!AD73</f>
        <v>268433.09138220211</v>
      </c>
      <c r="AE78" s="11">
        <f>'Net zero Activity data'!BG7-'Net zero supporting data'!AE73</f>
        <v>257685.29578247853</v>
      </c>
      <c r="AF78" s="11">
        <f>'Net zero Activity data'!BH7-'Net zero supporting data'!AF73</f>
        <v>246546.27019559377</v>
      </c>
      <c r="AG78" s="11">
        <f>'Net zero Activity data'!BI7-'Net zero supporting data'!AG73</f>
        <v>235192.49974566535</v>
      </c>
      <c r="AH78" s="11">
        <f>'Net zero Activity data'!BJ7-'Net zero supporting data'!AH73</f>
        <v>223652.96645486908</v>
      </c>
      <c r="AI78" s="11">
        <f>'Net zero Activity data'!BK7-'Net zero supporting data'!AI73</f>
        <v>211924.6041195225</v>
      </c>
      <c r="AJ78" s="11">
        <f>'Net zero Activity data'!BL7-'Net zero supporting data'!AJ73</f>
        <v>200163.06451303052</v>
      </c>
      <c r="AK78" s="11">
        <f>'Net zero Activity data'!BM7-'Net zero supporting data'!AK73</f>
        <v>187264.72014512843</v>
      </c>
      <c r="AL78" s="11">
        <f>'Net zero Activity data'!BN7-'Net zero supporting data'!AL73</f>
        <v>174109.6024584471</v>
      </c>
      <c r="AM78" s="11">
        <f>'Net zero Activity data'!BO7-'Net zero supporting data'!AM73</f>
        <v>160781.3604064188</v>
      </c>
      <c r="AN78" s="11">
        <f>'Net zero Activity data'!BP7-'Net zero supporting data'!AN73</f>
        <v>147242.14540031191</v>
      </c>
    </row>
    <row r="79" spans="1:40" x14ac:dyDescent="0.2">
      <c r="A79" t="s">
        <v>1354</v>
      </c>
      <c r="B79" s="11">
        <f>'Net zero Activity data'!AD8-'Net zero supporting data'!B74</f>
        <v>5954880.1627134737</v>
      </c>
      <c r="C79" s="11">
        <f>'Net zero Activity data'!AE8-'Net zero supporting data'!C74</f>
        <v>5903235.3888004785</v>
      </c>
      <c r="D79" s="11">
        <f>'Net zero Activity data'!AF8-'Net zero supporting data'!D74</f>
        <v>5883575.7867908729</v>
      </c>
      <c r="E79" s="11">
        <f>'Net zero Activity data'!AG8-'Net zero supporting data'!E74</f>
        <v>5805008.3335930631</v>
      </c>
      <c r="F79" s="11">
        <f>'Net zero Activity data'!AH8-'Net zero supporting data'!F74</f>
        <v>5690965.7565264814</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4719772.8767197365</v>
      </c>
      <c r="K79" s="11">
        <f>'Net zero Activity data'!AM8-'Net zero supporting data'!K74</f>
        <v>4580709.3797233626</v>
      </c>
      <c r="L79" s="11">
        <f>'Net zero Activity data'!AN8-'Net zero supporting data'!L74</f>
        <v>4398141.6120032808</v>
      </c>
      <c r="M79" s="11">
        <f>'Net zero Activity data'!AO8-'Net zero supporting data'!M74</f>
        <v>4204629.0175192198</v>
      </c>
      <c r="N79" s="11">
        <f>'Net zero Activity data'!AP8-'Net zero supporting data'!N74</f>
        <v>4024325.7453074586</v>
      </c>
      <c r="O79" s="11">
        <f>'Net zero Activity data'!AQ8-'Net zero supporting data'!O74</f>
        <v>3834523.6051633423</v>
      </c>
      <c r="P79" s="11">
        <f>'Net zero Activity data'!AR8-'Net zero supporting data'!P74</f>
        <v>3632790.5630053002</v>
      </c>
      <c r="Q79" s="11">
        <f>'Net zero Activity data'!AS8-'Net zero supporting data'!Q74</f>
        <v>3427551.0748703275</v>
      </c>
      <c r="R79" s="11">
        <f>'Net zero Activity data'!AT8-'Net zero supporting data'!R74</f>
        <v>3218334.9854820054</v>
      </c>
      <c r="S79" s="11">
        <f>'Net zero Activity data'!AU8-'Net zero supporting data'!S74</f>
        <v>3026990.5342282318</v>
      </c>
      <c r="T79" s="11">
        <f>'Net zero Activity data'!AV8-'Net zero supporting data'!T74</f>
        <v>2833291.4676514557</v>
      </c>
      <c r="U79" s="11">
        <f>'Net zero Activity data'!AW8-'Net zero supporting data'!U74</f>
        <v>2735376.0142735657</v>
      </c>
      <c r="V79" s="11">
        <f>'Net zero Activity data'!AX8-'Net zero supporting data'!V74</f>
        <v>2649173.6559522231</v>
      </c>
      <c r="W79" s="11">
        <f>'Net zero Activity data'!AY8-'Net zero supporting data'!W74</f>
        <v>2566210.8739137482</v>
      </c>
      <c r="X79" s="11">
        <f>'Net zero Activity data'!AZ8-'Net zero supporting data'!X74</f>
        <v>2492666.6252782904</v>
      </c>
      <c r="Y79" s="11">
        <f>'Net zero Activity data'!BA8-'Net zero supporting data'!Y74</f>
        <v>2396778.6329853167</v>
      </c>
      <c r="Z79" s="11">
        <f>'Net zero Activity data'!BB8-'Net zero supporting data'!Z74</f>
        <v>2296731.0708132004</v>
      </c>
      <c r="AA79" s="11">
        <f>'Net zero Activity data'!BC8-'Net zero supporting data'!AA74</f>
        <v>2200709.581258839</v>
      </c>
      <c r="AB79" s="11">
        <f>'Net zero Activity data'!BD8-'Net zero supporting data'!AB74</f>
        <v>2100973.226654253</v>
      </c>
      <c r="AC79" s="11">
        <f>'Net zero Activity data'!BE8-'Net zero supporting data'!AC74</f>
        <v>2002585.4997038417</v>
      </c>
      <c r="AD79" s="11">
        <f>'Net zero Activity data'!BF8-'Net zero supporting data'!AD74</f>
        <v>1903153.3126609493</v>
      </c>
      <c r="AE79" s="11">
        <f>'Net zero Activity data'!BG8-'Net zero supporting data'!AE74</f>
        <v>1817954.0689033899</v>
      </c>
      <c r="AF79" s="11">
        <f>'Net zero Activity data'!BH8-'Net zero supporting data'!AF74</f>
        <v>1728376.6161941378</v>
      </c>
      <c r="AG79" s="11">
        <f>'Net zero Activity data'!BI8-'Net zero supporting data'!AG74</f>
        <v>1637605.1103398451</v>
      </c>
      <c r="AH79" s="11">
        <f>'Net zero Activity data'!BJ8-'Net zero supporting data'!AH74</f>
        <v>1546305.410099416</v>
      </c>
      <c r="AI79" s="11">
        <f>'Net zero Activity data'!BK8-'Net zero supporting data'!AI74</f>
        <v>1454614.4205630361</v>
      </c>
      <c r="AJ79" s="11">
        <f>'Net zero Activity data'!BL8-'Net zero supporting data'!AJ74</f>
        <v>1366135.490482985</v>
      </c>
      <c r="AK79" s="11">
        <f>'Net zero Activity data'!BM8-'Net zero supporting data'!AK74</f>
        <v>1263620.0708681652</v>
      </c>
      <c r="AL79" s="11">
        <f>'Net zero Activity data'!BN8-'Net zero supporting data'!AL74</f>
        <v>1160579.2387771355</v>
      </c>
      <c r="AM79" s="11">
        <f>'Net zero Activity data'!BO8-'Net zero supporting data'!AM74</f>
        <v>1058396.6101482981</v>
      </c>
      <c r="AN79" s="11">
        <f>'Net zero Activity data'!BP8-'Net zero supporting data'!AN74</f>
        <v>956704.43819145299</v>
      </c>
    </row>
    <row r="80" spans="1:40" x14ac:dyDescent="0.2">
      <c r="A80" t="s">
        <v>1031</v>
      </c>
      <c r="B80" s="11">
        <f>'Net zero Activity data'!AD10-'Net zero supporting data'!B75</f>
        <v>541460.03376820497</v>
      </c>
      <c r="C80" s="11">
        <f>'Net zero Activity data'!AE10-'Net zero supporting data'!C75</f>
        <v>559717.1030773099</v>
      </c>
      <c r="D80" s="11">
        <f>'Net zero Activity data'!AF10-'Net zero supporting data'!D75</f>
        <v>581386.33409904351</v>
      </c>
      <c r="E80" s="11">
        <f>'Net zero Activity data'!AG10-'Net zero supporting data'!E75</f>
        <v>597546.77075746458</v>
      </c>
      <c r="F80" s="11">
        <f>'Net zero Activity data'!AH10-'Net zero supporting data'!F75</f>
        <v>610009.49754182261</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593382.52815527772</v>
      </c>
      <c r="K80" s="11">
        <f>'Net zero Activity data'!AM10-'Net zero supporting data'!K75</f>
        <v>596157.45359701361</v>
      </c>
      <c r="L80" s="11">
        <f>'Net zero Activity data'!AN10-'Net zero supporting data'!L75</f>
        <v>592383.84655663057</v>
      </c>
      <c r="M80" s="11">
        <f>'Net zero Activity data'!AO10-'Net zero supporting data'!M75</f>
        <v>585964.47287018423</v>
      </c>
      <c r="N80" s="11">
        <f>'Net zero Activity data'!AP10-'Net zero supporting data'!N75</f>
        <v>580178.4715245181</v>
      </c>
      <c r="O80" s="11">
        <f>'Net zero Activity data'!AQ10-'Net zero supporting data'!O75</f>
        <v>571781.93229309539</v>
      </c>
      <c r="P80" s="11">
        <f>'Net zero Activity data'!AR10-'Net zero supporting data'!P75</f>
        <v>560202.46087133384</v>
      </c>
      <c r="Q80" s="11">
        <f>'Net zero Activity data'!AS10-'Net zero supporting data'!Q75</f>
        <v>546535.0313138949</v>
      </c>
      <c r="R80" s="11">
        <f>'Net zero Activity data'!AT10-'Net zero supporting data'!R75</f>
        <v>530574.64632888814</v>
      </c>
      <c r="S80" s="11">
        <f>'Net zero Activity data'!AU10-'Net zero supporting data'!S75</f>
        <v>515901.30877032585</v>
      </c>
      <c r="T80" s="11">
        <f>'Net zero Activity data'!AV10-'Net zero supporting data'!T75</f>
        <v>499175.35926849418</v>
      </c>
      <c r="U80" s="11">
        <f>'Net zero Activity data'!AW10-'Net zero supporting data'!U75</f>
        <v>498195.22770790651</v>
      </c>
      <c r="V80" s="11">
        <f>'Net zero Activity data'!AX10-'Net zero supporting data'!V75</f>
        <v>498817.82084126573</v>
      </c>
      <c r="W80" s="11">
        <f>'Net zero Activity data'!AY10-'Net zero supporting data'!W75</f>
        <v>499585.91606463224</v>
      </c>
      <c r="X80" s="11">
        <f>'Net zero Activity data'!AZ10-'Net zero supporting data'!X75</f>
        <v>501781.32590747235</v>
      </c>
      <c r="Y80" s="11">
        <f>'Net zero Activity data'!BA10-'Net zero supporting data'!Y75</f>
        <v>498959.81721737672</v>
      </c>
      <c r="Z80" s="11">
        <f>'Net zero Activity data'!BB10-'Net zero supporting data'!Z75</f>
        <v>494537.0048557109</v>
      </c>
      <c r="AA80" s="11">
        <f>'Net zero Activity data'!BC10-'Net zero supporting data'!AA75</f>
        <v>490201.69790945726</v>
      </c>
      <c r="AB80" s="11">
        <f>'Net zero Activity data'!BD10-'Net zero supporting data'!AB75</f>
        <v>484213.95937749266</v>
      </c>
      <c r="AC80" s="11">
        <f>'Net zero Activity data'!BE10-'Net zero supporting data'!AC75</f>
        <v>477642.3464618416</v>
      </c>
      <c r="AD80" s="11">
        <f>'Net zero Activity data'!BF10-'Net zero supporting data'!AD75</f>
        <v>469872.36142712191</v>
      </c>
      <c r="AE80" s="11">
        <f>'Net zero Activity data'!BG10-'Net zero supporting data'!AE75</f>
        <v>461786.77991513419</v>
      </c>
      <c r="AF80" s="11">
        <f>'Net zero Activity data'!BH10-'Net zero supporting data'!AF75</f>
        <v>451743.90174314706</v>
      </c>
      <c r="AG80" s="11">
        <f>'Net zero Activity data'!BI10-'Net zero supporting data'!AG75</f>
        <v>440460.19933495333</v>
      </c>
      <c r="AH80" s="11">
        <f>'Net zero Activity data'!BJ10-'Net zero supporting data'!AH75</f>
        <v>428045.5324748077</v>
      </c>
      <c r="AI80" s="11">
        <f>'Net zero Activity data'!BK10-'Net zero supporting data'!AI75</f>
        <v>414475.49530207831</v>
      </c>
      <c r="AJ80" s="11">
        <f>'Net zero Activity data'!BL10-'Net zero supporting data'!AJ75</f>
        <v>400742.66350289667</v>
      </c>
      <c r="AK80" s="11">
        <f>'Net zero Activity data'!BM10-'Net zero supporting data'!AK75</f>
        <v>381662.31646501785</v>
      </c>
      <c r="AL80" s="11">
        <f>'Net zero Activity data'!BN10-'Net zero supporting data'!AL75</f>
        <v>360997.5957551077</v>
      </c>
      <c r="AM80" s="11">
        <f>'Net zero Activity data'!BO10-'Net zero supporting data'!AM75</f>
        <v>339098.80752083263</v>
      </c>
      <c r="AN80" s="11">
        <f>'Net zero Activity data'!BP10-'Net zero supporting data'!AN75</f>
        <v>315784.93093367992</v>
      </c>
    </row>
    <row r="82" spans="1:48" x14ac:dyDescent="0.2">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2">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33.710718392662606</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31.089647223865136</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28.614285258445342</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27.950752893251103</v>
      </c>
      <c r="Y83">
        <f>'Intermediate calculations'!AV11-(('Intermediate calculations'!AV11-'Net zero supporting data'!Y100)+('Intermediate calculations'!AV11-'Net zero supporting data'!Y64))</f>
        <v>27.631823449920894</v>
      </c>
      <c r="Z83">
        <f>'Intermediate calculations'!AW11-(('Intermediate calculations'!AW11-'Net zero supporting data'!Z100)+('Intermediate calculations'!AW11-'Net zero supporting data'!Z64))</f>
        <v>27.320873307074038</v>
      </c>
      <c r="AA83">
        <f>'Intermediate calculations'!AX11-(('Intermediate calculations'!AX11-'Net zero supporting data'!AA100)+('Intermediate calculations'!AX11-'Net zero supporting data'!AA64))</f>
        <v>27.017509455158315</v>
      </c>
      <c r="AB83">
        <f>'Intermediate calculations'!AY11-(('Intermediate calculations'!AY11-'Net zero supporting data'!AB100)+('Intermediate calculations'!AY11-'Net zero supporting data'!AB64))</f>
        <v>26.721367729087959</v>
      </c>
      <c r="AC83">
        <f>'Intermediate calculations'!AZ11-(('Intermediate calculations'!AZ11-'Net zero supporting data'!AC100)+('Intermediate calculations'!AZ11-'Net zero supporting data'!AC64))</f>
        <v>26.432110040534752</v>
      </c>
      <c r="AD83">
        <f>'Intermediate calculations'!BA11-(('Intermediate calculations'!BA11-'Net zero supporting data'!AD100)+('Intermediate calculations'!BA11-'Net zero supporting data'!AD64))</f>
        <v>26.149421934996191</v>
      </c>
      <c r="AE83">
        <f>'Intermediate calculations'!BB11-(('Intermediate calculations'!BB11-'Net zero supporting data'!AE100)+('Intermediate calculations'!BB11-'Net zero supporting data'!AE64))</f>
        <v>25.873010428914949</v>
      </c>
      <c r="AF83">
        <f>'Intermediate calculations'!BC11-(('Intermediate calculations'!BC11-'Net zero supporting data'!AF100)+('Intermediate calculations'!BC11-'Net zero supporting data'!AF64))</f>
        <v>25.602602089151986</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25.078788850996013</v>
      </c>
      <c r="AI83">
        <f>'Intermediate calculations'!BF11-(('Intermediate calculations'!BF11-'Net zero supporting data'!AI100)+('Intermediate calculations'!BF11-'Net zero supporting data'!AI64))</f>
        <v>24.82492034132046</v>
      </c>
      <c r="AJ83">
        <f>'Intermediate calculations'!BG11-(('Intermediate calculations'!BG11-'Net zero supporting data'!AJ100)+('Intermediate calculations'!BG11-'Net zero supporting data'!AJ64))</f>
        <v>24.576125182825315</v>
      </c>
      <c r="AK83">
        <f>'Intermediate calculations'!BH11-(('Intermediate calculations'!BH11-'Net zero supporting data'!AK100)+('Intermediate calculations'!BH11-'Net zero supporting data'!AK64))</f>
        <v>24.332205382874626</v>
      </c>
      <c r="AL83">
        <f>'Intermediate calculations'!BI11-(('Intermediate calculations'!BI11-'Net zero supporting data'!AL100)+('Intermediate calculations'!BI11-'Net zero supporting data'!AL64))</f>
        <v>24.092974573455546</v>
      </c>
      <c r="AM83">
        <f>'Intermediate calculations'!BJ11-(('Intermediate calculations'!BJ11-'Net zero supporting data'!AM100)+('Intermediate calculations'!BJ11-'Net zero supporting data'!AM64))</f>
        <v>23.858257113543441</v>
      </c>
      <c r="AN83">
        <f>'Intermediate calculations'!BK11-(('Intermediate calculations'!BK11-'Net zero supporting data'!AN100)+('Intermediate calculations'!BK11-'Net zero supporting data'!AN64))</f>
        <v>23.627887276663888</v>
      </c>
    </row>
    <row r="84" spans="1:48" x14ac:dyDescent="0.2">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6" x14ac:dyDescent="0.2">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2">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2">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2">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2">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2">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2">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2">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2">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2">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2">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2">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2">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2">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2">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31.550722500490252</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29.331982707675706</v>
      </c>
      <c r="W100">
        <f>'Intermediate calculations'!AT11-('Intermediate calculations'!AT11*W98)</f>
        <v>29.034845918789284</v>
      </c>
      <c r="X100">
        <f>'Intermediate calculations'!AU11-('Intermediate calculations'!AU11*X98)</f>
        <v>28.745850896779032</v>
      </c>
      <c r="Y100">
        <f>'Intermediate calculations'!AV11-('Intermediate calculations'!AV11*Y98)</f>
        <v>28.464563334713031</v>
      </c>
      <c r="Z100">
        <f>'Intermediate calculations'!AW11-('Intermediate calculations'!AW11*Z98)</f>
        <v>28.190582775685616</v>
      </c>
      <c r="AA100">
        <f>'Intermediate calculations'!AX11-('Intermediate calculations'!AX11*AA98)</f>
        <v>27.923539184000898</v>
      </c>
      <c r="AB100">
        <f>'Intermediate calculations'!AY11-('Intermediate calculations'!AY11*AB98)</f>
        <v>27.663089939804717</v>
      </c>
      <c r="AC100">
        <f>'Intermediate calculations'!AZ11-('Intermediate calculations'!AZ11*AC98)</f>
        <v>27.408917195921308</v>
      </c>
      <c r="AD100">
        <f>'Intermediate calculations'!BA11-('Intermediate calculations'!BA11*AD98)</f>
        <v>27.160725545741901</v>
      </c>
      <c r="AE100">
        <f>'Intermediate calculations'!BB11-('Intermediate calculations'!BB11*AE98)</f>
        <v>26.91823995924743</v>
      </c>
      <c r="AF100">
        <f>'Intermediate calculations'!BC11-('Intermediate calculations'!BC11*AF98)</f>
        <v>26.68120395100096</v>
      </c>
      <c r="AG100">
        <f>'Intermediate calculations'!BD11-('Intermediate calculations'!BD11*AG98)</f>
        <v>26.449377949511128</v>
      </c>
      <c r="AH100">
        <f>'Intermediate calculations'!BE11-('Intermediate calculations'!BE11*AH98)</f>
        <v>26.222537841975807</v>
      </c>
      <c r="AI100">
        <f>'Intermediate calculations'!BF11-('Intermediate calculations'!BF11*AI98)</f>
        <v>26.0004736722465</v>
      </c>
      <c r="AJ100">
        <f>'Intermediate calculations'!BG11-('Intermediate calculations'!BG11*AJ98)</f>
        <v>25.782988473053344</v>
      </c>
      <c r="AK100">
        <f>'Intermediate calculations'!BH11-('Intermediate calculations'!BH11*AK98)</f>
        <v>25.569897216212574</v>
      </c>
      <c r="AL100">
        <f>'Intermediate calculations'!BI11-('Intermediate calculations'!BI11*AL98)</f>
        <v>25.361025866795313</v>
      </c>
      <c r="AM100">
        <f>'Intermediate calculations'!BJ11-('Intermediate calculations'!BJ11*AM98)</f>
        <v>25.156210529142832</v>
      </c>
      <c r="AN100">
        <f>'Intermediate calculations'!BK11-('Intermediate calculations'!BK11*AN98)</f>
        <v>24.955296674229274</v>
      </c>
    </row>
    <row r="101" spans="1:40" x14ac:dyDescent="0.2">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2">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2">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2">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2">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2">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2">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2">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2">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2">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2">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2">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2">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2">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2">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2">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2">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2">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2">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2">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2">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2">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50487.261951435452</v>
      </c>
      <c r="L122">
        <f>'Net zero Activity data'!AN5*'Net zero supporting data'!L112</f>
        <v>101051.9412819251</v>
      </c>
      <c r="M122">
        <f>'Net zero Activity data'!AO5*'Net zero supporting data'!M112</f>
        <v>151602.49008535632</v>
      </c>
      <c r="N122">
        <f>'Net zero Activity data'!AP5*'Net zero supporting data'!N112</f>
        <v>202423.01727820735</v>
      </c>
      <c r="O122">
        <f>'Net zero Activity data'!AQ5*'Net zero supporting data'!O112</f>
        <v>253244.6136755402</v>
      </c>
      <c r="P122">
        <f>'Net zero Activity data'!AR5*'Net zero supporting data'!P112</f>
        <v>303663.56867074838</v>
      </c>
      <c r="Q122">
        <f>'Net zero Activity data'!AS5*'Net zero supporting data'!Q112</f>
        <v>353886.73921249941</v>
      </c>
      <c r="R122">
        <f>'Net zero Activity data'!AT5*'Net zero supporting data'!R112</f>
        <v>403797.96442889993</v>
      </c>
      <c r="S122">
        <f>'Net zero Activity data'!AU5*'Net zero supporting data'!S112</f>
        <v>454428.59428131598</v>
      </c>
      <c r="T122">
        <f>'Net zero Activity data'!AV5*'Net zero supporting data'!T112</f>
        <v>504993.6226971905</v>
      </c>
      <c r="U122">
        <f>'Net zero Activity data'!AW5*'Net zero supporting data'!U112</f>
        <v>508780.0481337292</v>
      </c>
      <c r="V122">
        <f>'Net zero Activity data'!AX5*'Net zero supporting data'!V112</f>
        <v>513563.81017215556</v>
      </c>
      <c r="W122">
        <f>'Net zero Activity data'!AY5*'Net zero supporting data'!W112</f>
        <v>518851.79322290019</v>
      </c>
      <c r="X122">
        <f>'Net zero Activity data'!AZ5*'Net zero supporting data'!X112</f>
        <v>525213.56162603584</v>
      </c>
      <c r="Y122">
        <f>'Net zero Activity data'!BA5*'Net zero supporting data'!Y112</f>
        <v>530054.06743265607</v>
      </c>
      <c r="Z122">
        <f>'Net zero Activity data'!BB5*'Net zero supporting data'!Z112</f>
        <v>534471.55508629559</v>
      </c>
      <c r="AA122">
        <f>'Net zero Activity data'!BC5*'Net zero supporting data'!AA112</f>
        <v>539450.50505414174</v>
      </c>
      <c r="AB122">
        <f>'Net zero Activity data'!BD5*'Net zero supporting data'!AB112</f>
        <v>544253.06981371937</v>
      </c>
      <c r="AC122">
        <f>'Net zero Activity data'!BE5*'Net zero supporting data'!AC112</f>
        <v>549380.91556555417</v>
      </c>
      <c r="AD122">
        <f>'Net zero Activity data'!BF5*'Net zero supporting data'!AD112</f>
        <v>554575.31032086874</v>
      </c>
      <c r="AE122">
        <f>'Net zero Activity data'!BG5*'Net zero supporting data'!AE112</f>
        <v>560390.17174917646</v>
      </c>
      <c r="AF122">
        <f>'Net zero Activity data'!BH5*'Net zero supporting data'!AF112</f>
        <v>565953.05079621251</v>
      </c>
      <c r="AG122">
        <f>'Net zero Activity data'!BI5*'Net zero supporting data'!AG112</f>
        <v>571648.43688182544</v>
      </c>
      <c r="AH122">
        <f>'Net zero Activity data'!BJ5*'Net zero supporting data'!AH112</f>
        <v>577576.02014169749</v>
      </c>
      <c r="AI122">
        <f>'Net zero Activity data'!BK5*'Net zero supporting data'!AI112</f>
        <v>583773.79375516623</v>
      </c>
      <c r="AJ122">
        <f>'Net zero Activity data'!BL5*'Net zero supporting data'!AJ112</f>
        <v>590759.04456970829</v>
      </c>
      <c r="AK122">
        <f>'Net zero Activity data'!BM5*'Net zero supporting data'!AK112</f>
        <v>595205.70772623643</v>
      </c>
      <c r="AL122">
        <f>'Net zero Activity data'!BN5*'Net zero supporting data'!AL112</f>
        <v>599509.33716884302</v>
      </c>
      <c r="AM122">
        <f>'Net zero Activity data'!BO5*'Net zero supporting data'!AM112</f>
        <v>603945.13536502048</v>
      </c>
      <c r="AN122">
        <f>'Net zero Activity data'!BP5*'Net zero supporting data'!AN112</f>
        <v>608396.36467490008</v>
      </c>
    </row>
    <row r="123" spans="1:40" x14ac:dyDescent="0.2">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41832.302759760794</v>
      </c>
      <c r="L123">
        <f>'Net zero Activity data'!AN6*'Net zero supporting data'!L113</f>
        <v>83728.751347880796</v>
      </c>
      <c r="M123">
        <f>'Net zero Activity data'!AO6*'Net zero supporting data'!M113</f>
        <v>125613.49178500952</v>
      </c>
      <c r="N123">
        <f>'Net zero Activity data'!AP6*'Net zero supporting data'!N113</f>
        <v>167721.92860194325</v>
      </c>
      <c r="O123">
        <f>'Net zero Activity data'!AQ6*'Net zero supporting data'!O113</f>
        <v>209831.25133116188</v>
      </c>
      <c r="P123">
        <f>'Net zero Activity data'!AR6*'Net zero supporting data'!P113</f>
        <v>251606.95689862012</v>
      </c>
      <c r="Q123">
        <f>'Net zero Activity data'!AS6*'Net zero supporting data'!Q113</f>
        <v>293220.44106178521</v>
      </c>
      <c r="R123">
        <f>'Net zero Activity data'!AT6*'Net zero supporting data'!R113</f>
        <v>334575.45624108845</v>
      </c>
      <c r="S123">
        <f>'Net zero Activity data'!AU6*'Net zero supporting data'!S113</f>
        <v>376526.54954737611</v>
      </c>
      <c r="T123">
        <f>'Net zero Activity data'!AV6*'Net zero supporting data'!T113</f>
        <v>418423.28737767215</v>
      </c>
      <c r="U123">
        <f>'Net zero Activity data'!AW6*'Net zero supporting data'!U113</f>
        <v>421560.6113108042</v>
      </c>
      <c r="V123">
        <f>'Net zero Activity data'!AX6*'Net zero supporting data'!V113</f>
        <v>425524.29985692882</v>
      </c>
      <c r="W123">
        <f>'Net zero Activity data'!AY6*'Net zero supporting data'!W113</f>
        <v>429905.77152754582</v>
      </c>
      <c r="X123">
        <f>'Net zero Activity data'!AZ6*'Net zero supporting data'!X113</f>
        <v>435176.95106157259</v>
      </c>
      <c r="Y123">
        <f>'Net zero Activity data'!BA6*'Net zero supporting data'!Y113</f>
        <v>439187.6558727721</v>
      </c>
      <c r="Z123">
        <f>'Net zero Activity data'!BB6*'Net zero supporting data'!Z113</f>
        <v>442847.8599286449</v>
      </c>
      <c r="AA123">
        <f>'Net zero Activity data'!BC6*'Net zero supporting data'!AA113</f>
        <v>446973.27561628883</v>
      </c>
      <c r="AB123">
        <f>'Net zero Activity data'!BD6*'Net zero supporting data'!AB113</f>
        <v>450952.5435599389</v>
      </c>
      <c r="AC123">
        <f>'Net zero Activity data'!BE6*'Net zero supporting data'!AC113</f>
        <v>455201.33004003065</v>
      </c>
      <c r="AD123">
        <f>'Net zero Activity data'!BF6*'Net zero supporting data'!AD113</f>
        <v>459505.25712300558</v>
      </c>
      <c r="AE123">
        <f>'Net zero Activity data'!BG6*'Net zero supporting data'!AE113</f>
        <v>464323.28516360332</v>
      </c>
      <c r="AF123">
        <f>'Net zero Activity data'!BH6*'Net zero supporting data'!AF113</f>
        <v>468932.52780257608</v>
      </c>
      <c r="AG123">
        <f>'Net zero Activity data'!BI6*'Net zero supporting data'!AG113</f>
        <v>473651.5619877982</v>
      </c>
      <c r="AH123">
        <f>'Net zero Activity data'!BJ6*'Net zero supporting data'!AH113</f>
        <v>478562.98811740649</v>
      </c>
      <c r="AI123">
        <f>'Net zero Activity data'!BK6*'Net zero supporting data'!AI113</f>
        <v>483698.28625428054</v>
      </c>
      <c r="AJ123">
        <f>'Net zero Activity data'!BL6*'Net zero supporting data'!AJ113</f>
        <v>489486.0655006154</v>
      </c>
      <c r="AK123">
        <f>'Net zero Activity data'!BM6*'Net zero supporting data'!AK113</f>
        <v>493170.44354459585</v>
      </c>
      <c r="AL123">
        <f>'Net zero Activity data'!BN6*'Net zero supporting data'!AL113</f>
        <v>496736.30793989851</v>
      </c>
      <c r="AM123">
        <f>'Net zero Activity data'!BO6*'Net zero supporting data'!AM113</f>
        <v>500411.68358815979</v>
      </c>
      <c r="AN123">
        <f>'Net zero Activity data'!BP6*'Net zero supporting data'!AN113</f>
        <v>504099.84501634579</v>
      </c>
    </row>
    <row r="124" spans="1:40" x14ac:dyDescent="0.2">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36656.297752974991</v>
      </c>
      <c r="L124">
        <f>'Net zero Activity data'!AN7*'Net zero supporting data'!L114</f>
        <v>73368.804426540606</v>
      </c>
      <c r="M124">
        <f>'Net zero Activity data'!AO7*'Net zero supporting data'!M114</f>
        <v>110071.0516249982</v>
      </c>
      <c r="N124">
        <f>'Net zero Activity data'!AP7*'Net zero supporting data'!N114</f>
        <v>146969.31674653044</v>
      </c>
      <c r="O124">
        <f>'Net zero Activity data'!AQ7*'Net zero supporting data'!O114</f>
        <v>183868.35816442588</v>
      </c>
      <c r="P124">
        <f>'Net zero Activity data'!AR7*'Net zero supporting data'!P114</f>
        <v>220475.06162313171</v>
      </c>
      <c r="Q124">
        <f>'Net zero Activity data'!AS7*'Net zero supporting data'!Q114</f>
        <v>256939.61569714252</v>
      </c>
      <c r="R124">
        <f>'Net zero Activity data'!AT7*'Net zero supporting data'!R114</f>
        <v>293177.6817366131</v>
      </c>
      <c r="S124">
        <f>'Net zero Activity data'!AU7*'Net zero supporting data'!S114</f>
        <v>329938.07181433379</v>
      </c>
      <c r="T124">
        <f>'Net zero Activity data'!AV7*'Net zero supporting data'!T114</f>
        <v>366650.83194148965</v>
      </c>
      <c r="U124">
        <f>'Net zero Activity data'!AW7*'Net zero supporting data'!U114</f>
        <v>369399.96772062359</v>
      </c>
      <c r="V124">
        <f>'Net zero Activity data'!AX7*'Net zero supporting data'!V114</f>
        <v>372873.22015860712</v>
      </c>
      <c r="W124">
        <f>'Net zero Activity data'!AY7*'Net zero supporting data'!W114</f>
        <v>376712.56247444183</v>
      </c>
      <c r="X124">
        <f>'Net zero Activity data'!AZ7*'Net zero supporting data'!X114</f>
        <v>381331.52709655045</v>
      </c>
      <c r="Y124">
        <f>'Net zero Activity data'!BA7*'Net zero supporting data'!Y114</f>
        <v>384845.97837127297</v>
      </c>
      <c r="Z124">
        <f>'Net zero Activity data'!BB7*'Net zero supporting data'!Z114</f>
        <v>388053.29713828524</v>
      </c>
      <c r="AA124">
        <f>'Net zero Activity data'!BC7*'Net zero supporting data'!AA114</f>
        <v>391668.26585443574</v>
      </c>
      <c r="AB124">
        <f>'Net zero Activity data'!BD7*'Net zero supporting data'!AB114</f>
        <v>395155.1700160114</v>
      </c>
      <c r="AC124">
        <f>'Net zero Activity data'!BE7*'Net zero supporting data'!AC114</f>
        <v>398878.24457868811</v>
      </c>
      <c r="AD124">
        <f>'Net zero Activity data'!BF7*'Net zero supporting data'!AD114</f>
        <v>402649.63707330311</v>
      </c>
      <c r="AE124">
        <f>'Net zero Activity data'!BG7*'Net zero supporting data'!AE114</f>
        <v>406871.51965654496</v>
      </c>
      <c r="AF124">
        <f>'Net zero Activity data'!BH7*'Net zero supporting data'!AF114</f>
        <v>410910.45032598957</v>
      </c>
      <c r="AG124">
        <f>'Net zero Activity data'!BI7*'Net zero supporting data'!AG114</f>
        <v>415045.58778646827</v>
      </c>
      <c r="AH124">
        <f>'Net zero Activity data'!BJ7*'Net zero supporting data'!AH114</f>
        <v>419349.31210287963</v>
      </c>
      <c r="AI124">
        <f>'Net zero Activity data'!BK7*'Net zero supporting data'!AI114</f>
        <v>423849.20823904511</v>
      </c>
      <c r="AJ124">
        <f>'Net zero Activity data'!BL7*'Net zero supporting data'!AJ114</f>
        <v>428920.85252792272</v>
      </c>
      <c r="AK124">
        <f>'Net zero Activity data'!BM7*'Net zero supporting data'!AK114</f>
        <v>432149.35418106581</v>
      </c>
      <c r="AL124">
        <f>'Net zero Activity data'!BN7*'Net zero supporting data'!AL114</f>
        <v>435274.00614611804</v>
      </c>
      <c r="AM124">
        <f>'Net zero Activity data'!BO7*'Net zero supporting data'!AM114</f>
        <v>438494.61929023336</v>
      </c>
      <c r="AN124">
        <f>'Net zero Activity data'!BP7*'Net zero supporting data'!AN114</f>
        <v>441726.43620093592</v>
      </c>
    </row>
    <row r="125" spans="1:40" x14ac:dyDescent="0.2">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286294.33623271016</v>
      </c>
      <c r="L125">
        <f>'Net zero Activity data'!AN8*'Net zero supporting data'!L115</f>
        <v>573670.64504390617</v>
      </c>
      <c r="M125">
        <f>'Net zero Activity data'!AO8*'Net zero supporting data'!M115</f>
        <v>860037.75358347676</v>
      </c>
      <c r="N125">
        <f>'Net zero Activity data'!AP8*'Net zero supporting data'!N115</f>
        <v>1149807.3558021309</v>
      </c>
      <c r="O125">
        <f>'Net zero Activity data'!AQ8*'Net zero supporting data'!O115</f>
        <v>1437946.3519362535</v>
      </c>
      <c r="P125">
        <f>'Net zero Activity data'!AR8*'Net zero supporting data'!P115</f>
        <v>1720795.5298446158</v>
      </c>
      <c r="Q125">
        <f>'Net zero Activity data'!AS8*'Net zero supporting data'!Q115</f>
        <v>1999404.7936743577</v>
      </c>
      <c r="R125">
        <f>'Net zero Activity data'!AT8*'Net zero supporting data'!R115</f>
        <v>2271765.8721049447</v>
      </c>
      <c r="S125">
        <f>'Net zero Activity data'!AU8*'Net zero supporting data'!S115</f>
        <v>2554023.2632550709</v>
      </c>
      <c r="T125">
        <f>'Net zero Activity data'!AV8*'Net zero supporting data'!T115</f>
        <v>2833291.4676514557</v>
      </c>
      <c r="U125">
        <f>'Net zero Activity data'!AW8*'Net zero supporting data'!U115</f>
        <v>2829699.3251105854</v>
      </c>
      <c r="V125">
        <f>'Net zero Activity data'!AX8*'Net zero supporting data'!V115</f>
        <v>2838400.3456630963</v>
      </c>
      <c r="W125">
        <f>'Net zero Activity data'!AY8*'Net zero supporting data'!W115</f>
        <v>2851345.4154597204</v>
      </c>
      <c r="X125">
        <f>'Net zero Activity data'!AZ8*'Net zero supporting data'!X115</f>
        <v>2876153.7983980277</v>
      </c>
      <c r="Y125">
        <f>'Net zero Activity data'!BA8*'Net zero supporting data'!Y115</f>
        <v>2876134.3595823804</v>
      </c>
      <c r="Z125">
        <f>'Net zero Activity data'!BB8*'Net zero supporting data'!Z115</f>
        <v>2870913.8385165012</v>
      </c>
      <c r="AA125">
        <f>'Net zero Activity data'!BC8*'Net zero supporting data'!AA115</f>
        <v>2870490.7581637036</v>
      </c>
      <c r="AB125">
        <f>'Net zero Activity data'!BD8*'Net zero supporting data'!AB115</f>
        <v>2864963.4908921644</v>
      </c>
      <c r="AC125">
        <f>'Net zero Activity data'!BE8*'Net zero supporting data'!AC115</f>
        <v>2860836.4281483465</v>
      </c>
      <c r="AD125">
        <f>'Net zero Activity data'!BF8*'Net zero supporting data'!AD115</f>
        <v>2854729.968991424</v>
      </c>
      <c r="AE125">
        <f>'Net zero Activity data'!BG8*'Net zero supporting data'!AE115</f>
        <v>2870453.7930053524</v>
      </c>
      <c r="AF125">
        <f>'Net zero Activity data'!BH8*'Net zero supporting data'!AF115</f>
        <v>2880627.6936568967</v>
      </c>
      <c r="AG125">
        <f>'Net zero Activity data'!BI8*'Net zero supporting data'!AG115</f>
        <v>2889891.3711879617</v>
      </c>
      <c r="AH125">
        <f>'Net zero Activity data'!BJ8*'Net zero supporting data'!AH115</f>
        <v>2899322.6439364054</v>
      </c>
      <c r="AI125">
        <f>'Net zero Activity data'!BK8*'Net zero supporting data'!AI115</f>
        <v>2909228.8411260727</v>
      </c>
      <c r="AJ125">
        <f>'Net zero Activity data'!BL8*'Net zero supporting data'!AJ115</f>
        <v>2927433.193892112</v>
      </c>
      <c r="AK125">
        <f>'Net zero Activity data'!BM8*'Net zero supporting data'!AK115</f>
        <v>2916046.3173880749</v>
      </c>
      <c r="AL125">
        <f>'Net zero Activity data'!BN8*'Net zero supporting data'!AL115</f>
        <v>2901448.0969428397</v>
      </c>
      <c r="AM125">
        <f>'Net zero Activity data'!BO8*'Net zero supporting data'!AM115</f>
        <v>2886536.2094953605</v>
      </c>
      <c r="AN125">
        <f>'Net zero Activity data'!BP8*'Net zero supporting data'!AN115</f>
        <v>2870113.3145743599</v>
      </c>
    </row>
    <row r="126" spans="1:40" x14ac:dyDescent="0.2">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253883.65665919581</v>
      </c>
      <c r="L126">
        <f>'Net zero Activity data'!AN9*'Net zero supporting data'!L116</f>
        <v>508726.79843516205</v>
      </c>
      <c r="M126">
        <f>'Net zero Activity data'!AO9*'Net zero supporting data'!M116</f>
        <v>762674.98902685673</v>
      </c>
      <c r="N126">
        <f>'Net zero Activity data'!AP9*'Net zero supporting data'!N116</f>
        <v>1019640.485333965</v>
      </c>
      <c r="O126">
        <f>'Net zero Activity data'!AQ9*'Net zero supporting data'!O116</f>
        <v>1275159.9724717718</v>
      </c>
      <c r="P126">
        <f>'Net zero Activity data'!AR9*'Net zero supporting data'!P116</f>
        <v>1525988.4887301307</v>
      </c>
      <c r="Q126">
        <f>'Net zero Activity data'!AS9*'Net zero supporting data'!Q116</f>
        <v>1773057.0811829208</v>
      </c>
      <c r="R126">
        <f>'Net zero Activity data'!AT9*'Net zero supporting data'!R116</f>
        <v>2014584.8299798563</v>
      </c>
      <c r="S126">
        <f>'Net zero Activity data'!AU9*'Net zero supporting data'!S116</f>
        <v>2264888.5542073268</v>
      </c>
      <c r="T126">
        <f>'Net zero Activity data'!AV9*'Net zero supporting data'!T116</f>
        <v>2512541.4901814791</v>
      </c>
      <c r="U126">
        <f>'Net zero Activity data'!AW9*'Net zero supporting data'!U116</f>
        <v>2509356.0052867453</v>
      </c>
      <c r="V126">
        <f>'Net zero Activity data'!AX9*'Net zero supporting data'!V116</f>
        <v>2517072.0046446319</v>
      </c>
      <c r="W126">
        <f>'Net zero Activity data'!AY9*'Net zero supporting data'!W116</f>
        <v>2528551.5948416381</v>
      </c>
      <c r="X126">
        <f>'Net zero Activity data'!AZ9*'Net zero supporting data'!X116</f>
        <v>2550551.481598251</v>
      </c>
      <c r="Y126">
        <f>'Net zero Activity data'!BA9*'Net zero supporting data'!Y116</f>
        <v>2550534.2434032429</v>
      </c>
      <c r="Z126">
        <f>'Net zero Activity data'!BB9*'Net zero supporting data'!Z116</f>
        <v>2545904.72472218</v>
      </c>
      <c r="AA126">
        <f>'Net zero Activity data'!BC9*'Net zero supporting data'!AA116</f>
        <v>2545529.5402583783</v>
      </c>
      <c r="AB126">
        <f>'Net zero Activity data'!BD9*'Net zero supporting data'!AB116</f>
        <v>2540628.001357202</v>
      </c>
      <c r="AC126">
        <f>'Net zero Activity data'!BE9*'Net zero supporting data'!AC116</f>
        <v>2536968.1532636276</v>
      </c>
      <c r="AD126">
        <f>'Net zero Activity data'!BF9*'Net zero supporting data'!AD116</f>
        <v>2531552.9913697527</v>
      </c>
      <c r="AE126">
        <f>'Net zero Activity data'!BG9*'Net zero supporting data'!AE116</f>
        <v>2545496.759834935</v>
      </c>
      <c r="AF126">
        <f>'Net zero Activity data'!BH9*'Net zero supporting data'!AF116</f>
        <v>2554518.8981485688</v>
      </c>
      <c r="AG126">
        <f>'Net zero Activity data'!BI9*'Net zero supporting data'!AG116</f>
        <v>2562733.8574685701</v>
      </c>
      <c r="AH126">
        <f>'Net zero Activity data'!BJ9*'Net zero supporting data'!AH116</f>
        <v>2571097.4389624726</v>
      </c>
      <c r="AI126">
        <f>'Net zero Activity data'!BK9*'Net zero supporting data'!AI116</f>
        <v>2579882.1798665165</v>
      </c>
      <c r="AJ126">
        <f>'Net zero Activity data'!BL9*'Net zero supporting data'!AJ116</f>
        <v>2596025.6625080989</v>
      </c>
      <c r="AK126">
        <f>'Net zero Activity data'!BM9*'Net zero supporting data'!AK116</f>
        <v>2585927.8663630099</v>
      </c>
      <c r="AL126">
        <f>'Net zero Activity data'!BN9*'Net zero supporting data'!AL116</f>
        <v>2572982.2746474231</v>
      </c>
      <c r="AM126">
        <f>'Net zero Activity data'!BO9*'Net zero supporting data'!AM116</f>
        <v>2559758.5254015462</v>
      </c>
      <c r="AN126">
        <f>'Net zero Activity data'!BP9*'Net zero supporting data'!AN116</f>
        <v>2545194.8261319795</v>
      </c>
    </row>
    <row r="127" spans="1:40" x14ac:dyDescent="0.2">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52784.774537235578</v>
      </c>
      <c r="L127">
        <f>'Net zero Activity data'!AN10*'Net zero supporting data'!L117</f>
        <v>109462.23251589912</v>
      </c>
      <c r="M127">
        <f>'Net zero Activity data'!AO10*'Net zero supporting data'!M117</f>
        <v>169796.52338851927</v>
      </c>
      <c r="N127">
        <f>'Net zero Activity data'!AP10*'Net zero supporting data'!N117</f>
        <v>234834.14323611444</v>
      </c>
      <c r="O127">
        <f>'Net zero Activity data'!AQ10*'Net zero supporting data'!O117</f>
        <v>303759.15153070691</v>
      </c>
      <c r="P127">
        <f>'Net zero Activity data'!AR10*'Net zero supporting data'!P117</f>
        <v>375925.33558471082</v>
      </c>
      <c r="Q127">
        <f>'Net zero Activity data'!AS10*'Net zero supporting data'!Q117</f>
        <v>451650.4772663436</v>
      </c>
      <c r="R127">
        <f>'Net zero Activity data'!AT10*'Net zero supporting data'!R117</f>
        <v>530574.64632888802</v>
      </c>
      <c r="S127">
        <f>'Net zero Activity data'!AU10*'Net zero supporting data'!S117</f>
        <v>616663.28313952999</v>
      </c>
      <c r="T127">
        <f>'Net zero Activity data'!AV10*'Net zero supporting data'!T117</f>
        <v>707165.09229703341</v>
      </c>
      <c r="U127">
        <f>'Net zero Activity data'!AW10*'Net zero supporting data'!U117</f>
        <v>730113.69577882846</v>
      </c>
      <c r="V127">
        <f>'Net zero Activity data'!AX10*'Net zero supporting data'!V117</f>
        <v>757134.19234834984</v>
      </c>
      <c r="W127">
        <f>'Net zero Activity data'!AY10*'Net zero supporting data'!W117</f>
        <v>786385.2382498841</v>
      </c>
      <c r="X127">
        <f>'Net zero Activity data'!AZ10*'Net zero supporting data'!X117</f>
        <v>820219.47504106071</v>
      </c>
      <c r="Y127">
        <f>'Net zero Activity data'!BA10*'Net zero supporting data'!Y117</f>
        <v>848231.6892695406</v>
      </c>
      <c r="Z127">
        <f>'Net zero Activity data'!BB10*'Net zero supporting data'!Z117</f>
        <v>875742.61276532151</v>
      </c>
      <c r="AA127">
        <f>'Net zero Activity data'!BC10*'Net zero supporting data'!AA117</f>
        <v>905807.48526747571</v>
      </c>
      <c r="AB127">
        <f>'Net zero Activity data'!BD10*'Net zero supporting data'!AB117</f>
        <v>935413.33061561116</v>
      </c>
      <c r="AC127">
        <f>'Net zero Activity data'!BE10*'Net zero supporting data'!AC117</f>
        <v>966657.12974420364</v>
      </c>
      <c r="AD127">
        <f>'Net zero Activity data'!BF10*'Net zero supporting data'!AD117</f>
        <v>998478.76803263393</v>
      </c>
      <c r="AE127">
        <f>'Net zero Activity data'!BG10*'Net zero supporting data'!AE117</f>
        <v>1032944.1129680633</v>
      </c>
      <c r="AF127">
        <f>'Net zero Activity data'!BH10*'Net zero supporting data'!AF117</f>
        <v>1066617.5457824308</v>
      </c>
      <c r="AG127">
        <f>'Net zero Activity data'!BI10*'Net zero supporting data'!AG117</f>
        <v>1101150.4983373836</v>
      </c>
      <c r="AH127">
        <f>'Net zero Activity data'!BJ10*'Net zero supporting data'!AH117</f>
        <v>1136995.9456362082</v>
      </c>
      <c r="AI127">
        <f>'Net zero Activity data'!BK10*'Net zero supporting data'!AI117</f>
        <v>1174347.2366892223</v>
      </c>
      <c r="AJ127">
        <f>'Net zero Activity data'!BL10*'Net zero supporting data'!AJ117</f>
        <v>1216540.2284909368</v>
      </c>
      <c r="AK127">
        <f>'Net zero Activity data'!BM10*'Net zero supporting data'!AK117</f>
        <v>1247742.1884433283</v>
      </c>
      <c r="AL127">
        <f>'Net zero Activity data'!BN10*'Net zero supporting data'!AL117</f>
        <v>1278533.1516326738</v>
      </c>
      <c r="AM127">
        <f>'Net zero Activity data'!BO10*'Net zero supporting data'!AM117</f>
        <v>1310154.4836032174</v>
      </c>
      <c r="AN127">
        <f>'Net zero Activity data'!BP10*'Net zero supporting data'!AN117</f>
        <v>1342085.95646814</v>
      </c>
    </row>
    <row r="128" spans="1:40" x14ac:dyDescent="0.2">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1165896.4540641422</v>
      </c>
      <c r="L128">
        <f>'Net zero Activity data'!AN11*'Net zero supporting data'!L118</f>
        <v>2335800.4332343349</v>
      </c>
      <c r="M128">
        <f>'Net zero Activity data'!AO11*'Net zero supporting data'!M118</f>
        <v>3510481.9137936803</v>
      </c>
      <c r="N128">
        <f>'Net zero Activity data'!AP11*'Net zero supporting data'!N118</f>
        <v>4690813.7830093438</v>
      </c>
      <c r="O128">
        <f>'Net zero Activity data'!AQ11*'Net zero supporting data'!O118</f>
        <v>5877378.0857512197</v>
      </c>
      <c r="P128">
        <f>'Net zero Activity data'!AR11*'Net zero supporting data'!P118</f>
        <v>7062969.7743838578</v>
      </c>
      <c r="Q128">
        <f>'Net zero Activity data'!AS11*'Net zero supporting data'!Q118</f>
        <v>8253313.6518757502</v>
      </c>
      <c r="R128">
        <f>'Net zero Activity data'!AT11*'Net zero supporting data'!R118</f>
        <v>9448890.7034787089</v>
      </c>
      <c r="S128">
        <f>'Net zero Activity data'!AU11*'Net zero supporting data'!S118</f>
        <v>10650672.075089043</v>
      </c>
      <c r="T128">
        <f>'Net zero Activity data'!AV11*'Net zero supporting data'!T118</f>
        <v>11858783.893498681</v>
      </c>
      <c r="U128">
        <f>'Net zero Activity data'!AW11*'Net zero supporting data'!U118</f>
        <v>11874926.126129128</v>
      </c>
      <c r="V128">
        <f>'Net zero Activity data'!AX11*'Net zero supporting data'!V118</f>
        <v>11893045.854400538</v>
      </c>
      <c r="W128">
        <f>'Net zero Activity data'!AY11*'Net zero supporting data'!W118</f>
        <v>11912853.612371443</v>
      </c>
      <c r="X128">
        <f>'Net zero Activity data'!AZ11*'Net zero supporting data'!X118</f>
        <v>11934555.107988534</v>
      </c>
      <c r="Y128">
        <f>'Net zero Activity data'!BA11*'Net zero supporting data'!Y118</f>
        <v>11956898.909274437</v>
      </c>
      <c r="Z128">
        <f>'Net zero Activity data'!BB11*'Net zero supporting data'!Z118</f>
        <v>11970592.870103912</v>
      </c>
      <c r="AA128">
        <f>'Net zero Activity data'!BC11*'Net zero supporting data'!AA118</f>
        <v>11985720.576337798</v>
      </c>
      <c r="AB128">
        <f>'Net zero Activity data'!BD11*'Net zero supporting data'!AB118</f>
        <v>12001896.410001593</v>
      </c>
      <c r="AC128">
        <f>'Net zero Activity data'!BE11*'Net zero supporting data'!AC118</f>
        <v>12019312.81807447</v>
      </c>
      <c r="AD128">
        <f>'Net zero Activity data'!BF11*'Net zero supporting data'!AD118</f>
        <v>12037812.417184314</v>
      </c>
      <c r="AE128">
        <f>'Net zero Activity data'!BG11*'Net zero supporting data'!AE118</f>
        <v>12048540.675844733</v>
      </c>
      <c r="AF128">
        <f>'Net zero Activity data'!BH11*'Net zero supporting data'!AF118</f>
        <v>12060080.305137169</v>
      </c>
      <c r="AG128">
        <f>'Net zero Activity data'!BI11*'Net zero supporting data'!AG118</f>
        <v>12072578.782580789</v>
      </c>
      <c r="AH128">
        <f>'Net zero Activity data'!BJ11*'Net zero supporting data'!AH118</f>
        <v>12086053.362146592</v>
      </c>
      <c r="AI128">
        <f>'Net zero Activity data'!BK11*'Net zero supporting data'!AI118</f>
        <v>12100494.624397257</v>
      </c>
      <c r="AJ128">
        <f>'Net zero Activity data'!BL11*'Net zero supporting data'!AJ118</f>
        <v>12106952.036981262</v>
      </c>
      <c r="AK128">
        <f>'Net zero Activity data'!BM11*'Net zero supporting data'!AK118</f>
        <v>12112962.346920259</v>
      </c>
      <c r="AL128">
        <f>'Net zero Activity data'!BN11*'Net zero supporting data'!AL118</f>
        <v>12119625.386353882</v>
      </c>
      <c r="AM128">
        <f>'Net zero Activity data'!BO11*'Net zero supporting data'!AM118</f>
        <v>12127047.957326764</v>
      </c>
      <c r="AN128">
        <f>'Net zero Activity data'!BP11*'Net zero supporting data'!AN118</f>
        <v>12135153.649674898</v>
      </c>
    </row>
    <row r="129" spans="1:40" x14ac:dyDescent="0.2">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116142.94178416744</v>
      </c>
      <c r="L129">
        <f>'Net zero Activity data'!AN12*'Net zero supporting data'!L119</f>
        <v>232685.1006287077</v>
      </c>
      <c r="M129">
        <f>'Net zero Activity data'!AO12*'Net zero supporting data'!M119</f>
        <v>349703.17915186094</v>
      </c>
      <c r="N129">
        <f>'Net zero Activity data'!AP12*'Net zero supporting data'!N119</f>
        <v>467284.13164077757</v>
      </c>
      <c r="O129">
        <f>'Net zero Activity data'!AQ12*'Net zero supporting data'!O119</f>
        <v>585485.93957675004</v>
      </c>
      <c r="P129">
        <f>'Net zero Activity data'!AR12*'Net zero supporting data'!P119</f>
        <v>703590.85875088256</v>
      </c>
      <c r="Q129">
        <f>'Net zero Activity data'!AS12*'Net zero supporting data'!Q119</f>
        <v>822169.17604892538</v>
      </c>
      <c r="R129">
        <f>'Net zero Activity data'!AT12*'Net zero supporting data'!R119</f>
        <v>941268.80571052304</v>
      </c>
      <c r="S129">
        <f>'Net zero Activity data'!AU12*'Net zero supporting data'!S119</f>
        <v>1060986.4902387552</v>
      </c>
      <c r="T129">
        <f>'Net zero Activity data'!AV12*'Net zero supporting data'!T119</f>
        <v>1181334.7939883745</v>
      </c>
      <c r="U129">
        <f>'Net zero Activity data'!AW12*'Net zero supporting data'!U119</f>
        <v>1182942.8324879592</v>
      </c>
      <c r="V129">
        <f>'Net zero Activity data'!AX12*'Net zero supporting data'!V119</f>
        <v>1184747.8628904752</v>
      </c>
      <c r="W129">
        <f>'Net zero Activity data'!AY12*'Net zero supporting data'!W119</f>
        <v>1186721.0495082664</v>
      </c>
      <c r="X129">
        <f>'Net zero Activity data'!AZ12*'Net zero supporting data'!X119</f>
        <v>1188882.884320697</v>
      </c>
      <c r="Y129">
        <f>'Net zero Activity data'!BA12*'Net zero supporting data'!Y119</f>
        <v>1191108.7036058826</v>
      </c>
      <c r="Z129">
        <f>'Net zero Activity data'!BB12*'Net zero supporting data'!Z119</f>
        <v>1192472.8529605432</v>
      </c>
      <c r="AA129">
        <f>'Net zero Activity data'!BC12*'Net zero supporting data'!AA119</f>
        <v>1193979.8275279033</v>
      </c>
      <c r="AB129">
        <f>'Net zero Activity data'!BD12*'Net zero supporting data'!AB119</f>
        <v>1195591.2132568639</v>
      </c>
      <c r="AC129">
        <f>'Net zero Activity data'!BE12*'Net zero supporting data'!AC119</f>
        <v>1197326.1811108668</v>
      </c>
      <c r="AD129">
        <f>'Net zero Activity data'!BF12*'Net zero supporting data'!AD119</f>
        <v>1199169.0530528438</v>
      </c>
      <c r="AE129">
        <f>'Net zero Activity data'!BG12*'Net zero supporting data'!AE119</f>
        <v>1200237.7684749544</v>
      </c>
      <c r="AF129">
        <f>'Net zero Activity data'!BH12*'Net zero supporting data'!AF119</f>
        <v>1201387.3100902929</v>
      </c>
      <c r="AG129">
        <f>'Net zero Activity data'!BI12*'Net zero supporting data'!AG119</f>
        <v>1202632.3691459792</v>
      </c>
      <c r="AH129">
        <f>'Net zero Activity data'!BJ12*'Net zero supporting data'!AH119</f>
        <v>1203974.6644283962</v>
      </c>
      <c r="AI129">
        <f>'Net zero Activity data'!BK12*'Net zero supporting data'!AI119</f>
        <v>1205413.257602792</v>
      </c>
      <c r="AJ129">
        <f>'Net zero Activity data'!BL12*'Net zero supporting data'!AJ119</f>
        <v>1206056.5247567541</v>
      </c>
      <c r="AK129">
        <f>'Net zero Activity data'!BM12*'Net zero supporting data'!AK119</f>
        <v>1206655.2529499109</v>
      </c>
      <c r="AL129">
        <f>'Net zero Activity data'!BN12*'Net zero supporting data'!AL119</f>
        <v>1207319.0040046014</v>
      </c>
      <c r="AM129">
        <f>'Net zero Activity data'!BO12*'Net zero supporting data'!AM119</f>
        <v>1208058.4172049651</v>
      </c>
      <c r="AN129">
        <f>'Net zero Activity data'!BP12*'Net zero supporting data'!AN119</f>
        <v>1208865.8808105262</v>
      </c>
    </row>
    <row r="130" spans="1:40" x14ac:dyDescent="0.2">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88973.585014844241</v>
      </c>
      <c r="V130">
        <f>'Net zero Activity data'!AX13*'Net zero supporting data'!V120</f>
        <v>178346.78251744699</v>
      </c>
      <c r="W130">
        <f>'Net zero Activity data'!AY13*'Net zero supporting data'!W120</f>
        <v>268165.49297666486</v>
      </c>
      <c r="X130">
        <f>'Net zero Activity data'!AZ13*'Net zero supporting data'!X120</f>
        <v>358484.87639726617</v>
      </c>
      <c r="Y130">
        <f>'Net zero Activity data'!BA13*'Net zero supporting data'!Y120</f>
        <v>449290.01911723218</v>
      </c>
      <c r="Z130">
        <f>'Net zero Activity data'!BB13*'Net zero supporting data'!Z120</f>
        <v>539988.99435715983</v>
      </c>
      <c r="AA130">
        <f>'Net zero Activity data'!BC13*'Net zero supporting data'!AA120</f>
        <v>631060.93456846289</v>
      </c>
      <c r="AB130">
        <f>'Net zero Activity data'!BD13*'Net zero supporting data'!AB120</f>
        <v>722512.51436063205</v>
      </c>
      <c r="AC130">
        <f>'Net zero Activity data'!BE13*'Net zero supporting data'!AC120</f>
        <v>814390.23111285304</v>
      </c>
      <c r="AD130">
        <f>'Net zero Activity data'!BF13*'Net zero supporting data'!AD120</f>
        <v>906711.21505857632</v>
      </c>
      <c r="AE130">
        <f>'Net zero Activity data'!BG13*'Net zero supporting data'!AE120</f>
        <v>907688.71709252521</v>
      </c>
      <c r="AF130">
        <f>'Net zero Activity data'!BH13*'Net zero supporting data'!AF120</f>
        <v>908736.89698491886</v>
      </c>
      <c r="AG130">
        <f>'Net zero Activity data'!BI13*'Net zero supporting data'!AG120</f>
        <v>909871.92459842935</v>
      </c>
      <c r="AH130">
        <f>'Net zero Activity data'!BJ13*'Net zero supporting data'!AH120</f>
        <v>911095.89047816908</v>
      </c>
      <c r="AI130">
        <f>'Net zero Activity data'!BK13*'Net zero supporting data'!AI120</f>
        <v>912407.98656454985</v>
      </c>
      <c r="AJ130">
        <f>'Net zero Activity data'!BL13*'Net zero supporting data'!AJ120</f>
        <v>912854.33070453431</v>
      </c>
      <c r="AK130">
        <f>'Net zero Activity data'!BM13*'Net zero supporting data'!AK120</f>
        <v>913241.77752270573</v>
      </c>
      <c r="AL130">
        <f>'Net zero Activity data'!BN13*'Net zero supporting data'!AL120</f>
        <v>913687.95450816164</v>
      </c>
      <c r="AM130">
        <f>'Net zero Activity data'!BO13*'Net zero supporting data'!AM120</f>
        <v>914204.36478242208</v>
      </c>
      <c r="AN130">
        <f>'Net zero Activity data'!BP13*'Net zero supporting data'!AN120</f>
        <v>914783.01212743623</v>
      </c>
    </row>
    <row r="131" spans="1:40" x14ac:dyDescent="0.2">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86356.714867348797</v>
      </c>
      <c r="V131">
        <f>'Net zero Activity data'!AX14*'Net zero supporting data'!V121</f>
        <v>173101.28891399264</v>
      </c>
      <c r="W131">
        <f>'Net zero Activity data'!AY14*'Net zero supporting data'!W121</f>
        <v>260278.27259499824</v>
      </c>
      <c r="X131">
        <f>'Net zero Activity data'!AZ14*'Net zero supporting data'!X121</f>
        <v>347941.2035620524</v>
      </c>
      <c r="Y131">
        <f>'Net zero Activity data'!BA14*'Net zero supporting data'!Y121</f>
        <v>436075.60679025465</v>
      </c>
      <c r="Z131">
        <f>'Net zero Activity data'!BB14*'Net zero supporting data'!Z121</f>
        <v>524106.96511136094</v>
      </c>
      <c r="AA131">
        <f>'Net zero Activity data'!BC14*'Net zero supporting data'!AA121</f>
        <v>612500.31884586101</v>
      </c>
      <c r="AB131">
        <f>'Net zero Activity data'!BD14*'Net zero supporting data'!AB121</f>
        <v>701262.14629120158</v>
      </c>
      <c r="AC131">
        <f>'Net zero Activity data'!BE14*'Net zero supporting data'!AC121</f>
        <v>790437.57725659257</v>
      </c>
      <c r="AD131">
        <f>'Net zero Activity data'!BF14*'Net zero supporting data'!AD121</f>
        <v>880043.23814508866</v>
      </c>
      <c r="AE131">
        <f>'Net zero Activity data'!BG14*'Net zero supporting data'!AE121</f>
        <v>880991.99011921557</v>
      </c>
      <c r="AF131">
        <f>'Net zero Activity data'!BH14*'Net zero supporting data'!AF121</f>
        <v>882009.34119124454</v>
      </c>
      <c r="AG131">
        <f>'Net zero Activity data'!BI14*'Net zero supporting data'!AG121</f>
        <v>883110.98563965189</v>
      </c>
      <c r="AH131">
        <f>'Net zero Activity data'!BJ14*'Net zero supporting data'!AH121</f>
        <v>884298.95252292871</v>
      </c>
      <c r="AI131">
        <f>'Net zero Activity data'!BK14*'Net zero supporting data'!AI121</f>
        <v>885572.45754794544</v>
      </c>
      <c r="AJ131">
        <f>'Net zero Activity data'!BL14*'Net zero supporting data'!AJ121</f>
        <v>886005.67391910672</v>
      </c>
      <c r="AK131">
        <f>'Net zero Activity data'!BM14*'Net zero supporting data'!AK121</f>
        <v>886381.72524262592</v>
      </c>
      <c r="AL131">
        <f>'Net zero Activity data'!BN14*'Net zero supporting data'!AL121</f>
        <v>886814.7793755685</v>
      </c>
      <c r="AM131">
        <f>'Net zero Activity data'!BO14*'Net zero supporting data'!AM121</f>
        <v>887316.00111235073</v>
      </c>
      <c r="AN131">
        <f>'Net zero Activity data'!BP14*'Net zero supporting data'!AN121</f>
        <v>887877.62941780547</v>
      </c>
    </row>
    <row r="132" spans="1:40" x14ac:dyDescent="0.2">
      <c r="A132" t="s">
        <v>1098</v>
      </c>
      <c r="B132" s="11">
        <f>'Activity data'!AD5-'Net zero supporting data'!B122</f>
        <v>590059.9281599375</v>
      </c>
      <c r="C132" s="11">
        <f>'Activity data'!AE5-'Net zero supporting data'!C122</f>
        <v>593358.66490468499</v>
      </c>
      <c r="D132" s="11">
        <f>'Activity data'!AF5-'Net zero supporting data'!D122</f>
        <v>598039.0074127327</v>
      </c>
      <c r="E132" s="11">
        <f>'Activity data'!AG5-'Net zero supporting data'!E122</f>
        <v>601046.62603335571</v>
      </c>
      <c r="F132" s="11">
        <f>'Activity data'!AH5-'Net zero supporting data'!F122</f>
        <v>603045.20236245112</v>
      </c>
      <c r="G132" s="11">
        <f>'Activity data'!AI5-'Net zero supporting data'!G122</f>
        <v>604015.06594627816</v>
      </c>
      <c r="H132" s="11">
        <f>'Activity data'!AJ5-'Net zero supporting data'!H122</f>
        <v>606157.85554919671</v>
      </c>
      <c r="I132" s="11">
        <f>'Activity data'!AK5-'Net zero supporting data'!I122</f>
        <v>608615.99513645703</v>
      </c>
      <c r="J132" s="11">
        <f>'Activity data'!AL5-'Net zero supporting data'!J122</f>
        <v>591954.99978317763</v>
      </c>
      <c r="K132" s="11">
        <f>'Activity data'!AM5-'Net zero supporting data'!K122</f>
        <v>548270.58851625246</v>
      </c>
      <c r="L132" s="11">
        <f>'Activity data'!AN5-'Net zero supporting data'!L122</f>
        <v>503036.66035559948</v>
      </c>
      <c r="M132" s="11">
        <f>'Activity data'!AO5-'Net zero supporting data'!M122</f>
        <v>457536.41253982962</v>
      </c>
      <c r="N132" s="11">
        <f>'Activity data'!AP5-'Net zero supporting data'!N122</f>
        <v>412620.18057730864</v>
      </c>
      <c r="O132" s="11">
        <f>'Activity data'!AQ5-'Net zero supporting data'!O122</f>
        <v>367452.96886254847</v>
      </c>
      <c r="P132" s="11">
        <f>'Activity data'!AR5-'Net zero supporting data'!P122</f>
        <v>321776.30748419568</v>
      </c>
      <c r="Q132" s="11">
        <f>'Activity data'!AS5-'Net zero supporting data'!Q122</f>
        <v>276163.71516098623</v>
      </c>
      <c r="R132" s="11">
        <f>'Activity data'!AT5-'Net zero supporting data'!R122</f>
        <v>230625.68506346422</v>
      </c>
      <c r="S132" s="11">
        <f>'Activity data'!AU5-'Net zero supporting data'!S122</f>
        <v>185683.8046950702</v>
      </c>
      <c r="T132" s="11">
        <f>'Activity data'!AV5-'Net zero supporting data'!T122</f>
        <v>140778.2733350225</v>
      </c>
      <c r="U132" s="11">
        <f>'Activity data'!AW5-'Net zero supporting data'!U122</f>
        <v>142896.34001027682</v>
      </c>
      <c r="V132" s="11">
        <f>'Activity data'!AX5-'Net zero supporting data'!V122</f>
        <v>145315.92575979076</v>
      </c>
      <c r="W132" s="11">
        <f>'Activity data'!AY5-'Net zero supporting data'!W122</f>
        <v>147902.8483717285</v>
      </c>
      <c r="X132" s="11">
        <f>'Activity data'!AZ5-'Net zero supporting data'!X122</f>
        <v>150823.97425507614</v>
      </c>
      <c r="Y132" s="11">
        <f>'Activity data'!BA5-'Net zero supporting data'!Y122</f>
        <v>153335.54408406396</v>
      </c>
      <c r="Z132" s="11">
        <f>'Activity data'!BB5-'Net zero supporting data'!Z122</f>
        <v>155748.0550206271</v>
      </c>
      <c r="AA132" s="11">
        <f>'Activity data'!BC5-'Net zero supporting data'!AA122</f>
        <v>158347.90396715864</v>
      </c>
      <c r="AB132" s="11">
        <f>'Activity data'!BD5-'Net zero supporting data'!AB122</f>
        <v>160920.64075083018</v>
      </c>
      <c r="AC132" s="11">
        <f>'Activity data'!BE5-'Net zero supporting data'!AC122</f>
        <v>163614.65961442597</v>
      </c>
      <c r="AD132" s="11">
        <f>'Activity data'!BF5-'Net zero supporting data'!AD122</f>
        <v>166354.56984925643</v>
      </c>
      <c r="AE132" s="11">
        <f>'Activity data'!BG5-'Net zero supporting data'!AE122</f>
        <v>169308.2842541784</v>
      </c>
      <c r="AF132" s="11">
        <f>'Activity data'!BH5-'Net zero supporting data'!AF122</f>
        <v>172214.48643635889</v>
      </c>
      <c r="AG132" s="11">
        <f>'Activity data'!BI5-'Net zero supporting data'!AG122</f>
        <v>175189.51181572885</v>
      </c>
      <c r="AH132" s="11">
        <f>'Activity data'!BJ5-'Net zero supporting data'!AH122</f>
        <v>178265.13688466838</v>
      </c>
      <c r="AI132" s="11">
        <f>'Activity data'!BK5-'Net zero supporting data'!AI122</f>
        <v>181454.83971056051</v>
      </c>
      <c r="AJ132" s="11">
        <f>'Activity data'!BL5-'Net zero supporting data'!AJ122</f>
        <v>184922.47403547587</v>
      </c>
      <c r="AK132" s="11">
        <f>'Activity data'!BM5-'Net zero supporting data'!AK122</f>
        <v>187624.93407330511</v>
      </c>
      <c r="AL132" s="11">
        <f>'Activity data'!BN5-'Net zero supporting data'!AL122</f>
        <v>190306.00723382225</v>
      </c>
      <c r="AM132" s="11">
        <f>'Activity data'!BO5-'Net zero supporting data'!AM122</f>
        <v>193052.83285116567</v>
      </c>
      <c r="AN132" s="11">
        <f>'Activity data'!BP5-'Net zero supporting data'!AN122</f>
        <v>195828.83648161031</v>
      </c>
    </row>
    <row r="133" spans="1:40" x14ac:dyDescent="0.2">
      <c r="A133" t="s">
        <v>1099</v>
      </c>
      <c r="B133" s="11">
        <f>'Activity data'!AD6-'Net zero supporting data'!B123</f>
        <v>488906.79761823389</v>
      </c>
      <c r="C133" s="11">
        <f>'Activity data'!AE6-'Net zero supporting data'!C123</f>
        <v>491640.03663531045</v>
      </c>
      <c r="D133" s="11">
        <f>'Activity data'!AF6-'Net zero supporting data'!D123</f>
        <v>495518.03471340711</v>
      </c>
      <c r="E133" s="11">
        <f>'Activity data'!AG6-'Net zero supporting data'!E123</f>
        <v>498010.06157049473</v>
      </c>
      <c r="F133" s="11">
        <f>'Activity data'!AH6-'Net zero supporting data'!F123</f>
        <v>499666.02481460234</v>
      </c>
      <c r="G133" s="11">
        <f>'Activity data'!AI6-'Net zero supporting data'!G123</f>
        <v>500469.62606977334</v>
      </c>
      <c r="H133" s="11">
        <f>'Activity data'!AJ6-'Net zero supporting data'!H123</f>
        <v>502245.08031219151</v>
      </c>
      <c r="I133" s="11">
        <f>'Activity data'!AK6-'Net zero supporting data'!I123</f>
        <v>504281.82454163581</v>
      </c>
      <c r="J133" s="11">
        <f>'Activity data'!AL6-'Net zero supporting data'!J123</f>
        <v>490476.99982034724</v>
      </c>
      <c r="K133" s="11">
        <f>'Activity data'!AM6-'Net zero supporting data'!K123</f>
        <v>454281.34477060923</v>
      </c>
      <c r="L133" s="11">
        <f>'Activity data'!AN6-'Net zero supporting data'!L123</f>
        <v>416801.80429463956</v>
      </c>
      <c r="M133" s="11">
        <f>'Activity data'!AO6-'Net zero supporting data'!M123</f>
        <v>379101.59896157309</v>
      </c>
      <c r="N133" s="11">
        <f>'Activity data'!AP6-'Net zero supporting data'!N123</f>
        <v>341885.29247834138</v>
      </c>
      <c r="O133" s="11">
        <f>'Activity data'!AQ6-'Net zero supporting data'!O123</f>
        <v>304461.03134325449</v>
      </c>
      <c r="P133" s="11">
        <f>'Activity data'!AR6-'Net zero supporting data'!P123</f>
        <v>266614.65477261919</v>
      </c>
      <c r="Q133" s="11">
        <f>'Activity data'!AS6-'Net zero supporting data'!Q123</f>
        <v>228821.36399053148</v>
      </c>
      <c r="R133" s="11">
        <f>'Activity data'!AT6-'Net zero supporting data'!R123</f>
        <v>191089.85333829897</v>
      </c>
      <c r="S133" s="11">
        <f>'Activity data'!AU6-'Net zero supporting data'!S123</f>
        <v>153852.29531877243</v>
      </c>
      <c r="T133" s="11">
        <f>'Activity data'!AV6-'Net zero supporting data'!T123</f>
        <v>116644.85504901863</v>
      </c>
      <c r="U133" s="11">
        <f>'Activity data'!AW6-'Net zero supporting data'!U123</f>
        <v>118399.82457994373</v>
      </c>
      <c r="V133" s="11">
        <f>'Activity data'!AX6-'Net zero supporting data'!V123</f>
        <v>120404.62420096964</v>
      </c>
      <c r="W133" s="11">
        <f>'Activity data'!AY6-'Net zero supporting data'!W123</f>
        <v>122548.07436514652</v>
      </c>
      <c r="X133" s="11">
        <f>'Activity data'!AZ6-'Net zero supporting data'!X123</f>
        <v>124968.43581134878</v>
      </c>
      <c r="Y133" s="11">
        <f>'Activity data'!BA6-'Net zero supporting data'!Y123</f>
        <v>127049.45081251021</v>
      </c>
      <c r="Z133" s="11">
        <f>'Activity data'!BB6-'Net zero supporting data'!Z123</f>
        <v>129048.38844566251</v>
      </c>
      <c r="AA133" s="11">
        <f>'Activity data'!BC6-'Net zero supporting data'!AA123</f>
        <v>131202.54900136002</v>
      </c>
      <c r="AB133" s="11">
        <f>'Activity data'!BD6-'Net zero supporting data'!AB123</f>
        <v>133334.24519354501</v>
      </c>
      <c r="AC133" s="11">
        <f>'Activity data'!BE6-'Net zero supporting data'!AC123</f>
        <v>135566.43225195294</v>
      </c>
      <c r="AD133" s="11">
        <f>'Activity data'!BF6-'Net zero supporting data'!AD123</f>
        <v>137836.64358938381</v>
      </c>
      <c r="AE133" s="11">
        <f>'Activity data'!BG6-'Net zero supporting data'!AE123</f>
        <v>140284.0069534622</v>
      </c>
      <c r="AF133" s="11">
        <f>'Activity data'!BH6-'Net zero supporting data'!AF123</f>
        <v>142692.00304726884</v>
      </c>
      <c r="AG133" s="11">
        <f>'Activity data'!BI6-'Net zero supporting data'!AG123</f>
        <v>145157.02407588961</v>
      </c>
      <c r="AH133" s="11">
        <f>'Activity data'!BJ6-'Net zero supporting data'!AH123</f>
        <v>147705.399133011</v>
      </c>
      <c r="AI133" s="11">
        <f>'Activity data'!BK6-'Net zero supporting data'!AI123</f>
        <v>150348.29576017876</v>
      </c>
      <c r="AJ133" s="11">
        <f>'Activity data'!BL6-'Net zero supporting data'!AJ123</f>
        <v>153221.47848653723</v>
      </c>
      <c r="AK133" s="11">
        <f>'Activity data'!BM6-'Net zero supporting data'!AK123</f>
        <v>155460.65966073854</v>
      </c>
      <c r="AL133" s="11">
        <f>'Activity data'!BN6-'Net zero supporting data'!AL123</f>
        <v>157682.12027945271</v>
      </c>
      <c r="AM133" s="11">
        <f>'Activity data'!BO6-'Net zero supporting data'!AM123</f>
        <v>159958.06150525162</v>
      </c>
      <c r="AN133" s="11">
        <f>'Activity data'!BP6-'Net zero supporting data'!AN123</f>
        <v>162258.17879904847</v>
      </c>
    </row>
    <row r="134" spans="1:40" x14ac:dyDescent="0.2">
      <c r="A134" t="s">
        <v>1100</v>
      </c>
      <c r="B134" s="11">
        <f>'Activity data'!AD7-'Net zero supporting data'!B124</f>
        <v>606918.78325022152</v>
      </c>
      <c r="C134" s="11">
        <f>'Activity data'!AE7-'Net zero supporting data'!C124</f>
        <v>610311.7696162475</v>
      </c>
      <c r="D134" s="11">
        <f>'Activity data'!AF7-'Net zero supporting data'!D124</f>
        <v>615125.83619595377</v>
      </c>
      <c r="E134" s="11">
        <f>'Activity data'!AG7-'Net zero supporting data'!E124</f>
        <v>618219.38677716604</v>
      </c>
      <c r="F134" s="11">
        <f>'Activity data'!AH7-'Net zero supporting data'!F124</f>
        <v>620275.0652870927</v>
      </c>
      <c r="G134" s="11">
        <f>'Activity data'!AI7-'Net zero supporting data'!G124</f>
        <v>621272.63925902906</v>
      </c>
      <c r="H134" s="11">
        <f>'Activity data'!AJ7-'Net zero supporting data'!H124</f>
        <v>623476.65142203099</v>
      </c>
      <c r="I134" s="11">
        <f>'Activity data'!AK7-'Net zero supporting data'!I124</f>
        <v>626005.02356892731</v>
      </c>
      <c r="J134" s="11">
        <f>'Activity data'!AL7-'Net zero supporting data'!J124</f>
        <v>608867.99977698282</v>
      </c>
      <c r="K134" s="11">
        <f>'Activity data'!AM7-'Net zero supporting data'!K124</f>
        <v>579208.9198709327</v>
      </c>
      <c r="L134" s="11">
        <f>'Activity data'!AN7-'Net zero supporting data'!L124</f>
        <v>547979.47154348472</v>
      </c>
      <c r="M134" s="11">
        <f>'Activity data'!AO7-'Net zero supporting data'!M124</f>
        <v>516471.81964662171</v>
      </c>
      <c r="N134" s="11">
        <f>'Activity data'!AP7-'Net zero supporting data'!N124</f>
        <v>485646.54390485748</v>
      </c>
      <c r="O134" s="11">
        <f>'Activity data'!AQ7-'Net zero supporting data'!O124</f>
        <v>454563.44101760833</v>
      </c>
      <c r="P134" s="11">
        <f>'Activity data'!AR7-'Net zero supporting data'!P124</f>
        <v>422834.52527909656</v>
      </c>
      <c r="Q134" s="11">
        <f>'Activity data'!AS7-'Net zero supporting data'!Q124</f>
        <v>391112.28022987139</v>
      </c>
      <c r="R134" s="11">
        <f>'Activity data'!AT7-'Net zero supporting data'!R124</f>
        <v>359372.35774124734</v>
      </c>
      <c r="S134" s="11">
        <f>'Activity data'!AU7-'Net zero supporting data'!S124</f>
        <v>328463.25284709211</v>
      </c>
      <c r="T134" s="11">
        <f>'Activity data'!AV7-'Net zero supporting data'!T124</f>
        <v>297571.68969164387</v>
      </c>
      <c r="U134" s="11">
        <f>'Activity data'!AW7-'Net zero supporting data'!U124</f>
        <v>300895.74579892564</v>
      </c>
      <c r="V134" s="11">
        <f>'Activity data'!AX7-'Net zero supporting data'!V124</f>
        <v>304831.6510856807</v>
      </c>
      <c r="W134" s="11">
        <f>'Activity data'!AY7-'Net zero supporting data'!W124</f>
        <v>309092.21173717629</v>
      </c>
      <c r="X134" s="11">
        <f>'Activity data'!AZ7-'Net zero supporting data'!X124</f>
        <v>314021.36695259344</v>
      </c>
      <c r="Y134" s="11">
        <f>'Activity data'!BA7-'Net zero supporting data'!Y124</f>
        <v>318069.05061735347</v>
      </c>
      <c r="Z134" s="11">
        <f>'Activity data'!BB7-'Net zero supporting data'!Z124</f>
        <v>321886.87325740675</v>
      </c>
      <c r="AA134" s="11">
        <f>'Activity data'!BC7-'Net zero supporting data'!AA124</f>
        <v>326067.24056747335</v>
      </c>
      <c r="AB134" s="11">
        <f>'Activity data'!BD7-'Net zero supporting data'!AB124</f>
        <v>330166.36085038254</v>
      </c>
      <c r="AC134" s="11">
        <f>'Activity data'!BE7-'Net zero supporting data'!AC124</f>
        <v>334488.63274929154</v>
      </c>
      <c r="AD134" s="11">
        <f>'Activity data'!BF7-'Net zero supporting data'!AD124</f>
        <v>338878.23967311147</v>
      </c>
      <c r="AE134" s="11">
        <f>'Activity data'!BG7-'Net zero supporting data'!AE124</f>
        <v>343675.46366119158</v>
      </c>
      <c r="AF134" s="11">
        <f>'Activity data'!BH7-'Net zero supporting data'!AF124</f>
        <v>348347.58797036967</v>
      </c>
      <c r="AG134" s="11">
        <f>'Activity data'!BI7-'Net zero supporting data'!AG124</f>
        <v>353130.58801673056</v>
      </c>
      <c r="AH134" s="11">
        <f>'Activity data'!BJ7-'Net zero supporting data'!AH124</f>
        <v>358087.30655281118</v>
      </c>
      <c r="AI134" s="11">
        <f>'Activity data'!BK7-'Net zero supporting data'!AI124</f>
        <v>363243.10046855966</v>
      </c>
      <c r="AJ134" s="11">
        <f>'Activity data'!BL7-'Net zero supporting data'!AJ124</f>
        <v>368922.99518026679</v>
      </c>
      <c r="AK134" s="11">
        <f>'Activity data'!BM7-'Net zero supporting data'!AK124</f>
        <v>373047.87738417706</v>
      </c>
      <c r="AL134" s="11">
        <f>'Activity data'!BN7-'Net zero supporting data'!AL124</f>
        <v>377107.49095376639</v>
      </c>
      <c r="AM134" s="11">
        <f>'Activity data'!BO7-'Net zero supporting data'!AM124</f>
        <v>381274.71944641543</v>
      </c>
      <c r="AN134" s="11">
        <f>'Activity data'!BP7-'Net zero supporting data'!AN124</f>
        <v>385476.62784576061</v>
      </c>
    </row>
    <row r="135" spans="1:40" x14ac:dyDescent="0.2">
      <c r="A135" t="s">
        <v>1101</v>
      </c>
      <c r="B135" s="11">
        <f>'Activity data'!AD8-'Net zero supporting data'!B125</f>
        <v>5954880.1627134737</v>
      </c>
      <c r="C135" s="11">
        <f>'Activity data'!AE8-'Net zero supporting data'!C125</f>
        <v>5903235.3888004785</v>
      </c>
      <c r="D135" s="11">
        <f>'Activity data'!AF8-'Net zero supporting data'!D125</f>
        <v>5883575.7867908729</v>
      </c>
      <c r="E135" s="11">
        <f>'Activity data'!AG8-'Net zero supporting data'!E125</f>
        <v>5805008.3335930631</v>
      </c>
      <c r="F135" s="11">
        <f>'Activity data'!AH8-'Net zero supporting data'!F125</f>
        <v>5690965.7565264814</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4719772.8767197365</v>
      </c>
      <c r="K135" s="11">
        <f>'Activity data'!AM8-'Net zero supporting data'!K125</f>
        <v>4523758.3558491152</v>
      </c>
      <c r="L135" s="11">
        <f>'Activity data'!AN8-'Net zero supporting data'!L125</f>
        <v>4284651.2133902591</v>
      </c>
      <c r="M135" s="11">
        <f>'Activity data'!AO8-'Net zero supporting data'!M125</f>
        <v>4035441.2627159143</v>
      </c>
      <c r="N135" s="11">
        <f>'Activity data'!AP8-'Net zero supporting data'!N125</f>
        <v>3799432.2955500176</v>
      </c>
      <c r="O135" s="11">
        <f>'Activity data'!AQ8-'Net zero supporting data'!O125</f>
        <v>3554922.9256201824</v>
      </c>
      <c r="P135" s="11">
        <f>'Activity data'!AR8-'Net zero supporting data'!P125</f>
        <v>3300199.8303462565</v>
      </c>
      <c r="Q135" s="11">
        <f>'Activity data'!AS8-'Net zero supporting data'!Q125</f>
        <v>3043484.6173283602</v>
      </c>
      <c r="R135" s="11">
        <f>'Activity data'!AT8-'Net zero supporting data'!R125</f>
        <v>2784693.0668750787</v>
      </c>
      <c r="S135" s="11">
        <f>'Activity data'!AU8-'Net zero supporting data'!S125</f>
        <v>2542606.811886752</v>
      </c>
      <c r="T135" s="11">
        <f>'Activity data'!AV8-'Net zero supporting data'!T125</f>
        <v>2299482.9302678471</v>
      </c>
      <c r="U135" s="11">
        <f>'Activity data'!AW8-'Net zero supporting data'!U125</f>
        <v>2304939.2615535129</v>
      </c>
      <c r="V135" s="11">
        <f>'Activity data'!AX8-'Net zero supporting data'!V125</f>
        <v>2320451.6093770652</v>
      </c>
      <c r="W135" s="11">
        <f>'Activity data'!AY8-'Net zero supporting data'!W125</f>
        <v>2339525.5393185802</v>
      </c>
      <c r="X135" s="11">
        <f>'Activity data'!AZ8-'Net zero supporting data'!X125</f>
        <v>2368473.8427362316</v>
      </c>
      <c r="Y135" s="11">
        <f>'Activity data'!BA8-'Net zero supporting data'!Y125</f>
        <v>2377079.0825772192</v>
      </c>
      <c r="Z135" s="11">
        <f>'Activity data'!BB8-'Net zero supporting data'!Z125</f>
        <v>2381398.3431821843</v>
      </c>
      <c r="AA135" s="11">
        <f>'Activity data'!BC8-'Net zero supporting data'!AA125</f>
        <v>2389708.5421179598</v>
      </c>
      <c r="AB135" s="11">
        <f>'Activity data'!BD8-'Net zero supporting data'!AB125</f>
        <v>2393780.0680141589</v>
      </c>
      <c r="AC135" s="11">
        <f>'Activity data'!BE8-'Net zero supporting data'!AC125</f>
        <v>2399020.95031892</v>
      </c>
      <c r="AD135" s="11">
        <f>'Activity data'!BF8-'Net zero supporting data'!AD125</f>
        <v>2402599.6239946233</v>
      </c>
      <c r="AE135" s="11">
        <f>'Activity data'!BG8-'Net zero supporting data'!AE125</f>
        <v>2424609.4665507297</v>
      </c>
      <c r="AF135" s="11">
        <f>'Activity data'!BH8-'Net zero supporting data'!AF125</f>
        <v>2442039.8851622022</v>
      </c>
      <c r="AG135" s="11">
        <f>'Activity data'!BI8-'Net zero supporting data'!AG125</f>
        <v>2458787.8277532971</v>
      </c>
      <c r="AH135" s="11">
        <f>'Activity data'!BJ8-'Net zero supporting data'!AH125</f>
        <v>2475765.6837172932</v>
      </c>
      <c r="AI135" s="11">
        <f>'Activity data'!BK8-'Net zero supporting data'!AI125</f>
        <v>2493238.8304172377</v>
      </c>
      <c r="AJ135" s="11">
        <f>'Activity data'!BL8-'Net zero supporting data'!AJ125</f>
        <v>2517941.0506988699</v>
      </c>
      <c r="AK135" s="11">
        <f>'Activity data'!BM8-'Net zero supporting data'!AK125</f>
        <v>2517242.8895954811</v>
      </c>
      <c r="AL135" s="11">
        <f>'Activity data'!BN8-'Net zero supporting data'!AL125</f>
        <v>2513721.9234805261</v>
      </c>
      <c r="AM135" s="11">
        <f>'Activity data'!BO8-'Net zero supporting data'!AM125</f>
        <v>2509867.2481516027</v>
      </c>
      <c r="AN135" s="11">
        <f>'Activity data'!BP8-'Net zero supporting data'!AN125</f>
        <v>2504630.7202090854</v>
      </c>
    </row>
    <row r="136" spans="1:40" x14ac:dyDescent="0.2">
      <c r="A136" t="s">
        <v>1102</v>
      </c>
      <c r="B136" s="11">
        <f>'Activity data'!AD9-'Net zero supporting data'!B126</f>
        <v>5280742.7858025134</v>
      </c>
      <c r="C136" s="11">
        <f>'Activity data'!AE9-'Net zero supporting data'!C126</f>
        <v>5234944.5900683487</v>
      </c>
      <c r="D136" s="11">
        <f>'Activity data'!AF9-'Net zero supporting data'!D126</f>
        <v>5217510.6033805842</v>
      </c>
      <c r="E136" s="11">
        <f>'Activity data'!AG9-'Net zero supporting data'!E126</f>
        <v>5147837.5788466781</v>
      </c>
      <c r="F136" s="11">
        <f>'Activity data'!AH9-'Net zero supporting data'!F126</f>
        <v>5046705.4822027273</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4185458.9661476901</v>
      </c>
      <c r="K136" s="11">
        <f>'Activity data'!AM9-'Net zero supporting data'!K126</f>
        <v>4011634.7683944977</v>
      </c>
      <c r="L136" s="11">
        <f>'Activity data'!AN9-'Net zero supporting data'!L126</f>
        <v>3799596.3590441914</v>
      </c>
      <c r="M136" s="11">
        <f>'Activity data'!AO9-'Net zero supporting data'!M126</f>
        <v>3578598.8556159986</v>
      </c>
      <c r="N136" s="11">
        <f>'Activity data'!AP9-'Net zero supporting data'!N126</f>
        <v>3369307.8847330334</v>
      </c>
      <c r="O136" s="11">
        <f>'Activity data'!AQ9-'Net zero supporting data'!O126</f>
        <v>3152478.820832992</v>
      </c>
      <c r="P136" s="11">
        <f>'Activity data'!AR9-'Net zero supporting data'!P126</f>
        <v>2926592.3023825288</v>
      </c>
      <c r="Q136" s="11">
        <f>'Activity data'!AS9-'Net zero supporting data'!Q126</f>
        <v>2698939.1889515636</v>
      </c>
      <c r="R136" s="11">
        <f>'Activity data'!AT9-'Net zero supporting data'!R126</f>
        <v>2469444.795153372</v>
      </c>
      <c r="S136" s="11">
        <f>'Activity data'!AU9-'Net zero supporting data'!S126</f>
        <v>2254764.5312957987</v>
      </c>
      <c r="T136" s="11">
        <f>'Activity data'!AV9-'Net zero supporting data'!T126</f>
        <v>2039164.107973373</v>
      </c>
      <c r="U136" s="11">
        <f>'Activity data'!AW9-'Net zero supporting data'!U126</f>
        <v>2044002.7413776438</v>
      </c>
      <c r="V136" s="11">
        <f>'Activity data'!AX9-'Net zero supporting data'!V126</f>
        <v>2057758.9743532459</v>
      </c>
      <c r="W136" s="11">
        <f>'Activity data'!AY9-'Net zero supporting data'!W126</f>
        <v>2074673.5914711938</v>
      </c>
      <c r="X136" s="11">
        <f>'Activity data'!AZ9-'Net zero supporting data'!X126</f>
        <v>2100344.7284642053</v>
      </c>
      <c r="Y136" s="11">
        <f>'Activity data'!BA9-'Net zero supporting data'!Y126</f>
        <v>2107975.7902099872</v>
      </c>
      <c r="Z136" s="11">
        <f>'Activity data'!BB9-'Net zero supporting data'!Z126</f>
        <v>2111806.0779162762</v>
      </c>
      <c r="AA136" s="11">
        <f>'Activity data'!BC9-'Net zero supporting data'!AA126</f>
        <v>2119175.4996140399</v>
      </c>
      <c r="AB136" s="11">
        <f>'Activity data'!BD9-'Net zero supporting data'!AB126</f>
        <v>2122786.0980502912</v>
      </c>
      <c r="AC136" s="11">
        <f>'Activity data'!BE9-'Net zero supporting data'!AC126</f>
        <v>2127433.6729243249</v>
      </c>
      <c r="AD136" s="11">
        <f>'Activity data'!BF9-'Net zero supporting data'!AD126</f>
        <v>2130607.2137310817</v>
      </c>
      <c r="AE136" s="11">
        <f>'Activity data'!BG9-'Net zero supporting data'!AE126</f>
        <v>2150125.3759978171</v>
      </c>
      <c r="AF136" s="11">
        <f>'Activity data'!BH9-'Net zero supporting data'!AF126</f>
        <v>2165582.5396721405</v>
      </c>
      <c r="AG136" s="11">
        <f>'Activity data'!BI9-'Net zero supporting data'!AG126</f>
        <v>2180434.4887623577</v>
      </c>
      <c r="AH136" s="11">
        <f>'Activity data'!BJ9-'Net zero supporting data'!AH126</f>
        <v>2195490.3232964668</v>
      </c>
      <c r="AI136" s="11">
        <f>'Activity data'!BK9-'Net zero supporting data'!AI126</f>
        <v>2210985.3779171738</v>
      </c>
      <c r="AJ136" s="11">
        <f>'Activity data'!BL9-'Net zero supporting data'!AJ126</f>
        <v>2232891.1204310735</v>
      </c>
      <c r="AK136" s="11">
        <f>'Activity data'!BM9-'Net zero supporting data'!AK126</f>
        <v>2232271.9964337279</v>
      </c>
      <c r="AL136" s="11">
        <f>'Activity data'!BN9-'Net zero supporting data'!AL126</f>
        <v>2229149.6302563166</v>
      </c>
      <c r="AM136" s="11">
        <f>'Activity data'!BO9-'Net zero supporting data'!AM126</f>
        <v>2225731.3332665158</v>
      </c>
      <c r="AN136" s="11">
        <f>'Activity data'!BP9-'Net zero supporting data'!AN126</f>
        <v>2221087.6198080569</v>
      </c>
    </row>
    <row r="137" spans="1:40" x14ac:dyDescent="0.2">
      <c r="A137" t="s">
        <v>1103</v>
      </c>
      <c r="B137" s="11">
        <f>'Activity data'!AD10-'Net zero supporting data'!B127</f>
        <v>541460.03376820497</v>
      </c>
      <c r="C137" s="11">
        <f>'Activity data'!AE10-'Net zero supporting data'!C127</f>
        <v>559717.1030773099</v>
      </c>
      <c r="D137" s="11">
        <f>'Activity data'!AF10-'Net zero supporting data'!D127</f>
        <v>581386.33409904351</v>
      </c>
      <c r="E137" s="11">
        <f>'Activity data'!AG10-'Net zero supporting data'!E127</f>
        <v>597546.77075746458</v>
      </c>
      <c r="F137" s="11">
        <f>'Activity data'!AH10-'Net zero supporting data'!F127</f>
        <v>610009.49754182261</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593382.52815527772</v>
      </c>
      <c r="K137" s="11">
        <f>'Activity data'!AM10-'Net zero supporting data'!K127</f>
        <v>566517.61549354438</v>
      </c>
      <c r="L137" s="11">
        <f>'Activity data'!AN10-'Net zero supporting data'!L127</f>
        <v>530918.34104562679</v>
      </c>
      <c r="M137" s="11">
        <f>'Activity data'!AO10-'Net zero supporting data'!M127</f>
        <v>490619.90603458253</v>
      </c>
      <c r="N137" s="11">
        <f>'Activity data'!AP10-'Net zero supporting data'!N127</f>
        <v>448313.81836065417</v>
      </c>
      <c r="O137" s="11">
        <f>'Activity data'!AQ10-'Net zero supporting data'!O127</f>
        <v>401214.33675536839</v>
      </c>
      <c r="P137" s="11">
        <f>'Activity data'!AR10-'Net zero supporting data'!P127</f>
        <v>349111.92987241724</v>
      </c>
      <c r="Q137" s="11">
        <f>'Activity data'!AS10-'Net zero supporting data'!Q127</f>
        <v>292923.13010011549</v>
      </c>
      <c r="R137" s="11">
        <f>'Activity data'!AT10-'Net zero supporting data'!R127</f>
        <v>232645.04907542141</v>
      </c>
      <c r="S137" s="11">
        <f>'Activity data'!AU10-'Net zero supporting data'!S127</f>
        <v>169631.00569806667</v>
      </c>
      <c r="T137" s="11">
        <f>'Activity data'!AV10-'Net zero supporting data'!T127</f>
        <v>102086.25484647858</v>
      </c>
      <c r="U137" s="11">
        <f>'Activity data'!AW10-'Net zero supporting data'!U127</f>
        <v>106278.28011772921</v>
      </c>
      <c r="V137" s="11">
        <f>'Activity data'!AX10-'Net zero supporting data'!V127</f>
        <v>111123.19689497445</v>
      </c>
      <c r="W137" s="11">
        <f>'Activity data'!AY10-'Net zero supporting data'!W127</f>
        <v>116363.24681148119</v>
      </c>
      <c r="X137" s="11">
        <f>'Activity data'!AZ10-'Net zero supporting data'!X127</f>
        <v>122357.44639436051</v>
      </c>
      <c r="Y137" s="11">
        <f>'Activity data'!BA10-'Net zero supporting data'!Y127</f>
        <v>127557.60974274843</v>
      </c>
      <c r="Z137" s="11">
        <f>'Activity data'!BB10-'Net zero supporting data'!Z127</f>
        <v>132749.24698969978</v>
      </c>
      <c r="AA137" s="11">
        <f>'Activity data'!BC10-'Net zero supporting data'!AA127</f>
        <v>138397.35404661112</v>
      </c>
      <c r="AB137" s="11">
        <f>'Activity data'!BD10-'Net zero supporting data'!AB127</f>
        <v>144047.17946614965</v>
      </c>
      <c r="AC137" s="11">
        <f>'Activity data'!BE10-'Net zero supporting data'!AC127</f>
        <v>150022.51066881337</v>
      </c>
      <c r="AD137" s="11">
        <f>'Activity data'!BF10-'Net zero supporting data'!AD127</f>
        <v>156163.46129783778</v>
      </c>
      <c r="AE137" s="11">
        <f>'Activity data'!BG10-'Net zero supporting data'!AE127</f>
        <v>162797.71092549979</v>
      </c>
      <c r="AF137" s="11">
        <f>'Activity data'!BH10-'Net zero supporting data'!AF127</f>
        <v>169389.20028107404</v>
      </c>
      <c r="AG137" s="11">
        <f>'Activity data'!BI10-'Net zero supporting data'!AG127</f>
        <v>176199.32057132851</v>
      </c>
      <c r="AH137" s="11">
        <f>'Activity data'!BJ10-'Net zero supporting data'!AH127</f>
        <v>183304.20449509448</v>
      </c>
      <c r="AI137" s="11">
        <f>'Activity data'!BK10-'Net zero supporting data'!AI127</f>
        <v>190739.99754391727</v>
      </c>
      <c r="AJ137" s="11">
        <f>'Activity data'!BL10-'Net zero supporting data'!AJ127</f>
        <v>199057.97344248928</v>
      </c>
      <c r="AK137" s="11">
        <f>'Activity data'!BM10-'Net zero supporting data'!AK127</f>
        <v>205665.90618922608</v>
      </c>
      <c r="AL137" s="11">
        <f>'Activity data'!BN10-'Net zero supporting data'!AL127</f>
        <v>212280.74307246483</v>
      </c>
      <c r="AM137" s="11">
        <f>'Activity data'!BO10-'Net zero supporting data'!AM127</f>
        <v>219108.60381145589</v>
      </c>
      <c r="AN137" s="11">
        <f>'Activity data'!BP10-'Net zero supporting data'!AN127</f>
        <v>226064.85938017</v>
      </c>
    </row>
    <row r="138" spans="1:40" x14ac:dyDescent="0.2">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19402059.805571087</v>
      </c>
      <c r="K138" s="11">
        <f>'Activity data'!AM11-'Net zero supporting data'!K128</f>
        <v>18265711.113671564</v>
      </c>
      <c r="L138" s="11">
        <f>'Activity data'!AN11-'Net zero supporting data'!L128</f>
        <v>17129203.17705179</v>
      </c>
      <c r="M138" s="11">
        <f>'Activity data'!AO11-'Net zero supporting data'!M128</f>
        <v>15992195.385060102</v>
      </c>
      <c r="N138" s="11">
        <f>'Activity data'!AP11-'Net zero supporting data'!N128</f>
        <v>14854243.646196257</v>
      </c>
      <c r="O138" s="11">
        <f>'Activity data'!AQ11-'Net zero supporting data'!O128</f>
        <v>13713882.20008618</v>
      </c>
      <c r="P138" s="11">
        <f>'Activity data'!AR11-'Net zero supporting data'!P128</f>
        <v>12556390.710015748</v>
      </c>
      <c r="Q138" s="11">
        <f>'Activity data'!AS11-'Net zero supporting data'!Q128</f>
        <v>11397433.13830461</v>
      </c>
      <c r="R138" s="11">
        <f>'Activity data'!AT11-'Net zero supporting data'!R128</f>
        <v>10236298.262101937</v>
      </c>
      <c r="S138" s="11">
        <f>'Activity data'!AU11-'Net zero supporting data'!S128</f>
        <v>9072794.7306314055</v>
      </c>
      <c r="T138" s="11">
        <f>'Activity data'!AV11-'Net zero supporting data'!T128</f>
        <v>7905855.9289991222</v>
      </c>
      <c r="U138" s="11">
        <f>'Activity data'!AW11-'Net zero supporting data'!U128</f>
        <v>7916617.4174194187</v>
      </c>
      <c r="V138" s="11">
        <f>'Activity data'!AX11-'Net zero supporting data'!V128</f>
        <v>7928697.2362670265</v>
      </c>
      <c r="W138" s="11">
        <f>'Activity data'!AY11-'Net zero supporting data'!W128</f>
        <v>7941902.4082476292</v>
      </c>
      <c r="X138" s="11">
        <f>'Activity data'!AZ11-'Net zero supporting data'!X128</f>
        <v>7956370.0719923582</v>
      </c>
      <c r="Y138" s="11">
        <f>'Activity data'!BA11-'Net zero supporting data'!Y128</f>
        <v>7971265.939516291</v>
      </c>
      <c r="Z138" s="11">
        <f>'Activity data'!BB11-'Net zero supporting data'!Z128</f>
        <v>7980395.2467359435</v>
      </c>
      <c r="AA138" s="11">
        <f>'Activity data'!BC11-'Net zero supporting data'!AA128</f>
        <v>7990480.384225199</v>
      </c>
      <c r="AB138" s="11">
        <f>'Activity data'!BD11-'Net zero supporting data'!AB128</f>
        <v>8001264.273334397</v>
      </c>
      <c r="AC138" s="11">
        <f>'Activity data'!BE11-'Net zero supporting data'!AC128</f>
        <v>8012875.2120496463</v>
      </c>
      <c r="AD138" s="11">
        <f>'Activity data'!BF11-'Net zero supporting data'!AD128</f>
        <v>8025208.2781228777</v>
      </c>
      <c r="AE138" s="11">
        <f>'Activity data'!BG11-'Net zero supporting data'!AE128</f>
        <v>8032360.4505631551</v>
      </c>
      <c r="AF138" s="11">
        <f>'Activity data'!BH11-'Net zero supporting data'!AF128</f>
        <v>8040053.5367581137</v>
      </c>
      <c r="AG138" s="11">
        <f>'Activity data'!BI11-'Net zero supporting data'!AG128</f>
        <v>8048385.8550538607</v>
      </c>
      <c r="AH138" s="11">
        <f>'Activity data'!BJ11-'Net zero supporting data'!AH128</f>
        <v>8057368.9080977272</v>
      </c>
      <c r="AI138" s="11">
        <f>'Activity data'!BK11-'Net zero supporting data'!AI128</f>
        <v>8066996.4162648376</v>
      </c>
      <c r="AJ138" s="11">
        <f>'Activity data'!BL11-'Net zero supporting data'!AJ128</f>
        <v>8071301.3579875082</v>
      </c>
      <c r="AK138" s="11">
        <f>'Activity data'!BM11-'Net zero supporting data'!AK128</f>
        <v>8075308.2312801741</v>
      </c>
      <c r="AL138" s="11">
        <f>'Activity data'!BN11-'Net zero supporting data'!AL128</f>
        <v>8079750.2575692553</v>
      </c>
      <c r="AM138" s="11">
        <f>'Activity data'!BO11-'Net zero supporting data'!AM128</f>
        <v>8084698.6382178422</v>
      </c>
      <c r="AN138" s="11">
        <f>'Activity data'!BP11-'Net zero supporting data'!AN128</f>
        <v>8090102.4331165981</v>
      </c>
    </row>
    <row r="139" spans="1:40" x14ac:dyDescent="0.2">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2899158.361752002</v>
      </c>
      <c r="K139" s="11">
        <f>'Activity data'!AM12-'Net zero supporting data'!K129</f>
        <v>2787430.6028200183</v>
      </c>
      <c r="L139" s="11">
        <f>'Activity data'!AN12-'Net zero supporting data'!L129</f>
        <v>2675878.6572301388</v>
      </c>
      <c r="M139" s="11">
        <f>'Activity data'!AO12-'Net zero supporting data'!M129</f>
        <v>2564489.9804469803</v>
      </c>
      <c r="N139" s="11">
        <f>'Activity data'!AP12-'Net zero supporting data'!N129</f>
        <v>2453241.6911140825</v>
      </c>
      <c r="O139" s="11">
        <f>'Activity data'!AQ12-'Net zero supporting data'!O129</f>
        <v>2341943.7583069997</v>
      </c>
      <c r="P139" s="11">
        <f>'Activity data'!AR12-'Net zero supporting data'!P129</f>
        <v>2228037.7193777943</v>
      </c>
      <c r="Q139" s="11">
        <f>'Activity data'!AS12-'Net zero supporting data'!Q129</f>
        <v>2114149.3098400934</v>
      </c>
      <c r="R139" s="11">
        <f>'Activity data'!AT12-'Net zero supporting data'!R129</f>
        <v>2000196.2121348614</v>
      </c>
      <c r="S139" s="11">
        <f>'Activity data'!AU12-'Net zero supporting data'!S129</f>
        <v>1886198.204868898</v>
      </c>
      <c r="T139" s="11">
        <f>'Activity data'!AV12-'Net zero supporting data'!T129</f>
        <v>1772002.1909825616</v>
      </c>
      <c r="U139" s="11">
        <f>'Activity data'!AW12-'Net zero supporting data'!U129</f>
        <v>1774414.2487319384</v>
      </c>
      <c r="V139" s="11">
        <f>'Activity data'!AX12-'Net zero supporting data'!V129</f>
        <v>1777121.7943357124</v>
      </c>
      <c r="W139" s="11">
        <f>'Activity data'!AY12-'Net zero supporting data'!W129</f>
        <v>1780081.5742623995</v>
      </c>
      <c r="X139" s="11">
        <f>'Activity data'!AZ12-'Net zero supporting data'!X129</f>
        <v>1783324.3264810455</v>
      </c>
      <c r="Y139" s="11">
        <f>'Activity data'!BA12-'Net zero supporting data'!Y129</f>
        <v>1786663.055408824</v>
      </c>
      <c r="Z139" s="11">
        <f>'Activity data'!BB12-'Net zero supporting data'!Z129</f>
        <v>1788709.2794408146</v>
      </c>
      <c r="AA139" s="11">
        <f>'Activity data'!BC12-'Net zero supporting data'!AA129</f>
        <v>1790969.7412918548</v>
      </c>
      <c r="AB139" s="11">
        <f>'Activity data'!BD12-'Net zero supporting data'!AB129</f>
        <v>1793386.8198852958</v>
      </c>
      <c r="AC139" s="11">
        <f>'Activity data'!BE12-'Net zero supporting data'!AC129</f>
        <v>1795989.2716663</v>
      </c>
      <c r="AD139" s="11">
        <f>'Activity data'!BF12-'Net zero supporting data'!AD129</f>
        <v>1798753.5795792656</v>
      </c>
      <c r="AE139" s="11">
        <f>'Activity data'!BG12-'Net zero supporting data'!AE129</f>
        <v>1800356.6527124315</v>
      </c>
      <c r="AF139" s="11">
        <f>'Activity data'!BH12-'Net zero supporting data'!AF129</f>
        <v>1802080.9651354391</v>
      </c>
      <c r="AG139" s="11">
        <f>'Activity data'!BI12-'Net zero supporting data'!AG129</f>
        <v>1803948.5537189688</v>
      </c>
      <c r="AH139" s="11">
        <f>'Activity data'!BJ12-'Net zero supporting data'!AH129</f>
        <v>1805961.9966425942</v>
      </c>
      <c r="AI139" s="11">
        <f>'Activity data'!BK12-'Net zero supporting data'!AI129</f>
        <v>1808119.8864041877</v>
      </c>
      <c r="AJ139" s="11">
        <f>'Activity data'!BL12-'Net zero supporting data'!AJ129</f>
        <v>1809084.787135131</v>
      </c>
      <c r="AK139" s="11">
        <f>'Activity data'!BM12-'Net zero supporting data'!AK129</f>
        <v>1809982.8794248665</v>
      </c>
      <c r="AL139" s="11">
        <f>'Activity data'!BN12-'Net zero supporting data'!AL129</f>
        <v>1810978.5060069021</v>
      </c>
      <c r="AM139" s="11">
        <f>'Activity data'!BO12-'Net zero supporting data'!AM129</f>
        <v>1812087.6258074476</v>
      </c>
      <c r="AN139" s="11">
        <f>'Activity data'!BP12-'Net zero supporting data'!AN129</f>
        <v>1813298.8212157893</v>
      </c>
    </row>
    <row r="140" spans="1:40" x14ac:dyDescent="0.2">
      <c r="A140" t="s">
        <v>1106</v>
      </c>
      <c r="B140" s="11">
        <f>'Activity data'!AD13-'Net zero supporting data'!B130</f>
        <v>2068089.0408217213</v>
      </c>
      <c r="C140" s="11">
        <f>'Activity data'!AE13-'Net zero supporting data'!C130</f>
        <v>2073465.0740723512</v>
      </c>
      <c r="D140" s="11">
        <f>'Activity data'!AF13-'Net zero supporting data'!D130</f>
        <v>2080881.121959276</v>
      </c>
      <c r="E140" s="11">
        <f>'Activity data'!AG13-'Net zero supporting data'!E130</f>
        <v>2089915.8268703569</v>
      </c>
      <c r="F140" s="11">
        <f>'Activity data'!AH13-'Net zero supporting data'!F130</f>
        <v>2100556.3029240505</v>
      </c>
      <c r="G140" s="11">
        <f>'Activity data'!AI13-'Net zero supporting data'!G130</f>
        <v>2112737.7866022554</v>
      </c>
      <c r="H140" s="11">
        <f>'Activity data'!AJ13-'Net zero supporting data'!H130</f>
        <v>2125847.6846541637</v>
      </c>
      <c r="I140" s="11">
        <f>'Activity data'!AK13-'Net zero supporting data'!I130</f>
        <v>2139834.1013227375</v>
      </c>
      <c r="J140" s="11">
        <f>'Activity data'!AL13-'Net zero supporting data'!J130</f>
        <v>2152683.4377599582</v>
      </c>
      <c r="K140" s="11">
        <f>'Activity data'!AM13-'Net zero supporting data'!K130</f>
        <v>2158938.7090060171</v>
      </c>
      <c r="L140" s="11">
        <f>'Activity data'!AN13-'Net zero supporting data'!L130</f>
        <v>2165662.0711804889</v>
      </c>
      <c r="M140" s="11">
        <f>'Activity data'!AO13-'Net zero supporting data'!M130</f>
        <v>2172935.7450459148</v>
      </c>
      <c r="N140" s="11">
        <f>'Activity data'!AP13-'Net zero supporting data'!N130</f>
        <v>2180839.5935468497</v>
      </c>
      <c r="O140" s="11">
        <f>'Activity data'!AQ13-'Net zero supporting data'!O130</f>
        <v>2189232.9803399076</v>
      </c>
      <c r="P140" s="11">
        <f>'Activity data'!AR13-'Net zero supporting data'!P130</f>
        <v>2194480.1718532471</v>
      </c>
      <c r="Q140" s="11">
        <f>'Activity data'!AS13-'Net zero supporting data'!Q130</f>
        <v>2200156.2435630234</v>
      </c>
      <c r="R140" s="11">
        <f>'Activity data'!AT13-'Net zero supporting data'!R130</f>
        <v>2206227.8120205179</v>
      </c>
      <c r="S140" s="11">
        <f>'Activity data'!AU13-'Net zero supporting data'!S130</f>
        <v>2212827.8157270025</v>
      </c>
      <c r="T140" s="11">
        <f>'Activity data'!AV13-'Net zero supporting data'!T130</f>
        <v>2219804.216870348</v>
      </c>
      <c r="U140" s="11">
        <f>'Activity data'!AW13-'Net zero supporting data'!U130</f>
        <v>2135366.0403562617</v>
      </c>
      <c r="V140" s="11">
        <f>'Activity data'!AX13-'Net zero supporting data'!V130</f>
        <v>2050987.9989506404</v>
      </c>
      <c r="W140" s="11">
        <f>'Activity data'!AY13-'Net zero supporting data'!W130</f>
        <v>1966546.9484955424</v>
      </c>
      <c r="X140" s="11">
        <f>'Activity data'!AZ13-'Net zero supporting data'!X130</f>
        <v>1882045.6010856475</v>
      </c>
      <c r="Y140" s="11">
        <f>'Activity data'!BA13-'Net zero supporting data'!Y130</f>
        <v>1797160.0764689285</v>
      </c>
      <c r="Z140" s="11">
        <f>'Activity data'!BB13-'Net zero supporting data'!Z130</f>
        <v>1709965.1487976727</v>
      </c>
      <c r="AA140" s="11">
        <f>'Activity data'!BC13-'Net zero supporting data'!AA130</f>
        <v>1622728.1174617615</v>
      </c>
      <c r="AB140" s="11">
        <f>'Activity data'!BD13-'Net zero supporting data'!AB130</f>
        <v>1535339.093016343</v>
      </c>
      <c r="AC140" s="11">
        <f>'Activity data'!BE13-'Net zero supporting data'!AC130</f>
        <v>1447804.8553117388</v>
      </c>
      <c r="AD140" s="11">
        <f>'Activity data'!BF13-'Net zero supporting data'!AD130</f>
        <v>1360066.8225878645</v>
      </c>
      <c r="AE140" s="11">
        <f>'Activity data'!BG13-'Net zero supporting data'!AE130</f>
        <v>1361533.0756387878</v>
      </c>
      <c r="AF140" s="11">
        <f>'Activity data'!BH13-'Net zero supporting data'!AF130</f>
        <v>1363105.345477378</v>
      </c>
      <c r="AG140" s="11">
        <f>'Activity data'!BI13-'Net zero supporting data'!AG130</f>
        <v>1364807.886897644</v>
      </c>
      <c r="AH140" s="11">
        <f>'Activity data'!BJ13-'Net zero supporting data'!AH130</f>
        <v>1366643.8357172534</v>
      </c>
      <c r="AI140" s="11">
        <f>'Activity data'!BK13-'Net zero supporting data'!AI130</f>
        <v>1368611.9798468247</v>
      </c>
      <c r="AJ140" s="11">
        <f>'Activity data'!BL13-'Net zero supporting data'!AJ130</f>
        <v>1369281.4960568012</v>
      </c>
      <c r="AK140" s="11">
        <f>'Activity data'!BM13-'Net zero supporting data'!AK130</f>
        <v>1369862.6662840585</v>
      </c>
      <c r="AL140" s="11">
        <f>'Activity data'!BN13-'Net zero supporting data'!AL130</f>
        <v>1370531.9317622422</v>
      </c>
      <c r="AM140" s="11">
        <f>'Activity data'!BO13-'Net zero supporting data'!AM130</f>
        <v>1371306.547173633</v>
      </c>
      <c r="AN140" s="11">
        <f>'Activity data'!BP13-'Net zero supporting data'!AN130</f>
        <v>1372174.5181911541</v>
      </c>
    </row>
    <row r="141" spans="1:40" x14ac:dyDescent="0.2">
      <c r="A141" t="s">
        <v>1107</v>
      </c>
      <c r="B141" s="11">
        <f>'Activity data'!AD14-'Net zero supporting data'!B131</f>
        <v>4014525.785124517</v>
      </c>
      <c r="C141" s="11">
        <f>'Activity data'!AE14-'Net zero supporting data'!C131</f>
        <v>4024961.6143757398</v>
      </c>
      <c r="D141" s="11">
        <f>'Activity data'!AF14-'Net zero supporting data'!D131</f>
        <v>4039357.4720385941</v>
      </c>
      <c r="E141" s="11">
        <f>'Activity data'!AG14-'Net zero supporting data'!E131</f>
        <v>4056895.4286306924</v>
      </c>
      <c r="F141" s="11">
        <f>'Activity data'!AH14-'Net zero supporting data'!F131</f>
        <v>4077550.4703819798</v>
      </c>
      <c r="G141" s="11">
        <f>'Activity data'!AI14-'Net zero supporting data'!G131</f>
        <v>4101196.8798749652</v>
      </c>
      <c r="H141" s="11">
        <f>'Activity data'!AJ14-'Net zero supporting data'!H131</f>
        <v>4126645.5055051409</v>
      </c>
      <c r="I141" s="11">
        <f>'Activity data'!AK14-'Net zero supporting data'!I131</f>
        <v>4153795.6084500193</v>
      </c>
      <c r="J141" s="11">
        <f>'Activity data'!AL14-'Net zero supporting data'!J131</f>
        <v>4178738.4380046236</v>
      </c>
      <c r="K141" s="11">
        <f>'Activity data'!AM14-'Net zero supporting data'!K131</f>
        <v>4190881.0233646203</v>
      </c>
      <c r="L141" s="11">
        <f>'Activity data'!AN14-'Net zero supporting data'!L131</f>
        <v>4203932.2558209486</v>
      </c>
      <c r="M141" s="11">
        <f>'Activity data'!AO14-'Net zero supporting data'!M131</f>
        <v>4218051.740383246</v>
      </c>
      <c r="N141" s="11">
        <f>'Activity data'!AP14-'Net zero supporting data'!N131</f>
        <v>4233394.5051203547</v>
      </c>
      <c r="O141" s="11">
        <f>'Activity data'!AQ14-'Net zero supporting data'!O131</f>
        <v>4249687.5500715841</v>
      </c>
      <c r="P141" s="11">
        <f>'Activity data'!AR14-'Net zero supporting data'!P131</f>
        <v>4259873.2747739498</v>
      </c>
      <c r="Q141" s="11">
        <f>'Activity data'!AS14-'Net zero supporting data'!Q131</f>
        <v>4270891.531622339</v>
      </c>
      <c r="R141" s="11">
        <f>'Activity data'!AT14-'Net zero supporting data'!R131</f>
        <v>4282677.5174515927</v>
      </c>
      <c r="S141" s="11">
        <f>'Activity data'!AU14-'Net zero supporting data'!S131</f>
        <v>4295489.2893524161</v>
      </c>
      <c r="T141" s="11">
        <f>'Activity data'!AV14-'Net zero supporting data'!T131</f>
        <v>4309031.7151012635</v>
      </c>
      <c r="U141" s="11">
        <f>'Activity data'!AW14-'Net zero supporting data'!U131</f>
        <v>4231479.0285000913</v>
      </c>
      <c r="V141" s="11">
        <f>'Activity data'!AX14-'Net zero supporting data'!V131</f>
        <v>4154430.9339358234</v>
      </c>
      <c r="W141" s="11">
        <f>'Activity data'!AY14-'Net zero supporting data'!W131</f>
        <v>4077692.9373216392</v>
      </c>
      <c r="X141" s="11">
        <f>'Activity data'!AZ14-'Net zero supporting data'!X131</f>
        <v>4001323.8409636025</v>
      </c>
      <c r="Y141" s="11">
        <f>'Activity data'!BA14-'Net zero supporting data'!Y131</f>
        <v>3924680.4611122916</v>
      </c>
      <c r="Z141" s="11">
        <f>'Activity data'!BB14-'Net zero supporting data'!Z131</f>
        <v>3843451.0774833132</v>
      </c>
      <c r="AA141" s="11">
        <f>'Activity data'!BC14-'Net zero supporting data'!AA131</f>
        <v>3762501.9586245739</v>
      </c>
      <c r="AB141" s="11">
        <f>'Activity data'!BD14-'Net zero supporting data'!AB131</f>
        <v>3681626.2680288083</v>
      </c>
      <c r="AC141" s="11">
        <f>'Activity data'!BE14-'Net zero supporting data'!AC131</f>
        <v>3600882.2963911439</v>
      </c>
      <c r="AD141" s="11">
        <f>'Activity data'!BF14-'Net zero supporting data'!AD131</f>
        <v>3520172.9525803542</v>
      </c>
      <c r="AE141" s="11">
        <f>'Activity data'!BG14-'Net zero supporting data'!AE131</f>
        <v>3523967.9604768618</v>
      </c>
      <c r="AF141" s="11">
        <f>'Activity data'!BH14-'Net zero supporting data'!AF131</f>
        <v>3528037.3647649782</v>
      </c>
      <c r="AG141" s="11">
        <f>'Activity data'!BI14-'Net zero supporting data'!AG131</f>
        <v>3532443.9425586076</v>
      </c>
      <c r="AH141" s="11">
        <f>'Activity data'!BJ14-'Net zero supporting data'!AH131</f>
        <v>3537195.8100917144</v>
      </c>
      <c r="AI141" s="11">
        <f>'Activity data'!BK14-'Net zero supporting data'!AI131</f>
        <v>3542289.8301917813</v>
      </c>
      <c r="AJ141" s="11">
        <f>'Activity data'!BL14-'Net zero supporting data'!AJ131</f>
        <v>3544022.6956764264</v>
      </c>
      <c r="AK141" s="11">
        <f>'Activity data'!BM14-'Net zero supporting data'!AK131</f>
        <v>3545526.9009705037</v>
      </c>
      <c r="AL141" s="11">
        <f>'Activity data'!BN14-'Net zero supporting data'!AL131</f>
        <v>3547259.1175022735</v>
      </c>
      <c r="AM141" s="11">
        <f>'Activity data'!BO14-'Net zero supporting data'!AM131</f>
        <v>3549264.0044494024</v>
      </c>
      <c r="AN141" s="11">
        <f>'Activity data'!BP14-'Net zero supporting data'!AN131</f>
        <v>3551510.5176712214</v>
      </c>
    </row>
    <row r="142" spans="1:40" x14ac:dyDescent="0.2">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2">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2">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2">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2">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2">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2">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2">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2">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2">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6" x14ac:dyDescent="0.2">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2">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2">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2">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2">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21012.367608252811</v>
      </c>
      <c r="L157">
        <f>'Net zero Activity data'!AN47*'Net zero supporting data'!L154</f>
        <v>42012.945207850222</v>
      </c>
      <c r="M157">
        <f>'Net zero Activity data'!AO47*'Net zero supporting data'!M154</f>
        <v>63005.575237529789</v>
      </c>
      <c r="N157">
        <f>'Net zero Activity data'!AP47*'Net zero supporting data'!N154</f>
        <v>83990.348363316472</v>
      </c>
      <c r="O157">
        <f>'Net zero Activity data'!AQ47*'Net zero supporting data'!O154</f>
        <v>104964.06332431582</v>
      </c>
      <c r="P157">
        <f>'Net zero Activity data'!AR47*'Net zero supporting data'!P154</f>
        <v>125930.09030537415</v>
      </c>
      <c r="Q157">
        <f>'Net zero Activity data'!AS47*'Net zero supporting data'!Q154</f>
        <v>146890.60950573793</v>
      </c>
      <c r="R157">
        <f>'Net zero Activity data'!AT47*'Net zero supporting data'!R154</f>
        <v>167844.71874318333</v>
      </c>
      <c r="S157">
        <f>'Net zero Activity data'!AU47*'Net zero supporting data'!S154</f>
        <v>188793.58630273081</v>
      </c>
      <c r="T157">
        <f>'Net zero Activity data'!AV47*'Net zero supporting data'!T154</f>
        <v>209727.15295179709</v>
      </c>
      <c r="U157">
        <f>'Net zero Activity data'!AW47*'Net zero supporting data'!U154</f>
        <v>230653.33836678538</v>
      </c>
      <c r="V157">
        <f>'Net zero Activity data'!AX47*'Net zero supporting data'!V154</f>
        <v>251567.66907028534</v>
      </c>
      <c r="W157">
        <f>'Net zero Activity data'!AY47*'Net zero supporting data'!W154</f>
        <v>272463.07526883052</v>
      </c>
      <c r="X157">
        <f>'Net zero Activity data'!AZ47*'Net zero supporting data'!X154</f>
        <v>293343.49946739216</v>
      </c>
      <c r="Y157">
        <f>'Net zero Activity data'!BA47*'Net zero supporting data'!Y154</f>
        <v>314201.2477673766</v>
      </c>
      <c r="Z157">
        <f>'Net zero Activity data'!BB47*'Net zero supporting data'!Z154</f>
        <v>335068.02348610247</v>
      </c>
      <c r="AA157">
        <f>'Net zero Activity data'!BC47*'Net zero supporting data'!AA154</f>
        <v>355928.9238356718</v>
      </c>
      <c r="AB157">
        <f>'Net zero Activity data'!BD47*'Net zero supporting data'!AB154</f>
        <v>376773.87749162957</v>
      </c>
      <c r="AC157">
        <f>'Net zero Activity data'!BE47*'Net zero supporting data'!AC154</f>
        <v>397612.90488943184</v>
      </c>
      <c r="AD157">
        <f>'Net zero Activity data'!BF47*'Net zero supporting data'!AD154</f>
        <v>418438.87737301656</v>
      </c>
      <c r="AE157">
        <f>'Net zero Activity data'!BG47*'Net zero supporting data'!AE154</f>
        <v>418338.59100292105</v>
      </c>
      <c r="AF157">
        <f>'Net zero Activity data'!BH47*'Net zero supporting data'!AF154</f>
        <v>418227.72368071467</v>
      </c>
      <c r="AG157">
        <f>'Net zero Activity data'!BI47*'Net zero supporting data'!AG154</f>
        <v>418122.49333628028</v>
      </c>
      <c r="AH157">
        <f>'Net zero Activity data'!BJ47*'Net zero supporting data'!AH154</f>
        <v>418017.17678107158</v>
      </c>
      <c r="AI157">
        <f>'Net zero Activity data'!BK47*'Net zero supporting data'!AI154</f>
        <v>417910.39934597863</v>
      </c>
      <c r="AJ157">
        <f>'Net zero Activity data'!BL47*'Net zero supporting data'!AJ154</f>
        <v>417801.72774241609</v>
      </c>
      <c r="AK157">
        <f>'Net zero Activity data'!BM47*'Net zero supporting data'!AK154</f>
        <v>417681.40669106657</v>
      </c>
      <c r="AL157">
        <f>'Net zero Activity data'!BN47*'Net zero supporting data'!AL154</f>
        <v>417597.02160044829</v>
      </c>
      <c r="AM157">
        <f>'Net zero Activity data'!BO47*'Net zero supporting data'!AM154</f>
        <v>417515.65825903474</v>
      </c>
      <c r="AN157">
        <f>'Net zero Activity data'!BP47*'Net zero supporting data'!AN154</f>
        <v>417433.63535525859</v>
      </c>
    </row>
    <row r="158" spans="1:48" x14ac:dyDescent="0.2">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138.68162621446857</v>
      </c>
      <c r="L158">
        <f>'Net zero Activity data'!AN48*'Net zero supporting data'!L155</f>
        <v>277.28543837181149</v>
      </c>
      <c r="M158">
        <f>'Net zero Activity data'!AO48*'Net zero supporting data'!M155</f>
        <v>415.83679656769669</v>
      </c>
      <c r="N158">
        <f>'Net zero Activity data'!AP48*'Net zero supporting data'!N155</f>
        <v>554.33629919788871</v>
      </c>
      <c r="O158">
        <f>'Net zero Activity data'!AQ48*'Net zero supporting data'!O155</f>
        <v>692.76281794048464</v>
      </c>
      <c r="P158">
        <f>'Net zero Activity data'!AR48*'Net zero supporting data'!P155</f>
        <v>831.13859601546972</v>
      </c>
      <c r="Q158">
        <f>'Net zero Activity data'!AS48*'Net zero supporting data'!Q155</f>
        <v>969.47802273787033</v>
      </c>
      <c r="R158">
        <f>'Net zero Activity data'!AT48*'Net zero supporting data'!R155</f>
        <v>1107.7751437050101</v>
      </c>
      <c r="S158">
        <f>'Net zero Activity data'!AU48*'Net zero supporting data'!S155</f>
        <v>1246.0376695980233</v>
      </c>
      <c r="T158">
        <f>'Net zero Activity data'!AV48*'Net zero supporting data'!T155</f>
        <v>1384.1992094818611</v>
      </c>
      <c r="U158">
        <f>'Net zero Activity data'!AW48*'Net zero supporting data'!U155</f>
        <v>1522.3120332207836</v>
      </c>
      <c r="V158">
        <f>'Net zero Activity data'!AX48*'Net zero supporting data'!V155</f>
        <v>1660.3466158638837</v>
      </c>
      <c r="W158">
        <f>'Net zero Activity data'!AY48*'Net zero supporting data'!W155</f>
        <v>1798.256296774282</v>
      </c>
      <c r="X158">
        <f>'Net zero Activity data'!AZ48*'Net zero supporting data'!X155</f>
        <v>1936.0670964847886</v>
      </c>
      <c r="Y158">
        <f>'Net zero Activity data'!BA48*'Net zero supporting data'!Y155</f>
        <v>2073.7282352646857</v>
      </c>
      <c r="Z158">
        <f>'Net zero Activity data'!BB48*'Net zero supporting data'!Z155</f>
        <v>2211.4489550082762</v>
      </c>
      <c r="AA158">
        <f>'Net zero Activity data'!BC48*'Net zero supporting data'!AA155</f>
        <v>2349.1308973154346</v>
      </c>
      <c r="AB158">
        <f>'Net zero Activity data'!BD48*'Net zero supporting data'!AB155</f>
        <v>2486.7075914447555</v>
      </c>
      <c r="AC158">
        <f>'Net zero Activity data'!BE48*'Net zero supporting data'!AC155</f>
        <v>2624.2451722702508</v>
      </c>
      <c r="AD158">
        <f>'Net zero Activity data'!BF48*'Net zero supporting data'!AD155</f>
        <v>2761.6965906619098</v>
      </c>
      <c r="AE158">
        <f>'Net zero Activity data'!BG48*'Net zero supporting data'!AE155</f>
        <v>2761.0347006192796</v>
      </c>
      <c r="AF158">
        <f>'Net zero Activity data'!BH48*'Net zero supporting data'!AF155</f>
        <v>2760.3029762927172</v>
      </c>
      <c r="AG158">
        <f>'Net zero Activity data'!BI48*'Net zero supporting data'!AG155</f>
        <v>2759.6084560194504</v>
      </c>
      <c r="AH158">
        <f>'Net zero Activity data'!BJ48*'Net zero supporting data'!AH155</f>
        <v>2758.9133667550727</v>
      </c>
      <c r="AI158">
        <f>'Net zero Activity data'!BK48*'Net zero supporting data'!AI155</f>
        <v>2758.2086356834593</v>
      </c>
      <c r="AJ158">
        <f>'Net zero Activity data'!BL48*'Net zero supporting data'!AJ155</f>
        <v>2757.4914030999466</v>
      </c>
      <c r="AK158">
        <f>'Net zero Activity data'!BM48*'Net zero supporting data'!AK155</f>
        <v>2756.69728416104</v>
      </c>
      <c r="AL158">
        <f>'Net zero Activity data'!BN48*'Net zero supporting data'!AL155</f>
        <v>2756.1403425629596</v>
      </c>
      <c r="AM158">
        <f>'Net zero Activity data'!BO48*'Net zero supporting data'!AM155</f>
        <v>2755.6033445096296</v>
      </c>
      <c r="AN158">
        <f>'Net zero Activity data'!BP48*'Net zero supporting data'!AN155</f>
        <v>2755.0619933447069</v>
      </c>
    </row>
    <row r="159" spans="1:48" x14ac:dyDescent="0.2">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1021020.931598742</v>
      </c>
      <c r="L159">
        <f>'Net zero Activity data'!AN50*'Net zero supporting data'!L156</f>
        <v>2043607.5009728079</v>
      </c>
      <c r="M159">
        <f>'Net zero Activity data'!AO50*'Net zero supporting data'!M156</f>
        <v>3065908.30393088</v>
      </c>
      <c r="N159">
        <f>'Net zero Activity data'!AP50*'Net zero supporting data'!N156</f>
        <v>4093668.970942229</v>
      </c>
      <c r="O159">
        <f>'Net zero Activity data'!AQ50*'Net zero supporting data'!O156</f>
        <v>5121451.2608365351</v>
      </c>
      <c r="P159">
        <f>'Net zero Activity data'!AR50*'Net zero supporting data'!P156</f>
        <v>6141090.7978144158</v>
      </c>
      <c r="Q159">
        <f>'Net zero Activity data'!AS50*'Net zero supporting data'!Q156</f>
        <v>7156770.9197371919</v>
      </c>
      <c r="R159">
        <f>'Net zero Activity data'!AT50*'Net zero supporting data'!R156</f>
        <v>8166142.4661027584</v>
      </c>
      <c r="S159">
        <f>'Net zero Activity data'!AU50*'Net zero supporting data'!S156</f>
        <v>9190062.7751318198</v>
      </c>
      <c r="T159">
        <f>'Net zero Activity data'!AV50*'Net zero supporting data'!T156</f>
        <v>10212656.404177396</v>
      </c>
      <c r="U159">
        <f>'Net zero Activity data'!AW50*'Net zero supporting data'!U156</f>
        <v>11318153.619549604</v>
      </c>
      <c r="V159">
        <f>'Net zero Activity data'!AX50*'Net zero supporting data'!V156</f>
        <v>12463169.036223764</v>
      </c>
      <c r="W159">
        <f>'Net zero Activity data'!AY50*'Net zero supporting data'!W156</f>
        <v>13640789.32076014</v>
      </c>
      <c r="X159">
        <f>'Net zero Activity data'!AZ50*'Net zero supporting data'!X156</f>
        <v>14870199.471180601</v>
      </c>
      <c r="Y159">
        <f>'Net zero Activity data'!BA50*'Net zero supporting data'!Y156</f>
        <v>16079193.34925646</v>
      </c>
      <c r="Z159">
        <f>'Net zero Activity data'!BB50*'Net zero supporting data'!Z156</f>
        <v>17294077.721613422</v>
      </c>
      <c r="AA159">
        <f>'Net zero Activity data'!BC50*'Net zero supporting data'!AA156</f>
        <v>18546132.253670849</v>
      </c>
      <c r="AB159">
        <f>'Net zero Activity data'!BD50*'Net zero supporting data'!AB156</f>
        <v>19811904.207088482</v>
      </c>
      <c r="AC159">
        <f>'Net zero Activity data'!BE50*'Net zero supporting data'!AC156</f>
        <v>21109599.645757604</v>
      </c>
      <c r="AD159">
        <f>'Net zero Activity data'!BF50*'Net zero supporting data'!AD156</f>
        <v>22430727.201254994</v>
      </c>
      <c r="AE159">
        <f>'Net zero Activity data'!BG50*'Net zero supporting data'!AE156</f>
        <v>22665919.010165501</v>
      </c>
      <c r="AF159">
        <f>'Net zero Activity data'!BH50*'Net zero supporting data'!AF156</f>
        <v>22890918.969657831</v>
      </c>
      <c r="AG159">
        <f>'Net zero Activity data'!BI50*'Net zero supporting data'!AG156</f>
        <v>23121278.39824165</v>
      </c>
      <c r="AH159">
        <f>'Net zero Activity data'!BJ50*'Net zero supporting data'!AH156</f>
        <v>23361029.430410728</v>
      </c>
      <c r="AI159">
        <f>'Net zero Activity data'!BK50*'Net zero supporting data'!AI156</f>
        <v>23611708.763932478</v>
      </c>
      <c r="AJ159">
        <f>'Net zero Activity data'!BL50*'Net zero supporting data'!AJ156</f>
        <v>23894238.931679547</v>
      </c>
      <c r="AK159">
        <f>'Net zero Activity data'!BM50*'Net zero supporting data'!AK156</f>
        <v>24074091.670097064</v>
      </c>
      <c r="AL159">
        <f>'Net zero Activity data'!BN50*'Net zero supporting data'!AL156</f>
        <v>24248159.170409232</v>
      </c>
      <c r="AM159">
        <f>'Net zero Activity data'!BO50*'Net zero supporting data'!AM156</f>
        <v>24427572.457309268</v>
      </c>
      <c r="AN159">
        <f>'Net zero Activity data'!BP50*'Net zero supporting data'!AN156</f>
        <v>24607609.881446261</v>
      </c>
    </row>
    <row r="160" spans="1:48" x14ac:dyDescent="0.2">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2985435.3535391502</v>
      </c>
      <c r="L160">
        <f>'Net zero Activity data'!AN51*'Net zero supporting data'!L156</f>
        <v>5975448.586160535</v>
      </c>
      <c r="M160">
        <f>'Net zero Activity data'!AO51*'Net zero supporting data'!M156</f>
        <v>8964626.2461361904</v>
      </c>
      <c r="N160">
        <f>'Net zero Activity data'!AP51*'Net zero supporting data'!N156</f>
        <v>11969768.38897964</v>
      </c>
      <c r="O160">
        <f>'Net zero Activity data'!AQ51*'Net zero supporting data'!O156</f>
        <v>14974973.756500697</v>
      </c>
      <c r="P160">
        <f>'Net zero Activity data'!AR51*'Net zero supporting data'!P156</f>
        <v>17956369.952554744</v>
      </c>
      <c r="Q160">
        <f>'Net zero Activity data'!AS51*'Net zero supporting data'!Q156</f>
        <v>20926188.934744697</v>
      </c>
      <c r="R160">
        <f>'Net zero Activity data'!AT51*'Net zero supporting data'!R156</f>
        <v>23877561.826442186</v>
      </c>
      <c r="S160">
        <f>'Net zero Activity data'!AU51*'Net zero supporting data'!S156</f>
        <v>26871474.874821708</v>
      </c>
      <c r="T160">
        <f>'Net zero Activity data'!AV51*'Net zero supporting data'!T156</f>
        <v>29861508.749716196</v>
      </c>
      <c r="U160">
        <f>'Net zero Activity data'!AW51*'Net zero supporting data'!U156</f>
        <v>33093950.28726963</v>
      </c>
      <c r="V160">
        <f>'Net zero Activity data'!AX51*'Net zero supporting data'!V156</f>
        <v>36441941.890080184</v>
      </c>
      <c r="W160">
        <f>'Net zero Activity data'!AY51*'Net zero supporting data'!W156</f>
        <v>39885269.173287533</v>
      </c>
      <c r="X160">
        <f>'Net zero Activity data'!AZ51*'Net zero supporting data'!X156</f>
        <v>43480028.510217123</v>
      </c>
      <c r="Y160">
        <f>'Net zero Activity data'!BA51*'Net zero supporting data'!Y156</f>
        <v>47015091.26369898</v>
      </c>
      <c r="Z160">
        <f>'Net zero Activity data'!BB51*'Net zero supporting data'!Z156</f>
        <v>50567377.650244959</v>
      </c>
      <c r="AA160">
        <f>'Net zero Activity data'!BC51*'Net zero supporting data'!AA156</f>
        <v>54228348.497052386</v>
      </c>
      <c r="AB160">
        <f>'Net zero Activity data'!BD51*'Net zero supporting data'!AB156</f>
        <v>57929428.682876058</v>
      </c>
      <c r="AC160">
        <f>'Net zero Activity data'!BE51*'Net zero supporting data'!AC156</f>
        <v>61723852.20626355</v>
      </c>
      <c r="AD160">
        <f>'Net zero Activity data'!BF51*'Net zero supporting data'!AD156</f>
        <v>65586790.554198138</v>
      </c>
      <c r="AE160">
        <f>'Net zero Activity data'!BG51*'Net zero supporting data'!AE156</f>
        <v>66274484.527410626</v>
      </c>
      <c r="AF160">
        <f>'Net zero Activity data'!BH51*'Net zero supporting data'!AF156</f>
        <v>66932377.830892146</v>
      </c>
      <c r="AG160">
        <f>'Net zero Activity data'!BI51*'Net zero supporting data'!AG156</f>
        <v>67605942.065308318</v>
      </c>
      <c r="AH160">
        <f>'Net zero Activity data'!BJ51*'Net zero supporting data'!AH156</f>
        <v>68306967.074035928</v>
      </c>
      <c r="AI160">
        <f>'Net zero Activity data'!BK51*'Net zero supporting data'!AI156</f>
        <v>69039946.11642012</v>
      </c>
      <c r="AJ160">
        <f>'Net zero Activity data'!BL51*'Net zero supporting data'!AJ156</f>
        <v>69866056.066891655</v>
      </c>
      <c r="AK160">
        <f>'Net zero Activity data'!BM51*'Net zero supporting data'!AK156</f>
        <v>70391940.21586962</v>
      </c>
      <c r="AL160">
        <f>'Net zero Activity data'!BN51*'Net zero supporting data'!AL156</f>
        <v>70900908.497764125</v>
      </c>
      <c r="AM160">
        <f>'Net zero Activity data'!BO51*'Net zero supporting data'!AM156</f>
        <v>71425507.70335272</v>
      </c>
      <c r="AN160">
        <f>'Net zero Activity data'!BP51*'Net zero supporting data'!AN156</f>
        <v>71951931.867974967</v>
      </c>
    </row>
    <row r="161" spans="1:40" x14ac:dyDescent="0.2">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159703.95837911579</v>
      </c>
      <c r="L161">
        <f>'Net zero Activity data'!AN52*'Net zero supporting data'!L156</f>
        <v>319652.80747728434</v>
      </c>
      <c r="M161">
        <f>'Net zero Activity data'!AO52*'Net zero supporting data'!M156</f>
        <v>479556.95815018704</v>
      </c>
      <c r="N161">
        <f>'Net zero Activity data'!AP52*'Net zero supporting data'!N156</f>
        <v>640315.11864260898</v>
      </c>
      <c r="O161">
        <f>'Net zero Activity data'!AQ52*'Net zero supporting data'!O156</f>
        <v>801076.6612987977</v>
      </c>
      <c r="P161">
        <f>'Net zero Activity data'!AR52*'Net zero supporting data'!P156</f>
        <v>960564.54752678715</v>
      </c>
      <c r="Q161">
        <f>'Net zero Activity data'!AS52*'Net zero supporting data'!Q156</f>
        <v>1119433.1180898417</v>
      </c>
      <c r="R161">
        <f>'Net zero Activity data'!AT52*'Net zero supporting data'!R156</f>
        <v>1277314.9268177173</v>
      </c>
      <c r="S161">
        <f>'Net zero Activity data'!AU52*'Net zero supporting data'!S156</f>
        <v>1437472.3940702821</v>
      </c>
      <c r="T161">
        <f>'Net zero Activity data'!AV52*'Net zero supporting data'!T156</f>
        <v>1597422.3474136726</v>
      </c>
      <c r="U161">
        <f>'Net zero Activity data'!AW52*'Net zero supporting data'!U156</f>
        <v>1770339.7439214811</v>
      </c>
      <c r="V161">
        <f>'Net zero Activity data'!AX52*'Net zero supporting data'!V156</f>
        <v>1949438.4174047401</v>
      </c>
      <c r="W161">
        <f>'Net zero Activity data'!AY52*'Net zero supporting data'!W156</f>
        <v>2133637.0122499149</v>
      </c>
      <c r="X161">
        <f>'Net zero Activity data'!AZ52*'Net zero supporting data'!X156</f>
        <v>2325936.3681369433</v>
      </c>
      <c r="Y161">
        <f>'Net zero Activity data'!BA52*'Net zero supporting data'!Y156</f>
        <v>2515042.2934018644</v>
      </c>
      <c r="Z161">
        <f>'Net zero Activity data'!BB52*'Net zero supporting data'!Z156</f>
        <v>2705069.5859222347</v>
      </c>
      <c r="AA161">
        <f>'Net zero Activity data'!BC52*'Net zero supporting data'!AA156</f>
        <v>2900910.8842617148</v>
      </c>
      <c r="AB161">
        <f>'Net zero Activity data'!BD52*'Net zero supporting data'!AB156</f>
        <v>3098897.8060866497</v>
      </c>
      <c r="AC161">
        <f>'Net zero Activity data'!BE52*'Net zero supporting data'!AC156</f>
        <v>3301878.0701655331</v>
      </c>
      <c r="AD161">
        <f>'Net zero Activity data'!BF52*'Net zero supporting data'!AD156</f>
        <v>3508523.4910446983</v>
      </c>
      <c r="AE161">
        <f>'Net zero Activity data'!BG52*'Net zero supporting data'!AE156</f>
        <v>3545311.2411278808</v>
      </c>
      <c r="AF161">
        <f>'Net zero Activity data'!BH52*'Net zero supporting data'!AF156</f>
        <v>3580504.8234081184</v>
      </c>
      <c r="AG161">
        <f>'Net zero Activity data'!BI52*'Net zero supporting data'!AG156</f>
        <v>3616536.7121346118</v>
      </c>
      <c r="AH161">
        <f>'Net zero Activity data'!BJ52*'Net zero supporting data'!AH156</f>
        <v>3654037.5974523369</v>
      </c>
      <c r="AI161">
        <f>'Net zero Activity data'!BK52*'Net zero supporting data'!AI156</f>
        <v>3693247.8434015312</v>
      </c>
      <c r="AJ161">
        <f>'Net zero Activity data'!BL52*'Net zero supporting data'!AJ156</f>
        <v>3737440.0678254422</v>
      </c>
      <c r="AK161">
        <f>'Net zero Activity data'!BM52*'Net zero supporting data'!AK156</f>
        <v>3765571.9046582342</v>
      </c>
      <c r="AL161">
        <f>'Net zero Activity data'!BN52*'Net zero supporting data'!AL156</f>
        <v>3792798.8379802406</v>
      </c>
      <c r="AM161">
        <f>'Net zero Activity data'!BO52*'Net zero supporting data'!AM156</f>
        <v>3820861.9375867075</v>
      </c>
      <c r="AN161">
        <f>'Net zero Activity data'!BP52*'Net zero supporting data'!AN156</f>
        <v>3849022.6622116528</v>
      </c>
    </row>
    <row r="162" spans="1:40" x14ac:dyDescent="0.2">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1019820.1824462556</v>
      </c>
      <c r="L162">
        <f>'Net zero Activity data'!AN53*'Net zero supporting data'!L156</f>
        <v>2043494.5014671732</v>
      </c>
      <c r="M162">
        <f>'Net zero Activity data'!AO53*'Net zero supporting data'!M156</f>
        <v>3063573.908976126</v>
      </c>
      <c r="N162">
        <f>'Net zero Activity data'!AP53*'Net zero supporting data'!N156</f>
        <v>4095773.4714634651</v>
      </c>
      <c r="O162">
        <f>'Net zero Activity data'!AQ53*'Net zero supporting data'!O156</f>
        <v>5122164.5886406135</v>
      </c>
      <c r="P162">
        <f>'Net zero Activity data'!AR53*'Net zero supporting data'!P156</f>
        <v>6129712.6387173459</v>
      </c>
      <c r="Q162">
        <f>'Net zero Activity data'!AS53*'Net zero supporting data'!Q156</f>
        <v>7122157.5260626273</v>
      </c>
      <c r="R162">
        <f>'Net zero Activity data'!AT53*'Net zero supporting data'!R156</f>
        <v>8092345.5093504554</v>
      </c>
      <c r="S162">
        <f>'Net zero Activity data'!AU53*'Net zero supporting data'!S156</f>
        <v>9097785.5328147989</v>
      </c>
      <c r="T162">
        <f>'Net zero Activity data'!AV53*'Net zero supporting data'!T156</f>
        <v>10092577.657963451</v>
      </c>
      <c r="U162">
        <f>'Net zero Activity data'!AW53*'Net zero supporting data'!U156</f>
        <v>11087760.142143788</v>
      </c>
      <c r="V162">
        <f>'Net zero Activity data'!AX53*'Net zero supporting data'!V156</f>
        <v>12132931.4290735</v>
      </c>
      <c r="W162">
        <f>'Net zero Activity data'!AY53*'Net zero supporting data'!W156</f>
        <v>13203954.82529616</v>
      </c>
      <c r="X162">
        <f>'Net zero Activity data'!AZ53*'Net zero supporting data'!X156</f>
        <v>14343362.925133906</v>
      </c>
      <c r="Y162">
        <f>'Net zero Activity data'!BA53*'Net zero supporting data'!Y156</f>
        <v>15367784.982716642</v>
      </c>
      <c r="Z162">
        <f>'Net zero Activity data'!BB53*'Net zero supporting data'!Z156</f>
        <v>16362550.027974268</v>
      </c>
      <c r="AA162">
        <f>'Net zero Activity data'!BC53*'Net zero supporting data'!AA156</f>
        <v>17382647.384076227</v>
      </c>
      <c r="AB162">
        <f>'Net zero Activity data'!BD53*'Net zero supporting data'!AB156</f>
        <v>18369716.045292273</v>
      </c>
      <c r="AC162">
        <f>'Net zero Activity data'!BE53*'Net zero supporting data'!AC156</f>
        <v>19362323.601435691</v>
      </c>
      <c r="AD162">
        <f>'Net zero Activity data'!BF53*'Net zero supporting data'!AD156</f>
        <v>20337889.153666042</v>
      </c>
      <c r="AE162">
        <f>'Net zero Activity data'!BG53*'Net zero supporting data'!AE156</f>
        <v>20449910.042976283</v>
      </c>
      <c r="AF162">
        <f>'Net zero Activity data'!BH53*'Net zero supporting data'!AF156</f>
        <v>20522391.736852437</v>
      </c>
      <c r="AG162">
        <f>'Net zero Activity data'!BI53*'Net zero supporting data'!AG156</f>
        <v>20588388.748418711</v>
      </c>
      <c r="AH162">
        <f>'Net zero Activity data'!BJ53*'Net zero supporting data'!AH156</f>
        <v>20655579.75486042</v>
      </c>
      <c r="AI162">
        <f>'Net zero Activity data'!BK53*'Net zero supporting data'!AI156</f>
        <v>20726154.254923902</v>
      </c>
      <c r="AJ162">
        <f>'Net zero Activity data'!BL53*'Net zero supporting data'!AJ156</f>
        <v>20855847.119990483</v>
      </c>
      <c r="AK162">
        <f>'Net zero Activity data'!BM53*'Net zero supporting data'!AK156</f>
        <v>20774723.849256966</v>
      </c>
      <c r="AL162">
        <f>'Net zero Activity data'!BN53*'Net zero supporting data'!AL156</f>
        <v>20670722.072388075</v>
      </c>
      <c r="AM162">
        <f>'Net zero Activity data'!BO53*'Net zero supporting data'!AM156</f>
        <v>20564485.644679319</v>
      </c>
      <c r="AN162">
        <f>'Net zero Activity data'!BP53*'Net zero supporting data'!AN156</f>
        <v>20447484.380071577</v>
      </c>
    </row>
    <row r="163" spans="1:40" x14ac:dyDescent="0.2">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1253797.9853676781</v>
      </c>
      <c r="L163">
        <f>'Net zero Activity data'!AN55*'Net zero supporting data'!L156</f>
        <v>2600058.9716541842</v>
      </c>
      <c r="M163">
        <f>'Net zero Activity data'!AO55*'Net zero supporting data'!M156</f>
        <v>4033180.7952837516</v>
      </c>
      <c r="N163">
        <f>'Net zero Activity data'!AP55*'Net zero supporting data'!N156</f>
        <v>5578020.9021691335</v>
      </c>
      <c r="O163">
        <f>'Net zero Activity data'!AQ55*'Net zero supporting data'!O156</f>
        <v>7215198.2378466642</v>
      </c>
      <c r="P163">
        <f>'Net zero Activity data'!AR55*'Net zero supporting data'!P156</f>
        <v>8929363.2972191405</v>
      </c>
      <c r="Q163">
        <f>'Net zero Activity data'!AS55*'Net zero supporting data'!Q156</f>
        <v>10728064.360442162</v>
      </c>
      <c r="R163">
        <f>'Net zero Activity data'!AT55*'Net zero supporting data'!R156</f>
        <v>12602751.995938858</v>
      </c>
      <c r="S163">
        <f>'Net zero Activity data'!AU55*'Net zero supporting data'!S156</f>
        <v>14647617.401588945</v>
      </c>
      <c r="T163">
        <f>'Net zero Activity data'!AV55*'Net zero supporting data'!T156</f>
        <v>16797308.993314184</v>
      </c>
      <c r="U163">
        <f>'Net zero Activity data'!AW55*'Net zero supporting data'!U156</f>
        <v>19076648.479993027</v>
      </c>
      <c r="V163">
        <f>'Net zero Activity data'!AX55*'Net zero supporting data'!V156</f>
        <v>21581071.436037503</v>
      </c>
      <c r="W163">
        <f>'Net zero Activity data'!AY55*'Net zero supporting data'!W156</f>
        <v>24282735.067260366</v>
      </c>
      <c r="X163">
        <f>'Net zero Activity data'!AZ55*'Net zero supporting data'!X156</f>
        <v>27275769.350809947</v>
      </c>
      <c r="Y163">
        <f>'Net zero Activity data'!BA55*'Net zero supporting data'!Y156</f>
        <v>30222100.760730192</v>
      </c>
      <c r="Z163">
        <f>'Net zero Activity data'!BB55*'Net zero supporting data'!Z156</f>
        <v>33282455.65391149</v>
      </c>
      <c r="AA163">
        <f>'Net zero Activity data'!BC55*'Net zero supporting data'!AA156</f>
        <v>36576632.88698712</v>
      </c>
      <c r="AB163">
        <f>'Net zero Activity data'!BD55*'Net zero supporting data'!AB156</f>
        <v>39994010.535220958</v>
      </c>
      <c r="AC163">
        <f>'Net zero Activity data'!BE55*'Net zero supporting data'!AC156</f>
        <v>43625955.924530365</v>
      </c>
      <c r="AD163">
        <f>'Net zero Activity data'!BF55*'Net zero supporting data'!AD156</f>
        <v>47433779.106458269</v>
      </c>
      <c r="AE163">
        <f>'Net zero Activity data'!BG55*'Net zero supporting data'!AE156</f>
        <v>49071091.396749876</v>
      </c>
      <c r="AF163">
        <f>'Net zero Activity data'!BH55*'Net zero supporting data'!AF156</f>
        <v>50670783.072738178</v>
      </c>
      <c r="AG163">
        <f>'Net zero Activity data'!BI55*'Net zero supporting data'!AG156</f>
        <v>52311307.133768484</v>
      </c>
      <c r="AH163">
        <f>'Net zero Activity data'!BJ55*'Net zero supporting data'!AH156</f>
        <v>54014182.631556801</v>
      </c>
      <c r="AI163">
        <f>'Net zero Activity data'!BK55*'Net zero supporting data'!AI156</f>
        <v>55788594.813240565</v>
      </c>
      <c r="AJ163">
        <f>'Net zero Activity data'!BL55*'Net zero supporting data'!AJ156</f>
        <v>57793017.057397604</v>
      </c>
      <c r="AK163">
        <f>'Net zero Activity data'!BM55*'Net zero supporting data'!AK156</f>
        <v>59275298.827881806</v>
      </c>
      <c r="AL163">
        <f>'Net zero Activity data'!BN55*'Net zero supporting data'!AL156</f>
        <v>60738055.766896434</v>
      </c>
      <c r="AM163">
        <f>'Net zero Activity data'!BO55*'Net zero supporting data'!AM156</f>
        <v>62240260.244111434</v>
      </c>
      <c r="AN163">
        <f>'Net zero Activity data'!BP55*'Net zero supporting data'!AN156</f>
        <v>63757198.28917671</v>
      </c>
    </row>
    <row r="164" spans="1:40" x14ac:dyDescent="0.2">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189721.4127640831</v>
      </c>
      <c r="L164">
        <f>'Net zero Activity data'!AN56*'Net zero supporting data'!L156</f>
        <v>380094.95318680775</v>
      </c>
      <c r="M164">
        <f>'Net zero Activity data'!AO56*'Net zero supporting data'!M156</f>
        <v>571245.91626132373</v>
      </c>
      <c r="N164">
        <f>'Net zero Activity data'!AP56*'Net zero supporting data'!N156</f>
        <v>763316.34325118631</v>
      </c>
      <c r="O164">
        <f>'Net zero Activity data'!AQ56*'Net zero supporting data'!O156</f>
        <v>956400.94786328089</v>
      </c>
      <c r="P164">
        <f>'Net zero Activity data'!AR56*'Net zero supporting data'!P156</f>
        <v>1149327.2830834102</v>
      </c>
      <c r="Q164">
        <f>'Net zero Activity data'!AS56*'Net zero supporting data'!Q156</f>
        <v>1343026.921954097</v>
      </c>
      <c r="R164">
        <f>'Net zero Activity data'!AT56*'Net zero supporting data'!R156</f>
        <v>1537578.1331767975</v>
      </c>
      <c r="S164">
        <f>'Net zero Activity data'!AU56*'Net zero supporting data'!S156</f>
        <v>1733138.9472273786</v>
      </c>
      <c r="T164">
        <f>'Net zero Activity data'!AV56*'Net zero supporting data'!T156</f>
        <v>1929729.8881867484</v>
      </c>
      <c r="U164">
        <f>'Net zero Activity data'!AW56*'Net zero supporting data'!U156</f>
        <v>2125592.3101845472</v>
      </c>
      <c r="V164">
        <f>'Net zero Activity data'!AX56*'Net zero supporting data'!V156</f>
        <v>2322366.2311000638</v>
      </c>
      <c r="W164">
        <f>'Net zero Activity data'!AY56*'Net zero supporting data'!W156</f>
        <v>2520086.9531475767</v>
      </c>
      <c r="X164">
        <f>'Net zero Activity data'!AZ56*'Net zero supporting data'!X156</f>
        <v>2718883.7456944096</v>
      </c>
      <c r="Y164">
        <f>'Net zero Activity data'!BA56*'Net zero supporting data'!Y156</f>
        <v>2918543.5963510568</v>
      </c>
      <c r="Z164">
        <f>'Net zero Activity data'!BB56*'Net zero supporting data'!Z156</f>
        <v>3116678.5462268242</v>
      </c>
      <c r="AA164">
        <f>'Net zero Activity data'!BC56*'Net zero supporting data'!AA156</f>
        <v>3315655.7906835508</v>
      </c>
      <c r="AB164">
        <f>'Net zero Activity data'!BD56*'Net zero supporting data'!AB156</f>
        <v>3515432.3719481323</v>
      </c>
      <c r="AC164">
        <f>'Net zero Activity data'!BE56*'Net zero supporting data'!AC156</f>
        <v>3716118.9577894276</v>
      </c>
      <c r="AD164">
        <f>'Net zero Activity data'!BF56*'Net zero supporting data'!AD156</f>
        <v>3917724.8895751154</v>
      </c>
      <c r="AE164">
        <f>'Net zero Activity data'!BG56*'Net zero supporting data'!AE156</f>
        <v>3921216.4181451835</v>
      </c>
      <c r="AF164">
        <f>'Net zero Activity data'!BH56*'Net zero supporting data'!AF156</f>
        <v>3924972.0085571846</v>
      </c>
      <c r="AG164">
        <f>'Net zero Activity data'!BI56*'Net zero supporting data'!AG156</f>
        <v>3929039.6576005248</v>
      </c>
      <c r="AH164">
        <f>'Net zero Activity data'!BJ56*'Net zero supporting data'!AH156</f>
        <v>3933424.9806070654</v>
      </c>
      <c r="AI164">
        <f>'Net zero Activity data'!BK56*'Net zero supporting data'!AI156</f>
        <v>3938124.9120061914</v>
      </c>
      <c r="AJ164">
        <f>'Net zero Activity data'!BL56*'Net zero supporting data'!AJ156</f>
        <v>3940226.4870370915</v>
      </c>
      <c r="AK164">
        <f>'Net zero Activity data'!BM56*'Net zero supporting data'!AK156</f>
        <v>3942182.5518124872</v>
      </c>
      <c r="AL164">
        <f>'Net zero Activity data'!BN56*'Net zero supporting data'!AL156</f>
        <v>3944351.0484233876</v>
      </c>
      <c r="AM164">
        <f>'Net zero Activity data'!BO56*'Net zero supporting data'!AM156</f>
        <v>3946766.7357623582</v>
      </c>
      <c r="AN164">
        <f>'Net zero Activity data'!BP56*'Net zero supporting data'!AN156</f>
        <v>3949404.746021946</v>
      </c>
    </row>
    <row r="165" spans="1:40" x14ac:dyDescent="0.2">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23962.28118319916</v>
      </c>
      <c r="L165">
        <f>'Net zero Activity data'!AN58*'Net zero supporting data'!L156</f>
        <v>48073.808933009153</v>
      </c>
      <c r="M165">
        <f>'Net zero Activity data'!AO58*'Net zero supporting data'!M156</f>
        <v>72352.907146382728</v>
      </c>
      <c r="N165">
        <f>'Net zero Activity data'!AP58*'Net zero supporting data'!N156</f>
        <v>96821.445348178691</v>
      </c>
      <c r="O165">
        <f>'Net zero Activity data'!AQ58*'Net zero supporting data'!O156</f>
        <v>121492.6019706004</v>
      </c>
      <c r="P165">
        <f>'Net zero Activity data'!AR58*'Net zero supporting data'!P156</f>
        <v>146140.55705114367</v>
      </c>
      <c r="Q165">
        <f>'Net zero Activity data'!AS58*'Net zero supporting data'!Q156</f>
        <v>170938.31165615091</v>
      </c>
      <c r="R165">
        <f>'Net zero Activity data'!AT58*'Net zero supporting data'!R156</f>
        <v>195897.18213045414</v>
      </c>
      <c r="S165">
        <f>'Net zero Activity data'!AU58*'Net zero supporting data'!S156</f>
        <v>221043.61693241732</v>
      </c>
      <c r="T165">
        <f>'Net zero Activity data'!AV58*'Net zero supporting data'!T156</f>
        <v>246378.33670038771</v>
      </c>
      <c r="U165">
        <f>'Net zero Activity data'!AW58*'Net zero supporting data'!U156</f>
        <v>271569.89895315439</v>
      </c>
      <c r="V165">
        <f>'Net zero Activity data'!AX58*'Net zero supporting data'!V156</f>
        <v>296923.37255624402</v>
      </c>
      <c r="W165">
        <f>'Net zero Activity data'!AY58*'Net zero supporting data'!W156</f>
        <v>322442.92050350038</v>
      </c>
      <c r="X165">
        <f>'Net zero Activity data'!AZ58*'Net zero supporting data'!X156</f>
        <v>348150.2717414698</v>
      </c>
      <c r="Y165">
        <f>'Net zero Activity data'!BA58*'Net zero supporting data'!Y156</f>
        <v>374003.68498124555</v>
      </c>
      <c r="Z165">
        <f>'Net zero Activity data'!BB58*'Net zero supporting data'!Z156</f>
        <v>399559.53248827351</v>
      </c>
      <c r="AA165">
        <f>'Net zero Activity data'!BC58*'Net zero supporting data'!AA156</f>
        <v>425255.59203711117</v>
      </c>
      <c r="AB165">
        <f>'Net zero Activity data'!BD58*'Net zero supporting data'!AB156</f>
        <v>451082.25976209546</v>
      </c>
      <c r="AC165">
        <f>'Net zero Activity data'!BE58*'Net zero supporting data'!AC156</f>
        <v>477058.35093631846</v>
      </c>
      <c r="AD165">
        <f>'Net zero Activity data'!BF58*'Net zero supporting data'!AD156</f>
        <v>503184.01806776854</v>
      </c>
      <c r="AE165">
        <f>'Net zero Activity data'!BG58*'Net zero supporting data'!AE156</f>
        <v>503726.48781220638</v>
      </c>
      <c r="AF165">
        <f>'Net zero Activity data'!BH58*'Net zero supporting data'!AF156</f>
        <v>504308.18059503846</v>
      </c>
      <c r="AG165">
        <f>'Net zero Activity data'!BI58*'Net zero supporting data'!AG156</f>
        <v>504938.06996411079</v>
      </c>
      <c r="AH165">
        <f>'Net zero Activity data'!BJ58*'Net zero supporting data'!AH156</f>
        <v>505617.31607810699</v>
      </c>
      <c r="AI165">
        <f>'Net zero Activity data'!BK58*'Net zero supporting data'!AI156</f>
        <v>506345.47050023294</v>
      </c>
      <c r="AJ165">
        <f>'Net zero Activity data'!BL58*'Net zero supporting data'!AJ156</f>
        <v>506593.17145955533</v>
      </c>
      <c r="AK165">
        <f>'Net zero Activity data'!BM58*'Net zero supporting data'!AK156</f>
        <v>506808.18704943353</v>
      </c>
      <c r="AL165">
        <f>'Net zero Activity data'!BN58*'Net zero supporting data'!AL156</f>
        <v>507055.79524549696</v>
      </c>
      <c r="AM165">
        <f>'Net zero Activity data'!BO58*'Net zero supporting data'!AM156</f>
        <v>507342.37976376282</v>
      </c>
      <c r="AN165">
        <f>'Net zero Activity data'!BP58*'Net zero supporting data'!AN156</f>
        <v>507663.5030621987</v>
      </c>
    </row>
    <row r="166" spans="1:40" x14ac:dyDescent="0.2">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330877.75003560772</v>
      </c>
      <c r="L166">
        <f>'Net zero Activity data'!AN62*'Net zero supporting data'!L156</f>
        <v>666076.19733956747</v>
      </c>
      <c r="M166">
        <f>'Net zero Activity data'!AO62*'Net zero supporting data'!M156</f>
        <v>1003382.550409155</v>
      </c>
      <c r="N166">
        <f>'Net zero Activity data'!AP62*'Net zero supporting data'!N156</f>
        <v>1348381.3036250188</v>
      </c>
      <c r="O166">
        <f>'Net zero Activity data'!AQ62*'Net zero supporting data'!O156</f>
        <v>1695287.5058639862</v>
      </c>
      <c r="P166">
        <f>'Net zero Activity data'!AR62*'Net zero supporting data'!P156</f>
        <v>2040520.4093415737</v>
      </c>
      <c r="Q166">
        <f>'Net zero Activity data'!AS62*'Net zero supporting data'!Q156</f>
        <v>2385021.3843141613</v>
      </c>
      <c r="R166">
        <f>'Net zero Activity data'!AT62*'Net zero supporting data'!R156</f>
        <v>2726423.0647405572</v>
      </c>
      <c r="S166">
        <f>'Net zero Activity data'!AU62*'Net zero supporting data'!S156</f>
        <v>3085037.2690349082</v>
      </c>
      <c r="T166">
        <f>'Net zero Activity data'!AV62*'Net zero supporting data'!T156</f>
        <v>3445105.9424154763</v>
      </c>
      <c r="U166">
        <f>'Net zero Activity data'!AW62*'Net zero supporting data'!U156</f>
        <v>3816976.2771250145</v>
      </c>
      <c r="V166">
        <f>'Net zero Activity data'!AX62*'Net zero supporting data'!V156</f>
        <v>4214391.326694102</v>
      </c>
      <c r="W166">
        <f>'Net zero Activity data'!AY62*'Net zero supporting data'!W156</f>
        <v>4629552.0699175876</v>
      </c>
      <c r="X166">
        <f>'Net zero Activity data'!AZ62*'Net zero supporting data'!X156</f>
        <v>5078931.5400426537</v>
      </c>
      <c r="Y166">
        <f>'Net zero Activity data'!BA62*'Net zero supporting data'!Y156</f>
        <v>5495654.3387328479</v>
      </c>
      <c r="Z166">
        <f>'Net zero Activity data'!BB62*'Net zero supporting data'!Z156</f>
        <v>5912285.0040464289</v>
      </c>
      <c r="AA166">
        <f>'Net zero Activity data'!BC62*'Net zero supporting data'!AA156</f>
        <v>6348904.4859346142</v>
      </c>
      <c r="AB166">
        <f>'Net zero Activity data'!BD62*'Net zero supporting data'!AB156</f>
        <v>6784055.1332859891</v>
      </c>
      <c r="AC166">
        <f>'Net zero Activity data'!BE62*'Net zero supporting data'!AC156</f>
        <v>7232993.5694606733</v>
      </c>
      <c r="AD166">
        <f>'Net zero Activity data'!BF62*'Net zero supporting data'!AD156</f>
        <v>7687651.852086544</v>
      </c>
      <c r="AE166">
        <f>'Net zero Activity data'!BG62*'Net zero supporting data'!AE156</f>
        <v>7787246.2315615909</v>
      </c>
      <c r="AF166">
        <f>'Net zero Activity data'!BH62*'Net zero supporting data'!AF156</f>
        <v>7873730.6618896183</v>
      </c>
      <c r="AG166">
        <f>'Net zero Activity data'!BI62*'Net zero supporting data'!AG156</f>
        <v>7960138.2327717757</v>
      </c>
      <c r="AH166">
        <f>'Net zero Activity data'!BJ62*'Net zero supporting data'!AH156</f>
        <v>8049614.637012532</v>
      </c>
      <c r="AI166">
        <f>'Net zero Activity data'!BK62*'Net zero supporting data'!AI156</f>
        <v>8143165.6766666947</v>
      </c>
      <c r="AJ166">
        <f>'Net zero Activity data'!BL62*'Net zero supporting data'!AJ156</f>
        <v>8265081.1272461321</v>
      </c>
      <c r="AK166">
        <f>'Net zero Activity data'!BM62*'Net zero supporting data'!AK156</f>
        <v>8302837.310170711</v>
      </c>
      <c r="AL166">
        <f>'Net zero Activity data'!BN62*'Net zero supporting data'!AL156</f>
        <v>8332993.7300041039</v>
      </c>
      <c r="AM166">
        <f>'Net zero Activity data'!BO62*'Net zero supporting data'!AM156</f>
        <v>8364093.7359206118</v>
      </c>
      <c r="AN166">
        <f>'Net zero Activity data'!BP62*'Net zero supporting data'!AN156</f>
        <v>8392556.8417220842</v>
      </c>
    </row>
    <row r="167" spans="1:40" x14ac:dyDescent="0.2">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549718.63272450434</v>
      </c>
      <c r="L167">
        <f>'Net zero Activity data'!AN64*'Net zero supporting data'!L156</f>
        <v>1123140.0136726401</v>
      </c>
      <c r="M167">
        <f>'Net zero Activity data'!AO64*'Net zero supporting data'!M156</f>
        <v>1718709.1948240369</v>
      </c>
      <c r="N167">
        <f>'Net zero Activity data'!AP64*'Net zero supporting data'!N156</f>
        <v>2342011.798998008</v>
      </c>
      <c r="O167">
        <f>'Net zero Activity data'!AQ64*'Net zero supporting data'!O156</f>
        <v>2988246.1410253383</v>
      </c>
      <c r="P167">
        <f>'Net zero Activity data'!AR64*'Net zero supporting data'!P156</f>
        <v>3651330.6091535832</v>
      </c>
      <c r="Q167">
        <f>'Net zero Activity data'!AS64*'Net zero supporting data'!Q156</f>
        <v>4334319.2147751162</v>
      </c>
      <c r="R167">
        <f>'Net zero Activity data'!AT64*'Net zero supporting data'!R156</f>
        <v>5035046.8072660733</v>
      </c>
      <c r="S167">
        <f>'Net zero Activity data'!AU64*'Net zero supporting data'!S156</f>
        <v>5774727.4553991156</v>
      </c>
      <c r="T167">
        <f>'Net zero Activity data'!AV64*'Net zero supporting data'!T156</f>
        <v>6538078.9277818352</v>
      </c>
      <c r="U167">
        <f>'Net zero Activity data'!AW64*'Net zero supporting data'!U156</f>
        <v>7332218.2373132724</v>
      </c>
      <c r="V167">
        <f>'Net zero Activity data'!AX64*'Net zero supporting data'!V156</f>
        <v>8177058.7627384625</v>
      </c>
      <c r="W167">
        <f>'Net zero Activity data'!AY64*'Net zero supporting data'!W156</f>
        <v>9065884.0569010694</v>
      </c>
      <c r="X167">
        <f>'Net zero Activity data'!AZ64*'Net zero supporting data'!X156</f>
        <v>10019190.347636178</v>
      </c>
      <c r="Y167">
        <f>'Net zero Activity data'!BA64*'Net zero supporting data'!Y156</f>
        <v>10961511.046034578</v>
      </c>
      <c r="Z167">
        <f>'Net zero Activity data'!BB64*'Net zero supporting data'!Z156</f>
        <v>11923608.975717956</v>
      </c>
      <c r="AA167">
        <f>'Net zero Activity data'!BC64*'Net zero supporting data'!AA156</f>
        <v>12935828.880581722</v>
      </c>
      <c r="AB167">
        <f>'Net zero Activity data'!BD64*'Net zero supporting data'!AB156</f>
        <v>13973492.367368668</v>
      </c>
      <c r="AC167">
        <f>'Net zero Activity data'!BE64*'Net zero supporting data'!AC156</f>
        <v>15056298.035697699</v>
      </c>
      <c r="AD167">
        <f>'Net zero Activity data'!BF64*'Net zero supporting data'!AD156</f>
        <v>16175428.29542481</v>
      </c>
      <c r="AE167">
        <f>'Net zero Activity data'!BG64*'Net zero supporting data'!AE156</f>
        <v>16534715.524528449</v>
      </c>
      <c r="AF167">
        <f>'Net zero Activity data'!BH64*'Net zero supporting data'!AF156</f>
        <v>16884399.420097206</v>
      </c>
      <c r="AG167">
        <f>'Net zero Activity data'!BI64*'Net zero supporting data'!AG156</f>
        <v>17241443.854431707</v>
      </c>
      <c r="AH167">
        <f>'Net zero Activity data'!BJ64*'Net zero supporting data'!AH156</f>
        <v>17610415.894571539</v>
      </c>
      <c r="AI167">
        <f>'Net zero Activity data'!BK64*'Net zero supporting data'!AI156</f>
        <v>17993195.091040943</v>
      </c>
      <c r="AJ167">
        <f>'Net zero Activity data'!BL64*'Net zero supporting data'!AJ156</f>
        <v>18417511.199191276</v>
      </c>
      <c r="AK167">
        <f>'Net zero Activity data'!BM64*'Net zero supporting data'!AK156</f>
        <v>18728797.739212025</v>
      </c>
      <c r="AL167">
        <f>'Net zero Activity data'!BN64*'Net zero supporting data'!AL156</f>
        <v>19034671.444452167</v>
      </c>
      <c r="AM167">
        <f>'Net zero Activity data'!BO64*'Net zero supporting data'!AM156</f>
        <v>19347670.590936031</v>
      </c>
      <c r="AN167">
        <f>'Net zero Activity data'!BP64*'Net zero supporting data'!AN156</f>
        <v>19662525.367234178</v>
      </c>
    </row>
    <row r="168" spans="1:40" x14ac:dyDescent="0.2">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2262120.5645736135</v>
      </c>
      <c r="L168">
        <f>'Net zero Activity data'!AN65*'Net zero supporting data'!L156</f>
        <v>4655856.0275036003</v>
      </c>
      <c r="M168">
        <f>'Net zero Activity data'!AO65*'Net zero supporting data'!M156</f>
        <v>7158992.2107395967</v>
      </c>
      <c r="N168">
        <f>'Net zero Activity data'!AP65*'Net zero supporting data'!N156</f>
        <v>9832952.275085222</v>
      </c>
      <c r="O168">
        <f>'Net zero Activity data'!AQ65*'Net zero supporting data'!O156</f>
        <v>12617533.46019535</v>
      </c>
      <c r="P168">
        <f>'Net zero Activity data'!AR65*'Net zero supporting data'!P156</f>
        <v>15486692.667602768</v>
      </c>
      <c r="Q168">
        <f>'Net zero Activity data'!AS65*'Net zero supporting data'!Q156</f>
        <v>18442483.699056108</v>
      </c>
      <c r="R168">
        <f>'Net zero Activity data'!AT65*'Net zero supporting data'!R156</f>
        <v>21458268.823550139</v>
      </c>
      <c r="S168">
        <f>'Net zero Activity data'!AU65*'Net zero supporting data'!S156</f>
        <v>24768800.406819191</v>
      </c>
      <c r="T168">
        <f>'Net zero Activity data'!AV65*'Net zero supporting data'!T156</f>
        <v>28198001.53370088</v>
      </c>
      <c r="U168">
        <f>'Net zero Activity data'!AW65*'Net zero supporting data'!U156</f>
        <v>31889230.254244935</v>
      </c>
      <c r="V168">
        <f>'Net zero Activity data'!AX65*'Net zero supporting data'!V156</f>
        <v>35999602.650577404</v>
      </c>
      <c r="W168">
        <f>'Net zero Activity data'!AY65*'Net zero supporting data'!W156</f>
        <v>40447552.255145743</v>
      </c>
      <c r="X168">
        <f>'Net zero Activity data'!AZ65*'Net zero supporting data'!X156</f>
        <v>45446597.606301419</v>
      </c>
      <c r="Y168">
        <f>'Net zero Activity data'!BA65*'Net zero supporting data'!Y156</f>
        <v>50179408.626835145</v>
      </c>
      <c r="Z168">
        <f>'Net zero Activity data'!BB65*'Net zero supporting data'!Z156</f>
        <v>55070228.549144536</v>
      </c>
      <c r="AA168">
        <f>'Net zero Activity data'!BC65*'Net zero supporting data'!AA156</f>
        <v>60357115.595789798</v>
      </c>
      <c r="AB168">
        <f>'Net zero Activity data'!BD65*'Net zero supporting data'!AB156</f>
        <v>65774142.374090277</v>
      </c>
      <c r="AC168">
        <f>'Net zero Activity data'!BE65*'Net zero supporting data'!AC156</f>
        <v>71524237.51472263</v>
      </c>
      <c r="AD168">
        <f>'Net zero Activity data'!BF65*'Net zero supporting data'!AD156</f>
        <v>77510217.697244078</v>
      </c>
      <c r="AE168">
        <f>'Net zero Activity data'!BG65*'Net zero supporting data'!AE156</f>
        <v>80146839.333480716</v>
      </c>
      <c r="AF168">
        <f>'Net zero Activity data'!BH65*'Net zero supporting data'!AF156</f>
        <v>82655525.083631635</v>
      </c>
      <c r="AG168">
        <f>'Net zero Activity data'!BI65*'Net zero supporting data'!AG156</f>
        <v>85211273.397275239</v>
      </c>
      <c r="AH168">
        <f>'Net zero Activity data'!BJ65*'Net zero supporting data'!AH156</f>
        <v>87859690.196190953</v>
      </c>
      <c r="AI168">
        <f>'Net zero Activity data'!BK65*'Net zero supporting data'!AI156</f>
        <v>90618341.209029764</v>
      </c>
      <c r="AJ168">
        <f>'Net zero Activity data'!BL65*'Net zero supporting data'!AJ156</f>
        <v>93869088.657616109</v>
      </c>
      <c r="AK168">
        <f>'Net zero Activity data'!BM65*'Net zero supporting data'!AK156</f>
        <v>95962632.978201896</v>
      </c>
      <c r="AL168">
        <f>'Net zero Activity data'!BN65*'Net zero supporting data'!AL156</f>
        <v>97982353.294952989</v>
      </c>
      <c r="AM168">
        <f>'Net zero Activity data'!BO65*'Net zero supporting data'!AM156</f>
        <v>100052908.19085179</v>
      </c>
      <c r="AN168">
        <f>'Net zero Activity data'!BP65*'Net zero supporting data'!AN156</f>
        <v>102122033.30754922</v>
      </c>
    </row>
    <row r="169" spans="1:40" x14ac:dyDescent="0.2">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399234.98455680336</v>
      </c>
      <c r="L169">
        <f>'Net zero Activity data'!AN47-'Net zero supporting data'!L157</f>
        <v>378116.50687065197</v>
      </c>
      <c r="M169">
        <f>'Net zero Activity data'!AO47-'Net zero supporting data'!M157</f>
        <v>357031.59301266877</v>
      </c>
      <c r="N169">
        <f>'Net zero Activity data'!AP47-'Net zero supporting data'!N157</f>
        <v>335961.39345326589</v>
      </c>
      <c r="O169">
        <f>'Net zero Activity data'!AQ47-'Net zero supporting data'!O157</f>
        <v>314892.18997294747</v>
      </c>
      <c r="P169">
        <f>'Net zero Activity data'!AR47-'Net zero supporting data'!P157</f>
        <v>293836.87737920636</v>
      </c>
      <c r="Q169">
        <f>'Net zero Activity data'!AS47-'Net zero supporting data'!Q157</f>
        <v>272796.8462249419</v>
      </c>
      <c r="R169">
        <f>'Net zero Activity data'!AT47-'Net zero supporting data'!R157</f>
        <v>251767.07811477504</v>
      </c>
      <c r="S169">
        <f>'Net zero Activity data'!AU47-'Net zero supporting data'!S157</f>
        <v>230747.71659222656</v>
      </c>
      <c r="T169">
        <f>'Net zero Activity data'!AV47-'Net zero supporting data'!T157</f>
        <v>209727.15295179709</v>
      </c>
      <c r="U169">
        <f>'Net zero Activity data'!AW47-'Net zero supporting data'!U157</f>
        <v>188716.36775464256</v>
      </c>
      <c r="V169">
        <f>'Net zero Activity data'!AX47-'Net zero supporting data'!V157</f>
        <v>167711.77938019019</v>
      </c>
      <c r="W169">
        <f>'Net zero Activity data'!AY47-'Net zero supporting data'!W157</f>
        <v>146710.88668321638</v>
      </c>
      <c r="X169">
        <f>'Net zero Activity data'!AZ47-'Net zero supporting data'!X157</f>
        <v>125718.64262888225</v>
      </c>
      <c r="Y169">
        <f>'Net zero Activity data'!BA47-'Net zero supporting data'!Y157</f>
        <v>104733.74925579206</v>
      </c>
      <c r="Z169">
        <f>'Net zero Activity data'!BB47-'Net zero supporting data'!Z157</f>
        <v>83767.005871525442</v>
      </c>
      <c r="AA169">
        <f>'Net zero Activity data'!BC47-'Net zero supporting data'!AA157</f>
        <v>62810.986559236073</v>
      </c>
      <c r="AB169">
        <f>'Net zero Activity data'!BD47-'Net zero supporting data'!AB157</f>
        <v>41863.764165736444</v>
      </c>
      <c r="AC169">
        <f>'Net zero Activity data'!BE47-'Net zero supporting data'!AC157</f>
        <v>20926.994994180452</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2">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2634.9508980749029</v>
      </c>
      <c r="L170">
        <f>'Net zero Activity data'!AN48-'Net zero supporting data'!L158</f>
        <v>2495.5689453463037</v>
      </c>
      <c r="M170">
        <f>'Net zero Activity data'!AO48-'Net zero supporting data'!M158</f>
        <v>2356.4085138836144</v>
      </c>
      <c r="N170">
        <f>'Net zero Activity data'!AP48-'Net zero supporting data'!N158</f>
        <v>2217.3451967915548</v>
      </c>
      <c r="O170">
        <f>'Net zero Activity data'!AQ48-'Net zero supporting data'!O158</f>
        <v>2078.2884538214539</v>
      </c>
      <c r="P170">
        <f>'Net zero Activity data'!AR48-'Net zero supporting data'!P158</f>
        <v>1939.3233907027625</v>
      </c>
      <c r="Q170">
        <f>'Net zero Activity data'!AS48-'Net zero supporting data'!Q158</f>
        <v>1800.4591850846166</v>
      </c>
      <c r="R170">
        <f>'Net zero Activity data'!AT48-'Net zero supporting data'!R158</f>
        <v>1661.6627155575156</v>
      </c>
      <c r="S170">
        <f>'Net zero Activity data'!AU48-'Net zero supporting data'!S158</f>
        <v>1522.9349295086956</v>
      </c>
      <c r="T170">
        <f>'Net zero Activity data'!AV48-'Net zero supporting data'!T158</f>
        <v>1384.1992094818611</v>
      </c>
      <c r="U170">
        <f>'Net zero Activity data'!AW48-'Net zero supporting data'!U158</f>
        <v>1245.5280271806409</v>
      </c>
      <c r="V170">
        <f>'Net zero Activity data'!AX48-'Net zero supporting data'!V158</f>
        <v>1106.8977439092553</v>
      </c>
      <c r="W170">
        <f>'Net zero Activity data'!AY48-'Net zero supporting data'!W158</f>
        <v>968.29185210922833</v>
      </c>
      <c r="X170">
        <f>'Net zero Activity data'!AZ48-'Net zero supporting data'!X158</f>
        <v>829.74304135062312</v>
      </c>
      <c r="Y170">
        <f>'Net zero Activity data'!BA48-'Net zero supporting data'!Y158</f>
        <v>691.24274508822782</v>
      </c>
      <c r="Z170">
        <f>'Net zero Activity data'!BB48-'Net zero supporting data'!Z158</f>
        <v>552.86223875206815</v>
      </c>
      <c r="AA170">
        <f>'Net zero Activity data'!BC48-'Net zero supporting data'!AA158</f>
        <v>414.55251129095814</v>
      </c>
      <c r="AB170">
        <f>'Net zero Activity data'!BD48-'Net zero supporting data'!AB158</f>
        <v>276.30084349386061</v>
      </c>
      <c r="AC170">
        <f>'Net zero Activity data'!BE48-'Net zero supporting data'!AC158</f>
        <v>138.11816696159076</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2">
      <c r="A171" t="s">
        <v>1142</v>
      </c>
      <c r="B171">
        <f>'Net zero Activity data'!AD50-'Net zero supporting data'!B159</f>
        <v>20286067.697994635</v>
      </c>
      <c r="C171">
        <f>'Net zero Activity data'!AE50-'Net zero supporting data'!C159</f>
        <v>20399477.19036686</v>
      </c>
      <c r="D171">
        <f>'Net zero Activity data'!AF50-'Net zero supporting data'!D159</f>
        <v>20560385.837839566</v>
      </c>
      <c r="E171">
        <f>'Net zero Activity data'!AG50-'Net zero supporting data'!E159</f>
        <v>20663786.784143396</v>
      </c>
      <c r="F171">
        <f>'Net zero Activity data'!AH50-'Net zero supporting data'!F159</f>
        <v>20732497.185878474</v>
      </c>
      <c r="G171">
        <f>'Net zero Activity data'!AI50-'Net zero supporting data'!G159</f>
        <v>20765840.779266838</v>
      </c>
      <c r="H171">
        <f>'Net zero Activity data'!AJ50-'Net zero supporting data'!H159</f>
        <v>20839509.186275803</v>
      </c>
      <c r="I171">
        <f>'Net zero Activity data'!AK50-'Net zero supporting data'!I159</f>
        <v>20924019.222796645</v>
      </c>
      <c r="J171">
        <f>'Net zero Activity data'!AL50-'Net zero supporting data'!J159</f>
        <v>20351219.64173276</v>
      </c>
      <c r="K171">
        <f>'Net zero Activity data'!AM50-'Net zero supporting data'!K159</f>
        <v>19399397.700376097</v>
      </c>
      <c r="L171">
        <f>'Net zero Activity data'!AN50-'Net zero supporting data'!L159</f>
        <v>18392467.50875527</v>
      </c>
      <c r="M171">
        <f>'Net zero Activity data'!AO50-'Net zero supporting data'!M159</f>
        <v>17373480.388941653</v>
      </c>
      <c r="N171">
        <f>'Net zero Activity data'!AP50-'Net zero supporting data'!N159</f>
        <v>16374675.883768916</v>
      </c>
      <c r="O171">
        <f>'Net zero Activity data'!AQ50-'Net zero supporting data'!O159</f>
        <v>15364353.782509606</v>
      </c>
      <c r="P171">
        <f>'Net zero Activity data'!AR50-'Net zero supporting data'!P159</f>
        <v>14329211.86156697</v>
      </c>
      <c r="Q171">
        <f>'Net zero Activity data'!AS50-'Net zero supporting data'!Q159</f>
        <v>13291145.993797643</v>
      </c>
      <c r="R171">
        <f>'Net zero Activity data'!AT50-'Net zero supporting data'!R159</f>
        <v>12249213.69915414</v>
      </c>
      <c r="S171">
        <f>'Net zero Activity data'!AU50-'Net zero supporting data'!S159</f>
        <v>11232298.947383339</v>
      </c>
      <c r="T171">
        <f>'Net zero Activity data'!AV50-'Net zero supporting data'!T159</f>
        <v>10212656.404177396</v>
      </c>
      <c r="U171">
        <f>'Net zero Activity data'!AW50-'Net zero supporting data'!U159</f>
        <v>9260307.5069042202</v>
      </c>
      <c r="V171">
        <f>'Net zero Activity data'!AX50-'Net zero supporting data'!V159</f>
        <v>8308779.357482506</v>
      </c>
      <c r="W171">
        <f>'Net zero Activity data'!AY50-'Net zero supporting data'!W159</f>
        <v>7345040.4034862239</v>
      </c>
      <c r="X171">
        <f>'Net zero Activity data'!AZ50-'Net zero supporting data'!X159</f>
        <v>6372942.630505966</v>
      </c>
      <c r="Y171">
        <f>'Net zero Activity data'!BA50-'Net zero supporting data'!Y159</f>
        <v>5359731.1164188124</v>
      </c>
      <c r="Z171">
        <f>'Net zero Activity data'!BB50-'Net zero supporting data'!Z159</f>
        <v>4323519.4304033481</v>
      </c>
      <c r="AA171">
        <f>'Net zero Activity data'!BC50-'Net zero supporting data'!AA159</f>
        <v>3272846.8682948463</v>
      </c>
      <c r="AB171">
        <f>'Net zero Activity data'!BD50-'Net zero supporting data'!AB159</f>
        <v>2201322.6896764897</v>
      </c>
      <c r="AC171">
        <f>'Net zero Activity data'!BE50-'Net zero supporting data'!AC159</f>
        <v>1111031.5603030212</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2">
      <c r="A172" t="s">
        <v>1143</v>
      </c>
      <c r="B172">
        <f>'Net zero Activity data'!AD51-'Net zero supporting data'!B160</f>
        <v>59315868.867694005</v>
      </c>
      <c r="C172">
        <f>'Net zero Activity data'!AE51-'Net zero supporting data'!C160</f>
        <v>59647474.907762975</v>
      </c>
      <c r="D172">
        <f>'Net zero Activity data'!AF51-'Net zero supporting data'!D160</f>
        <v>60117967.088665649</v>
      </c>
      <c r="E172">
        <f>'Net zero Activity data'!AG51-'Net zero supporting data'!E160</f>
        <v>60420308.43263936</v>
      </c>
      <c r="F172">
        <f>'Net zero Activity data'!AH51-'Net zero supporting data'!F160</f>
        <v>60621215.638502978</v>
      </c>
      <c r="G172">
        <f>'Net zero Activity data'!AI51-'Net zero supporting data'!G160</f>
        <v>60718711.330740944</v>
      </c>
      <c r="H172">
        <f>'Net zero Activity data'!AJ51-'Net zero supporting data'!H160</f>
        <v>60934115.599073708</v>
      </c>
      <c r="I172">
        <f>'Net zero Activity data'!AK51-'Net zero supporting data'!I160</f>
        <v>61181220.475134537</v>
      </c>
      <c r="J172">
        <f>'Net zero Activity data'!AL51-'Net zero supporting data'!J160</f>
        <v>59506371.246409237</v>
      </c>
      <c r="K172">
        <f>'Net zero Activity data'!AM51-'Net zero supporting data'!K160</f>
        <v>56723271.71724385</v>
      </c>
      <c r="L172">
        <f>'Net zero Activity data'!AN51-'Net zero supporting data'!L160</f>
        <v>53779037.275444813</v>
      </c>
      <c r="M172">
        <f>'Net zero Activity data'!AO51-'Net zero supporting data'!M160</f>
        <v>50799548.728105068</v>
      </c>
      <c r="N172">
        <f>'Net zero Activity data'!AP51-'Net zero supporting data'!N160</f>
        <v>47879073.555918559</v>
      </c>
      <c r="O172">
        <f>'Net zero Activity data'!AQ51-'Net zero supporting data'!O160</f>
        <v>44924921.269502088</v>
      </c>
      <c r="P172">
        <f>'Net zero Activity data'!AR51-'Net zero supporting data'!P160</f>
        <v>41898196.555961072</v>
      </c>
      <c r="Q172">
        <f>'Net zero Activity data'!AS51-'Net zero supporting data'!Q160</f>
        <v>38862922.307383016</v>
      </c>
      <c r="R172">
        <f>'Net zero Activity data'!AT51-'Net zero supporting data'!R160</f>
        <v>35816342.739663288</v>
      </c>
      <c r="S172">
        <f>'Net zero Activity data'!AU51-'Net zero supporting data'!S160</f>
        <v>32842913.735893205</v>
      </c>
      <c r="T172">
        <f>'Net zero Activity data'!AV51-'Net zero supporting data'!T160</f>
        <v>29861508.749716196</v>
      </c>
      <c r="U172">
        <f>'Net zero Activity data'!AW51-'Net zero supporting data'!U160</f>
        <v>27076868.416856967</v>
      </c>
      <c r="V172">
        <f>'Net zero Activity data'!AX51-'Net zero supporting data'!V160</f>
        <v>24294627.926720113</v>
      </c>
      <c r="W172">
        <f>'Net zero Activity data'!AY51-'Net zero supporting data'!W160</f>
        <v>21476683.401000962</v>
      </c>
      <c r="X172">
        <f>'Net zero Activity data'!AZ51-'Net zero supporting data'!X160</f>
        <v>18634297.932950176</v>
      </c>
      <c r="Y172">
        <f>'Net zero Activity data'!BA51-'Net zero supporting data'!Y160</f>
        <v>15671697.08789964</v>
      </c>
      <c r="Z172">
        <f>'Net zero Activity data'!BB51-'Net zero supporting data'!Z160</f>
        <v>12641844.412561223</v>
      </c>
      <c r="AA172">
        <f>'Net zero Activity data'!BC51-'Net zero supporting data'!AA160</f>
        <v>9569708.5583033413</v>
      </c>
      <c r="AB172">
        <f>'Net zero Activity data'!BD51-'Net zero supporting data'!AB160</f>
        <v>6436603.1869862005</v>
      </c>
      <c r="AC172">
        <f>'Net zero Activity data'!BE51-'Net zero supporting data'!AC160</f>
        <v>3248623.8003296331</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2">
      <c r="A173" t="s">
        <v>1144</v>
      </c>
      <c r="B173">
        <f>'Net zero Activity data'!AD52-'Net zero supporting data'!B161</f>
        <v>3173064.5386902587</v>
      </c>
      <c r="C173">
        <f>'Net zero Activity data'!AE52-'Net zero supporting data'!C161</f>
        <v>3190803.5921112793</v>
      </c>
      <c r="D173">
        <f>'Net zero Activity data'!AF52-'Net zero supporting data'!D161</f>
        <v>3215972.2709733113</v>
      </c>
      <c r="E173">
        <f>'Net zero Activity data'!AG52-'Net zero supporting data'!E161</f>
        <v>3232145.8281588736</v>
      </c>
      <c r="F173">
        <f>'Net zero Activity data'!AH52-'Net zero supporting data'!F161</f>
        <v>3242893.2308803126</v>
      </c>
      <c r="G173">
        <f>'Net zero Activity data'!AI52-'Net zero supporting data'!G161</f>
        <v>3248108.7006967515</v>
      </c>
      <c r="H173">
        <f>'Net zero Activity data'!AJ52-'Net zero supporting data'!H161</f>
        <v>3259631.6145202648</v>
      </c>
      <c r="I173">
        <f>'Net zero Activity data'!AK52-'Net zero supporting data'!I161</f>
        <v>3272850.3321169834</v>
      </c>
      <c r="J173">
        <f>'Net zero Activity data'!AL52-'Net zero supporting data'!J161</f>
        <v>3183255.3418256845</v>
      </c>
      <c r="K173">
        <f>'Net zero Activity data'!AM52-'Net zero supporting data'!K161</f>
        <v>3034375.2092031995</v>
      </c>
      <c r="L173">
        <f>'Net zero Activity data'!AN52-'Net zero supporting data'!L161</f>
        <v>2876875.2672955589</v>
      </c>
      <c r="M173">
        <f>'Net zero Activity data'!AO52-'Net zero supporting data'!M161</f>
        <v>2717489.4295177259</v>
      </c>
      <c r="N173">
        <f>'Net zero Activity data'!AP52-'Net zero supporting data'!N161</f>
        <v>2561260.4745704355</v>
      </c>
      <c r="O173">
        <f>'Net zero Activity data'!AQ52-'Net zero supporting data'!O161</f>
        <v>2403229.9838963933</v>
      </c>
      <c r="P173">
        <f>'Net zero Activity data'!AR52-'Net zero supporting data'!P161</f>
        <v>2241317.2775625037</v>
      </c>
      <c r="Q173">
        <f>'Net zero Activity data'!AS52-'Net zero supporting data'!Q161</f>
        <v>2078947.2193097062</v>
      </c>
      <c r="R173">
        <f>'Net zero Activity data'!AT52-'Net zero supporting data'!R161</f>
        <v>1915972.3902265762</v>
      </c>
      <c r="S173">
        <f>'Net zero Activity data'!AU52-'Net zero supporting data'!S161</f>
        <v>1756910.7038636785</v>
      </c>
      <c r="T173">
        <f>'Net zero Activity data'!AV52-'Net zero supporting data'!T161</f>
        <v>1597422.3474136726</v>
      </c>
      <c r="U173">
        <f>'Net zero Activity data'!AW52-'Net zero supporting data'!U161</f>
        <v>1448459.7904812116</v>
      </c>
      <c r="V173">
        <f>'Net zero Activity data'!AX52-'Net zero supporting data'!V161</f>
        <v>1299625.6116031595</v>
      </c>
      <c r="W173">
        <f>'Net zero Activity data'!AY52-'Net zero supporting data'!W161</f>
        <v>1148881.468134569</v>
      </c>
      <c r="X173">
        <f>'Net zero Activity data'!AZ52-'Net zero supporting data'!X161</f>
        <v>996829.87205868913</v>
      </c>
      <c r="Y173">
        <f>'Net zero Activity data'!BA52-'Net zero supporting data'!Y161</f>
        <v>838347.43113395385</v>
      </c>
      <c r="Z173">
        <f>'Net zero Activity data'!BB52-'Net zero supporting data'!Z161</f>
        <v>676267.39648055751</v>
      </c>
      <c r="AA173">
        <f>'Net zero Activity data'!BC52-'Net zero supporting data'!AA161</f>
        <v>511925.45016383054</v>
      </c>
      <c r="AB173">
        <f>'Net zero Activity data'!BD52-'Net zero supporting data'!AB161</f>
        <v>344321.97845407063</v>
      </c>
      <c r="AC173">
        <f>'Net zero Activity data'!BE52-'Net zero supporting data'!AC161</f>
        <v>173783.05632450012</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2">
      <c r="A174" t="s">
        <v>1145</v>
      </c>
      <c r="B174">
        <f>'Net zero Activity data'!AD53-'Net zero supporting data'!B162</f>
        <v>25454532.089860566</v>
      </c>
      <c r="C174">
        <f>'Net zero Activity data'!AE53-'Net zero supporting data'!C162</f>
        <v>25233773.06215195</v>
      </c>
      <c r="D174">
        <f>'Net zero Activity data'!AF53-'Net zero supporting data'!D162</f>
        <v>25149736.783242289</v>
      </c>
      <c r="E174">
        <f>'Net zero Activity data'!AG53-'Net zero supporting data'!E162</f>
        <v>24813894.968798291</v>
      </c>
      <c r="F174">
        <f>'Net zero Activity data'!AH53-'Net zero supporting data'!F162</f>
        <v>24326412.373308256</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20174983.688096881</v>
      </c>
      <c r="K174">
        <f>'Net zero Activity data'!AM53-'Net zero supporting data'!K162</f>
        <v>19376583.466478854</v>
      </c>
      <c r="L174">
        <f>'Net zero Activity data'!AN53-'Net zero supporting data'!L162</f>
        <v>18391450.51320456</v>
      </c>
      <c r="M174">
        <f>'Net zero Activity data'!AO53-'Net zero supporting data'!M162</f>
        <v>17360252.150864709</v>
      </c>
      <c r="N174">
        <f>'Net zero Activity data'!AP53-'Net zero supporting data'!N162</f>
        <v>16383093.885853861</v>
      </c>
      <c r="O174">
        <f>'Net zero Activity data'!AQ53-'Net zero supporting data'!O162</f>
        <v>15366493.76592184</v>
      </c>
      <c r="P174">
        <f>'Net zero Activity data'!AR53-'Net zero supporting data'!P162</f>
        <v>14302662.823673807</v>
      </c>
      <c r="Q174">
        <f>'Net zero Activity data'!AS53-'Net zero supporting data'!Q162</f>
        <v>13226863.976973452</v>
      </c>
      <c r="R174">
        <f>'Net zero Activity data'!AT53-'Net zero supporting data'!R162</f>
        <v>12138518.264025684</v>
      </c>
      <c r="S174">
        <f>'Net zero Activity data'!AU53-'Net zero supporting data'!S162</f>
        <v>11119515.651218088</v>
      </c>
      <c r="T174">
        <f>'Net zero Activity data'!AV53-'Net zero supporting data'!T162</f>
        <v>10092577.657963451</v>
      </c>
      <c r="U174">
        <f>'Net zero Activity data'!AW53-'Net zero supporting data'!U162</f>
        <v>9071803.7526630964</v>
      </c>
      <c r="V174">
        <f>'Net zero Activity data'!AX53-'Net zero supporting data'!V162</f>
        <v>8088620.9527156632</v>
      </c>
      <c r="W174">
        <f>'Net zero Activity data'!AY53-'Net zero supporting data'!W162</f>
        <v>7109821.8290056214</v>
      </c>
      <c r="X174">
        <f>'Net zero Activity data'!AZ53-'Net zero supporting data'!X162</f>
        <v>6147155.5393430963</v>
      </c>
      <c r="Y174">
        <f>'Net zero Activity data'!BA53-'Net zero supporting data'!Y162</f>
        <v>5122594.9942388758</v>
      </c>
      <c r="Z174">
        <f>'Net zero Activity data'!BB53-'Net zero supporting data'!Z162</f>
        <v>4090637.5069935601</v>
      </c>
      <c r="AA174">
        <f>'Net zero Activity data'!BC53-'Net zero supporting data'!AA162</f>
        <v>3067526.0089546219</v>
      </c>
      <c r="AB174">
        <f>'Net zero Activity data'!BD53-'Net zero supporting data'!AB162</f>
        <v>2041079.5605880208</v>
      </c>
      <c r="AC174">
        <f>'Net zero Activity data'!BE53-'Net zero supporting data'!AC162</f>
        <v>1019069.6632334478</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2">
      <c r="A175" t="s">
        <v>1146</v>
      </c>
      <c r="B175">
        <f>'Net zero Activity data'!AD55-'Net zero supporting data'!B163</f>
        <v>21864231.859672833</v>
      </c>
      <c r="C175">
        <f>'Net zero Activity data'!AE55-'Net zero supporting data'!C163</f>
        <v>22601454.870712783</v>
      </c>
      <c r="D175">
        <f>'Net zero Activity data'!AF55-'Net zero supporting data'!D163</f>
        <v>23476461.448728886</v>
      </c>
      <c r="E175">
        <f>'Net zero Activity data'!AG55-'Net zero supporting data'!E163</f>
        <v>24129022.140224971</v>
      </c>
      <c r="F175">
        <f>'Net zero Activity data'!AH55-'Net zero supporting data'!F163</f>
        <v>24632268.790066551</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23960869.441787548</v>
      </c>
      <c r="K175">
        <f>'Net zero Activity data'!AM55-'Net zero supporting data'!K163</f>
        <v>23822161.721985884</v>
      </c>
      <c r="L175">
        <f>'Net zero Activity data'!AN55-'Net zero supporting data'!L163</f>
        <v>23400530.744887654</v>
      </c>
      <c r="M175">
        <f>'Net zero Activity data'!AO55-'Net zero supporting data'!M163</f>
        <v>22854691.173274592</v>
      </c>
      <c r="N175">
        <f>'Net zero Activity data'!AP55-'Net zero supporting data'!N163</f>
        <v>22312083.60867653</v>
      </c>
      <c r="O175">
        <f>'Net zero Activity data'!AQ55-'Net zero supporting data'!O163</f>
        <v>21645594.713539992</v>
      </c>
      <c r="P175">
        <f>'Net zero Activity data'!AR55-'Net zero supporting data'!P163</f>
        <v>20835181.026844665</v>
      </c>
      <c r="Q175">
        <f>'Net zero Activity data'!AS55-'Net zero supporting data'!Q163</f>
        <v>19923548.097964019</v>
      </c>
      <c r="R175">
        <f>'Net zero Activity data'!AT55-'Net zero supporting data'!R163</f>
        <v>18904127.993908286</v>
      </c>
      <c r="S175">
        <f>'Net zero Activity data'!AU55-'Net zero supporting data'!S163</f>
        <v>17902643.490830936</v>
      </c>
      <c r="T175">
        <f>'Net zero Activity data'!AV55-'Net zero supporting data'!T163</f>
        <v>16797308.993314184</v>
      </c>
      <c r="U175">
        <f>'Net zero Activity data'!AW55-'Net zero supporting data'!U163</f>
        <v>15608166.938176107</v>
      </c>
      <c r="V175">
        <f>'Net zero Activity data'!AX55-'Net zero supporting data'!V163</f>
        <v>14387380.95735833</v>
      </c>
      <c r="W175">
        <f>'Net zero Activity data'!AY55-'Net zero supporting data'!W163</f>
        <v>13075318.88237096</v>
      </c>
      <c r="X175">
        <f>'Net zero Activity data'!AZ55-'Net zero supporting data'!X163</f>
        <v>11689615.436061397</v>
      </c>
      <c r="Y175">
        <f>'Net zero Activity data'!BA55-'Net zero supporting data'!Y163</f>
        <v>10074033.586910054</v>
      </c>
      <c r="Z175">
        <f>'Net zero Activity data'!BB55-'Net zero supporting data'!Z163</f>
        <v>8320613.9134778567</v>
      </c>
      <c r="AA175">
        <f>'Net zero Activity data'!BC55-'Net zero supporting data'!AA163</f>
        <v>6454699.9212330058</v>
      </c>
      <c r="AB175">
        <f>'Net zero Activity data'!BD55-'Net zero supporting data'!AB163</f>
        <v>4443778.9483578652</v>
      </c>
      <c r="AC175">
        <f>'Net zero Activity data'!BE55-'Net zero supporting data'!AC163</f>
        <v>2296102.943396315</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2">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3788658.4360195673</v>
      </c>
      <c r="K176">
        <f>'Net zero Activity data'!AM56-'Net zero supporting data'!K164</f>
        <v>3604706.8425175785</v>
      </c>
      <c r="L176">
        <f>'Net zero Activity data'!AN56-'Net zero supporting data'!L164</f>
        <v>3420854.5786812697</v>
      </c>
      <c r="M176">
        <f>'Net zero Activity data'!AO56-'Net zero supporting data'!M164</f>
        <v>3237060.1921475003</v>
      </c>
      <c r="N176">
        <f>'Net zero Activity data'!AP56-'Net zero supporting data'!N164</f>
        <v>3053265.3730047448</v>
      </c>
      <c r="O176">
        <f>'Net zero Activity data'!AQ56-'Net zero supporting data'!O164</f>
        <v>2869202.8435898428</v>
      </c>
      <c r="P176">
        <f>'Net zero Activity data'!AR56-'Net zero supporting data'!P164</f>
        <v>2681763.6605279576</v>
      </c>
      <c r="Q176">
        <f>'Net zero Activity data'!AS56-'Net zero supporting data'!Q164</f>
        <v>2494192.8550576093</v>
      </c>
      <c r="R176">
        <f>'Net zero Activity data'!AT56-'Net zero supporting data'!R164</f>
        <v>2306367.1997651965</v>
      </c>
      <c r="S176">
        <f>'Net zero Activity data'!AU56-'Net zero supporting data'!S164</f>
        <v>2118280.9355001301</v>
      </c>
      <c r="T176">
        <f>'Net zero Activity data'!AV56-'Net zero supporting data'!T164</f>
        <v>1929729.8881867484</v>
      </c>
      <c r="U176">
        <f>'Net zero Activity data'!AW56-'Net zero supporting data'!U164</f>
        <v>1739120.981060084</v>
      </c>
      <c r="V176">
        <f>'Net zero Activity data'!AX56-'Net zero supporting data'!V164</f>
        <v>1548244.1540667084</v>
      </c>
      <c r="W176">
        <f>'Net zero Activity data'!AY56-'Net zero supporting data'!W164</f>
        <v>1356969.8978486941</v>
      </c>
      <c r="X176">
        <f>'Net zero Activity data'!AZ56-'Net zero supporting data'!X164</f>
        <v>1165235.8910118891</v>
      </c>
      <c r="Y176">
        <f>'Net zero Activity data'!BA56-'Net zero supporting data'!Y164</f>
        <v>972847.86545035103</v>
      </c>
      <c r="Z176">
        <f>'Net zero Activity data'!BB56-'Net zero supporting data'!Z164</f>
        <v>779169.63655670499</v>
      </c>
      <c r="AA176">
        <f>'Net zero Activity data'!BC56-'Net zero supporting data'!AA164</f>
        <v>585115.72776768403</v>
      </c>
      <c r="AB176">
        <f>'Net zero Activity data'!BD56-'Net zero supporting data'!AB164</f>
        <v>390603.59688312421</v>
      </c>
      <c r="AC176">
        <f>'Net zero Activity data'!BE56-'Net zero supporting data'!AC164</f>
        <v>195585.2083047051</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2">
      <c r="A177" t="s">
        <v>1148</v>
      </c>
      <c r="B177">
        <f>'Net zero Activity data'!AD58-'Net zero supporting data'!B165</f>
        <v>459078.62878496025</v>
      </c>
      <c r="C177">
        <f>'Net zero Activity data'!AE58-'Net zero supporting data'!C165</f>
        <v>460272.01162500517</v>
      </c>
      <c r="D177">
        <f>'Net zero Activity data'!AF58-'Net zero supporting data'!D165</f>
        <v>461918.24108018389</v>
      </c>
      <c r="E177">
        <f>'Net zero Activity data'!AG58-'Net zero supporting data'!E165</f>
        <v>463923.78332724673</v>
      </c>
      <c r="F177">
        <f>'Net zero Activity data'!AH58-'Net zero supporting data'!F165</f>
        <v>466285.77793189295</v>
      </c>
      <c r="G177">
        <f>'Net zero Activity data'!AI58-'Net zero supporting data'!G165</f>
        <v>468989.84855611261</v>
      </c>
      <c r="H177">
        <f>'Net zero Activity data'!AJ58-'Net zero supporting data'!H165</f>
        <v>471900.01049903809</v>
      </c>
      <c r="I177">
        <f>'Net zero Activity data'!AK58-'Net zero supporting data'!I165</f>
        <v>475004.74383453937</v>
      </c>
      <c r="J177">
        <f>'Net zero Activity data'!AL58-'Net zero supporting data'!J165</f>
        <v>477857.06577811105</v>
      </c>
      <c r="K177">
        <f>'Net zero Activity data'!AM58-'Net zero supporting data'!K165</f>
        <v>455283.34248078405</v>
      </c>
      <c r="L177">
        <f>'Net zero Activity data'!AN58-'Net zero supporting data'!L165</f>
        <v>432664.28039708233</v>
      </c>
      <c r="M177">
        <f>'Net zero Activity data'!AO58-'Net zero supporting data'!M165</f>
        <v>409999.80716283538</v>
      </c>
      <c r="N177">
        <f>'Net zero Activity data'!AP58-'Net zero supporting data'!N165</f>
        <v>387285.78139271477</v>
      </c>
      <c r="O177">
        <f>'Net zero Activity data'!AQ58-'Net zero supporting data'!O165</f>
        <v>364477.80591180117</v>
      </c>
      <c r="P177">
        <f>'Net zero Activity data'!AR58-'Net zero supporting data'!P165</f>
        <v>340994.63311933528</v>
      </c>
      <c r="Q177">
        <f>'Net zero Activity data'!AS58-'Net zero supporting data'!Q165</f>
        <v>317456.86450428033</v>
      </c>
      <c r="R177">
        <f>'Net zero Activity data'!AT58-'Net zero supporting data'!R165</f>
        <v>293845.77319568128</v>
      </c>
      <c r="S177">
        <f>'Net zero Activity data'!AU58-'Net zero supporting data'!S165</f>
        <v>270164.42069517676</v>
      </c>
      <c r="T177">
        <f>'Net zero Activity data'!AV58-'Net zero supporting data'!T165</f>
        <v>246378.33670038771</v>
      </c>
      <c r="U177">
        <f>'Net zero Activity data'!AW58-'Net zero supporting data'!U165</f>
        <v>222193.55368894443</v>
      </c>
      <c r="V177">
        <f>'Net zero Activity data'!AX58-'Net zero supporting data'!V165</f>
        <v>197948.9150374959</v>
      </c>
      <c r="W177">
        <f>'Net zero Activity data'!AY58-'Net zero supporting data'!W165</f>
        <v>173623.11104034627</v>
      </c>
      <c r="X177">
        <f>'Net zero Activity data'!AZ58-'Net zero supporting data'!X165</f>
        <v>149207.25931777264</v>
      </c>
      <c r="Y177">
        <f>'Net zero Activity data'!BA58-'Net zero supporting data'!Y165</f>
        <v>124667.8949937484</v>
      </c>
      <c r="Z177">
        <f>'Net zero Activity data'!BB58-'Net zero supporting data'!Z165</f>
        <v>99889.88312206819</v>
      </c>
      <c r="AA177">
        <f>'Net zero Activity data'!BC58-'Net zero supporting data'!AA165</f>
        <v>75045.104477137094</v>
      </c>
      <c r="AB177">
        <f>'Net zero Activity data'!BD58-'Net zero supporting data'!AB165</f>
        <v>50120.25108467706</v>
      </c>
      <c r="AC177">
        <f>'Net zero Activity data'!BE58-'Net zero supporting data'!AC165</f>
        <v>25108.334259806026</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2">
      <c r="A178" t="s">
        <v>1149</v>
      </c>
      <c r="B178">
        <f>'Net zero Activity data'!AD62-'Net zero supporting data'!B166</f>
        <v>7930919.3723073695</v>
      </c>
      <c r="C178">
        <f>'Net zero Activity data'!AE62-'Net zero supporting data'!C166</f>
        <v>7887809.550391132</v>
      </c>
      <c r="D178">
        <f>'Net zero Activity data'!AF62-'Net zero supporting data'!D166</f>
        <v>7891347.8708342705</v>
      </c>
      <c r="E178">
        <f>'Net zero Activity data'!AG62-'Net zero supporting data'!E166</f>
        <v>7818899.2502508275</v>
      </c>
      <c r="F178">
        <f>'Net zero Activity data'!AH62-'Net zero supporting data'!F166</f>
        <v>7700573.9427559124</v>
      </c>
      <c r="G178">
        <f>'Net zero Activity data'!AI62-'Net zero supporting data'!G166</f>
        <v>7538263.503845348</v>
      </c>
      <c r="H178">
        <f>'Net zero Activity data'!AJ62-'Net zero supporting data'!H166</f>
        <v>7420408.12542935</v>
      </c>
      <c r="I178">
        <f>'Net zero Activity data'!AK62-'Net zero supporting data'!I166</f>
        <v>7312981.3674521055</v>
      </c>
      <c r="J178">
        <f>'Net zero Activity data'!AL62-'Net zero supporting data'!J166</f>
        <v>6515821.9221795555</v>
      </c>
      <c r="K178">
        <f>'Net zero Activity data'!AM62-'Net zero supporting data'!K166</f>
        <v>6286677.2506765462</v>
      </c>
      <c r="L178">
        <f>'Net zero Activity data'!AN62-'Net zero supporting data'!L166</f>
        <v>5994685.7760561071</v>
      </c>
      <c r="M178">
        <f>'Net zero Activity data'!AO62-'Net zero supporting data'!M166</f>
        <v>5685834.4523185436</v>
      </c>
      <c r="N178">
        <f>'Net zero Activity data'!AP62-'Net zero supporting data'!N166</f>
        <v>5393525.2145000752</v>
      </c>
      <c r="O178">
        <f>'Net zero Activity data'!AQ62-'Net zero supporting data'!O166</f>
        <v>5085862.5175919589</v>
      </c>
      <c r="P178">
        <f>'Net zero Activity data'!AR62-'Net zero supporting data'!P166</f>
        <v>4761214.2884636726</v>
      </c>
      <c r="Q178">
        <f>'Net zero Activity data'!AS62-'Net zero supporting data'!Q166</f>
        <v>4429325.4280120134</v>
      </c>
      <c r="R178">
        <f>'Net zero Activity data'!AT62-'Net zero supporting data'!R166</f>
        <v>4089634.5971108368</v>
      </c>
      <c r="S178">
        <f>'Net zero Activity data'!AU62-'Net zero supporting data'!S166</f>
        <v>3770601.1065982217</v>
      </c>
      <c r="T178">
        <f>'Net zero Activity data'!AV62-'Net zero supporting data'!T166</f>
        <v>3445105.9424154763</v>
      </c>
      <c r="U178">
        <f>'Net zero Activity data'!AW62-'Net zero supporting data'!U166</f>
        <v>3122980.5903750113</v>
      </c>
      <c r="V178">
        <f>'Net zero Activity data'!AX62-'Net zero supporting data'!V166</f>
        <v>2809594.2177960668</v>
      </c>
      <c r="W178">
        <f>'Net zero Activity data'!AY62-'Net zero supporting data'!W166</f>
        <v>2492835.7299556229</v>
      </c>
      <c r="X178">
        <f>'Net zero Activity data'!AZ62-'Net zero supporting data'!X166</f>
        <v>2176684.9457325637</v>
      </c>
      <c r="Y178">
        <f>'Net zero Activity data'!BA62-'Net zero supporting data'!Y166</f>
        <v>1831884.7795776138</v>
      </c>
      <c r="Z178">
        <f>'Net zero Activity data'!BB62-'Net zero supporting data'!Z166</f>
        <v>1478071.2510116044</v>
      </c>
      <c r="AA178">
        <f>'Net zero Activity data'!BC62-'Net zero supporting data'!AA166</f>
        <v>1120394.9092825763</v>
      </c>
      <c r="AB178">
        <f>'Net zero Activity data'!BD62-'Net zero supporting data'!AB166</f>
        <v>753783.90369844064</v>
      </c>
      <c r="AC178">
        <f>'Net zero Activity data'!BE62-'Net zero supporting data'!AC166</f>
        <v>380683.8720768746</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2">
      <c r="A179" t="s">
        <v>1150</v>
      </c>
      <c r="B179">
        <f>'Net zero Activity data'!AD64-'Net zero supporting data'!B167</f>
        <v>9991382.773665214</v>
      </c>
      <c r="C179">
        <f>'Net zero Activity data'!AE64-'Net zero supporting data'!C167</f>
        <v>10194527.393101329</v>
      </c>
      <c r="D179">
        <f>'Net zero Activity data'!AF64-'Net zero supporting data'!D167</f>
        <v>10431984.200032009</v>
      </c>
      <c r="E179">
        <f>'Net zero Activity data'!AG64-'Net zero supporting data'!E167</f>
        <v>10614285.632427368</v>
      </c>
      <c r="F179">
        <f>'Net zero Activity data'!AH64-'Net zero supporting data'!F167</f>
        <v>10760627.916590165</v>
      </c>
      <c r="G179">
        <f>'Net zero Activity data'!AI64-'Net zero supporting data'!G167</f>
        <v>10870140.745282179</v>
      </c>
      <c r="H179">
        <f>'Net zero Activity data'!AJ64-'Net zero supporting data'!H167</f>
        <v>11010566.420753065</v>
      </c>
      <c r="I179">
        <f>'Net zero Activity data'!AK64-'Net zero supporting data'!I167</f>
        <v>11156570.25077576</v>
      </c>
      <c r="J179">
        <f>'Net zero Activity data'!AL64-'Net zero supporting data'!J167</f>
        <v>10710303.464636415</v>
      </c>
      <c r="K179">
        <f>'Net zero Activity data'!AM64-'Net zero supporting data'!K167</f>
        <v>10444654.02176558</v>
      </c>
      <c r="L179">
        <f>'Net zero Activity data'!AN64-'Net zero supporting data'!L167</f>
        <v>10108260.123053759</v>
      </c>
      <c r="M179">
        <f>'Net zero Activity data'!AO64-'Net zero supporting data'!M167</f>
        <v>9739352.1040028743</v>
      </c>
      <c r="N179">
        <f>'Net zero Activity data'!AP64-'Net zero supporting data'!N167</f>
        <v>9368047.1959920321</v>
      </c>
      <c r="O179">
        <f>'Net zero Activity data'!AQ64-'Net zero supporting data'!O167</f>
        <v>8964738.423076015</v>
      </c>
      <c r="P179">
        <f>'Net zero Activity data'!AR64-'Net zero supporting data'!P167</f>
        <v>8519771.42135836</v>
      </c>
      <c r="Q179">
        <f>'Net zero Activity data'!AS64-'Net zero supporting data'!Q167</f>
        <v>8049449.9702966446</v>
      </c>
      <c r="R179">
        <f>'Net zero Activity data'!AT64-'Net zero supporting data'!R167</f>
        <v>7552570.2108991109</v>
      </c>
      <c r="S179">
        <f>'Net zero Activity data'!AU64-'Net zero supporting data'!S167</f>
        <v>7058000.2232655874</v>
      </c>
      <c r="T179">
        <f>'Net zero Activity data'!AV64-'Net zero supporting data'!T167</f>
        <v>6538078.9277818352</v>
      </c>
      <c r="U179">
        <f>'Net zero Activity data'!AW64-'Net zero supporting data'!U167</f>
        <v>5999087.6487108581</v>
      </c>
      <c r="V179">
        <f>'Net zero Activity data'!AX64-'Net zero supporting data'!V167</f>
        <v>5451372.5084923059</v>
      </c>
      <c r="W179">
        <f>'Net zero Activity data'!AY64-'Net zero supporting data'!W167</f>
        <v>4881629.8767928798</v>
      </c>
      <c r="X179">
        <f>'Net zero Activity data'!AZ64-'Net zero supporting data'!X167</f>
        <v>4293938.7204155009</v>
      </c>
      <c r="Y179">
        <f>'Net zero Activity data'!BA64-'Net zero supporting data'!Y167</f>
        <v>3653837.0153448544</v>
      </c>
      <c r="Z179">
        <f>'Net zero Activity data'!BB64-'Net zero supporting data'!Z167</f>
        <v>2980902.2439294849</v>
      </c>
      <c r="AA179">
        <f>'Net zero Activity data'!BC64-'Net zero supporting data'!AA167</f>
        <v>2282793.3318673577</v>
      </c>
      <c r="AB179">
        <f>'Net zero Activity data'!BD64-'Net zero supporting data'!AB167</f>
        <v>1552610.263040958</v>
      </c>
      <c r="AC179">
        <f>'Net zero Activity data'!BE64-'Net zero supporting data'!AC167</f>
        <v>792436.73872092552</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2">
      <c r="A180" t="s">
        <v>1151</v>
      </c>
      <c r="B180">
        <f>'Net zero Activity data'!AD65-'Net zero supporting data'!B168</f>
        <v>50031084.230106659</v>
      </c>
      <c r="C180">
        <f>'Net zero Activity data'!AE65-'Net zero supporting data'!C168</f>
        <v>50689904.185566783</v>
      </c>
      <c r="D180">
        <f>'Net zero Activity data'!AF65-'Net zero supporting data'!D168</f>
        <v>51748158.015700452</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50907218.229325019</v>
      </c>
      <c r="I180">
        <f>'Net zero Activity data'!AK65-'Net zero supporting data'!I168</f>
        <v>50687682.526318602</v>
      </c>
      <c r="J180">
        <f>'Net zero Activity data'!AL65-'Net zero supporting data'!J168</f>
        <v>43332515.83780472</v>
      </c>
      <c r="K180">
        <f>'Net zero Activity data'!AM65-'Net zero supporting data'!K168</f>
        <v>42980290.726898655</v>
      </c>
      <c r="L180">
        <f>'Net zero Activity data'!AN65-'Net zero supporting data'!L168</f>
        <v>41902704.247532398</v>
      </c>
      <c r="M180">
        <f>'Net zero Activity data'!AO65-'Net zero supporting data'!M168</f>
        <v>40567622.527524374</v>
      </c>
      <c r="N180">
        <f>'Net zero Activity data'!AP65-'Net zero supporting data'!N168</f>
        <v>39331809.100340888</v>
      </c>
      <c r="O180">
        <f>'Net zero Activity data'!AQ65-'Net zero supporting data'!O168</f>
        <v>37852600.38058605</v>
      </c>
      <c r="P180">
        <f>'Net zero Activity data'!AR65-'Net zero supporting data'!P168</f>
        <v>36135616.224406458</v>
      </c>
      <c r="Q180">
        <f>'Net zero Activity data'!AS65-'Net zero supporting data'!Q168</f>
        <v>34250326.869675636</v>
      </c>
      <c r="R180">
        <f>'Net zero Activity data'!AT65-'Net zero supporting data'!R168</f>
        <v>32187403.235325214</v>
      </c>
      <c r="S180">
        <f>'Net zero Activity data'!AU65-'Net zero supporting data'!S168</f>
        <v>30272978.275001239</v>
      </c>
      <c r="T180">
        <f>'Net zero Activity data'!AV65-'Net zero supporting data'!T168</f>
        <v>28198001.53370088</v>
      </c>
      <c r="U180">
        <f>'Net zero Activity data'!AW65-'Net zero supporting data'!U168</f>
        <v>26091188.389836762</v>
      </c>
      <c r="V180">
        <f>'Net zero Activity data'!AX65-'Net zero supporting data'!V168</f>
        <v>23999735.100384928</v>
      </c>
      <c r="W180">
        <f>'Net zero Activity data'!AY65-'Net zero supporting data'!W168</f>
        <v>21779451.214309238</v>
      </c>
      <c r="X180">
        <f>'Net zero Activity data'!AZ65-'Net zero supporting data'!X168</f>
        <v>19477113.259843454</v>
      </c>
      <c r="Y180">
        <f>'Net zero Activity data'!BA65-'Net zero supporting data'!Y168</f>
        <v>16726469.542278364</v>
      </c>
      <c r="Z180">
        <f>'Net zero Activity data'!BB65-'Net zero supporting data'!Z168</f>
        <v>13767557.137286112</v>
      </c>
      <c r="AA180">
        <f>'Net zero Activity data'!BC65-'Net zero supporting data'!AA168</f>
        <v>10651255.693374641</v>
      </c>
      <c r="AB180">
        <f>'Net zero Activity data'!BD65-'Net zero supporting data'!AB168</f>
        <v>7308238.0415655598</v>
      </c>
      <c r="AC180">
        <f>'Net zero Activity data'!BE65-'Net zero supporting data'!AC168</f>
        <v>3764433.5534064174</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2">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2">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2">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2">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2">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6" x14ac:dyDescent="0.2">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2">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2">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2">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2">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2">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2">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2">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2">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2">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2">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126941.82832959791</v>
      </c>
      <c r="L197">
        <f>'Net zero Activity data'!AN9*'Net zero supporting data'!L196</f>
        <v>254363.39921758103</v>
      </c>
      <c r="M197">
        <f>'Net zero Activity data'!AO9*'Net zero supporting data'!M196</f>
        <v>381337.49451342836</v>
      </c>
      <c r="N197">
        <f>'Net zero Activity data'!AP9*'Net zero supporting data'!N196</f>
        <v>509820.24266698252</v>
      </c>
      <c r="O197">
        <f>'Net zero Activity data'!AQ9*'Net zero supporting data'!O196</f>
        <v>637579.98623588588</v>
      </c>
      <c r="P197">
        <f>'Net zero Activity data'!AR9*'Net zero supporting data'!P196</f>
        <v>762994.24436506536</v>
      </c>
      <c r="Q197">
        <f>'Net zero Activity data'!AS9*'Net zero supporting data'!Q196</f>
        <v>886528.54059146042</v>
      </c>
      <c r="R197">
        <f>'Net zero Activity data'!AT9*'Net zero supporting data'!R196</f>
        <v>1007292.4149899281</v>
      </c>
      <c r="S197">
        <f>'Net zero Activity data'!AU9*'Net zero supporting data'!S196</f>
        <v>1132444.2771036634</v>
      </c>
      <c r="T197">
        <f>'Net zero Activity data'!AV9*'Net zero supporting data'!T196</f>
        <v>1256270.7450907396</v>
      </c>
      <c r="U197">
        <f>'Net zero Activity data'!AW9*'Net zero supporting data'!U196</f>
        <v>1296500.6027314849</v>
      </c>
      <c r="V197">
        <f>'Net zero Activity data'!AX9*'Net zero supporting data'!V196</f>
        <v>1342438.4024771373</v>
      </c>
      <c r="W197">
        <f>'Net zero Activity data'!AY9*'Net zero supporting data'!W196</f>
        <v>1390703.3771629012</v>
      </c>
      <c r="X197">
        <f>'Net zero Activity data'!AZ9*'Net zero supporting data'!X196</f>
        <v>1445312.5062390089</v>
      </c>
      <c r="Y197">
        <f>'Net zero Activity data'!BA9*'Net zero supporting data'!Y196</f>
        <v>1487811.6419852253</v>
      </c>
      <c r="Z197">
        <f>'Net zero Activity data'!BB9*'Net zero supporting data'!Z196</f>
        <v>1527542.8348333084</v>
      </c>
      <c r="AA197">
        <f>'Net zero Activity data'!BC9*'Net zero supporting data'!AA196</f>
        <v>1569743.2164926669</v>
      </c>
      <c r="AB197">
        <f>'Net zero Activity data'!BD9*'Net zero supporting data'!AB196</f>
        <v>1609064.4008595617</v>
      </c>
      <c r="AC197">
        <f>'Net zero Activity data'!BE9*'Net zero supporting data'!AC196</f>
        <v>1649029.2996213583</v>
      </c>
      <c r="AD197">
        <f>'Net zero Activity data'!BF9*'Net zero supporting data'!AD196</f>
        <v>1687701.9942465019</v>
      </c>
      <c r="AE197">
        <f>'Net zero Activity data'!BG9*'Net zero supporting data'!AE196</f>
        <v>1739422.7858872057</v>
      </c>
      <c r="AF197">
        <f>'Net zero Activity data'!BH9*'Net zero supporting data'!AF196</f>
        <v>1788163.2287039985</v>
      </c>
      <c r="AG197">
        <f>'Net zero Activity data'!BI9*'Net zero supporting data'!AG196</f>
        <v>1836625.9311858087</v>
      </c>
      <c r="AH197">
        <f>'Net zero Activity data'!BJ9*'Net zero supporting data'!AH196</f>
        <v>1885471.4552391467</v>
      </c>
      <c r="AI197">
        <f>'Net zero Activity data'!BK9*'Net zero supporting data'!AI196</f>
        <v>1934911.634899888</v>
      </c>
      <c r="AJ197">
        <f>'Net zero Activity data'!BL9*'Net zero supporting data'!AJ196</f>
        <v>1990286.3412562096</v>
      </c>
      <c r="AK197">
        <f>'Net zero Activity data'!BM9*'Net zero supporting data'!AK196</f>
        <v>2025643.4953176915</v>
      </c>
      <c r="AL197">
        <f>'Net zero Activity data'!BN9*'Net zero supporting data'!AL196</f>
        <v>2058385.819717939</v>
      </c>
      <c r="AM197">
        <f>'Net zero Activity data'!BO9*'Net zero supporting data'!AM196</f>
        <v>2090469.462411263</v>
      </c>
      <c r="AN197">
        <f>'Net zero Activity data'!BP9*'Net zero supporting data'!AN196</f>
        <v>2120995.6884433161</v>
      </c>
    </row>
    <row r="198" spans="1:48" x14ac:dyDescent="0.2">
      <c r="A198" t="s">
        <v>1238</v>
      </c>
      <c r="B198" s="11">
        <f>'Net zero Activity data'!AD9-'Net zero supporting data'!B197</f>
        <v>5280742.7858025134</v>
      </c>
      <c r="C198" s="11">
        <f>'Net zero Activity data'!AE9-'Net zero supporting data'!C197</f>
        <v>5234944.5900683487</v>
      </c>
      <c r="D198" s="11">
        <f>'Net zero Activity data'!AF9-'Net zero supporting data'!D197</f>
        <v>5217510.6033805842</v>
      </c>
      <c r="E198" s="11">
        <f>'Net zero Activity data'!AG9-'Net zero supporting data'!E197</f>
        <v>5147837.5788466781</v>
      </c>
      <c r="F198" s="11">
        <f>'Net zero Activity data'!AH9-'Net zero supporting data'!F197</f>
        <v>5046705.4822027273</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4185458.9661476901</v>
      </c>
      <c r="K198" s="11">
        <f>'Net zero Activity data'!AM9-'Net zero supporting data'!K197</f>
        <v>4104452.4493236658</v>
      </c>
      <c r="L198" s="11">
        <f>'Net zero Activity data'!AN9-'Net zero supporting data'!L197</f>
        <v>3985026.5877421028</v>
      </c>
      <c r="M198" s="11">
        <f>'Net zero Activity data'!AO9-'Net zero supporting data'!M197</f>
        <v>3855745.7778579979</v>
      </c>
      <c r="N198" s="11">
        <f>'Net zero Activity data'!AP9-'Net zero supporting data'!N197</f>
        <v>3738681.7795578721</v>
      </c>
      <c r="O198" s="11">
        <f>'Net zero Activity data'!AQ9-'Net zero supporting data'!O197</f>
        <v>3612953.255336687</v>
      </c>
      <c r="P198" s="11">
        <f>'Net zero Activity data'!AR9-'Net zero supporting data'!P197</f>
        <v>3475862.6687741866</v>
      </c>
      <c r="Q198" s="11">
        <f>'Net zero Activity data'!AS9-'Net zero supporting data'!Q197</f>
        <v>3335035.9384154938</v>
      </c>
      <c r="R198" s="11">
        <f>'Net zero Activity data'!AT9-'Net zero supporting data'!R197</f>
        <v>3189759.3141347724</v>
      </c>
      <c r="S198" s="11">
        <f>'Net zero Activity data'!AU9-'Net zero supporting data'!S197</f>
        <v>3061793.786243238</v>
      </c>
      <c r="T198" s="11">
        <f>'Net zero Activity data'!AV9-'Net zero supporting data'!T197</f>
        <v>2931298.4052117253</v>
      </c>
      <c r="U198" s="11">
        <f>'Net zero Activity data'!AW9-'Net zero supporting data'!U197</f>
        <v>2885759.406079757</v>
      </c>
      <c r="V198" s="11">
        <f>'Net zero Activity data'!AX9-'Net zero supporting data'!V197</f>
        <v>2852681.6052639163</v>
      </c>
      <c r="W198" s="11">
        <f>'Net zero Activity data'!AY9-'Net zero supporting data'!W197</f>
        <v>2823549.2809064961</v>
      </c>
      <c r="X198" s="11">
        <f>'Net zero Activity data'!AZ9-'Net zero supporting data'!X197</f>
        <v>2805606.6297580758</v>
      </c>
      <c r="Y198" s="11">
        <f>'Net zero Activity data'!BA9-'Net zero supporting data'!Y197</f>
        <v>2763078.763686846</v>
      </c>
      <c r="Z198" s="11">
        <f>'Net zero Activity data'!BB9-'Net zero supporting data'!Z197</f>
        <v>2715631.7063703258</v>
      </c>
      <c r="AA198" s="11">
        <f>'Net zero Activity data'!BC9-'Net zero supporting data'!AA197</f>
        <v>2672806.0172712971</v>
      </c>
      <c r="AB198" s="11">
        <f>'Net zero Activity data'!BD9-'Net zero supporting data'!AB197</f>
        <v>2625315.601402442</v>
      </c>
      <c r="AC198" s="11">
        <f>'Net zero Activity data'!BE9-'Net zero supporting data'!AC197</f>
        <v>2579250.9558180207</v>
      </c>
      <c r="AD198" s="11">
        <f>'Net zero Activity data'!BF9-'Net zero supporting data'!AD197</f>
        <v>2531552.9913697527</v>
      </c>
      <c r="AE198" s="11">
        <f>'Net zero Activity data'!BG9-'Net zero supporting data'!AE197</f>
        <v>2503071.8138376856</v>
      </c>
      <c r="AF198" s="11">
        <f>'Net zero Activity data'!BH9-'Net zero supporting data'!AF197</f>
        <v>2469368.268210283</v>
      </c>
      <c r="AG198" s="11">
        <f>'Net zero Activity data'!BI9-'Net zero supporting data'!AG197</f>
        <v>2434597.1645951411</v>
      </c>
      <c r="AH198" s="11">
        <f>'Net zero Activity data'!BJ9-'Net zero supporting data'!AH197</f>
        <v>2399690.9430316407</v>
      </c>
      <c r="AI198" s="11">
        <f>'Net zero Activity data'!BK9-'Net zero supporting data'!AI197</f>
        <v>2364891.9982109731</v>
      </c>
      <c r="AJ198" s="11">
        <f>'Net zero Activity data'!BL9-'Net zero supporting data'!AJ197</f>
        <v>2336423.0962572889</v>
      </c>
      <c r="AK198" s="11">
        <f>'Net zero Activity data'!BM9-'Net zero supporting data'!AK197</f>
        <v>2284236.2819539919</v>
      </c>
      <c r="AL198" s="11">
        <f>'Net zero Activity data'!BN9-'Net zero supporting data'!AL197</f>
        <v>2229917.9713610997</v>
      </c>
      <c r="AM198" s="11">
        <f>'Net zero Activity data'!BO9-'Net zero supporting data'!AM197</f>
        <v>2175794.7465913137</v>
      </c>
      <c r="AN198" s="11">
        <f>'Net zero Activity data'!BP9-'Net zero supporting data'!AN197</f>
        <v>2120995.6884433161</v>
      </c>
    </row>
    <row r="199" spans="1:48" x14ac:dyDescent="0.2">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6" x14ac:dyDescent="0.2">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2">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2">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2">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2">
      <c r="A205" t="s">
        <v>318</v>
      </c>
      <c r="B205">
        <f>'Intermediate calculations'!Y5-('Intermediate calculations'!Y5*'Net zero supporting data'!B202)</f>
        <v>920446.2624380854</v>
      </c>
      <c r="C205">
        <f>'Intermediate calculations'!Z5-('Intermediate calculations'!Z5*'Net zero supporting data'!C202)</f>
        <v>941691.58339834912</v>
      </c>
      <c r="D205">
        <f>'Intermediate calculations'!AA5-('Intermediate calculations'!AA5*'Net zero supporting data'!D202)</f>
        <v>967640.07013586559</v>
      </c>
      <c r="E205">
        <f>'Intermediate calculations'!AB5-('Intermediate calculations'!AB5*'Net zero supporting data'!E202)</f>
        <v>985205.95615670993</v>
      </c>
      <c r="F205">
        <f>'Intermediate calculations'!AC5-('Intermediate calculations'!AC5*'Net zero supporting data'!F202)</f>
        <v>997182.14033234748</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949959.7348579329</v>
      </c>
      <c r="K205">
        <f>'Intermediate calculations'!AH5-('Intermediate calculations'!AH5*'Net zero supporting data'!K202)</f>
        <v>969309.89025744994</v>
      </c>
      <c r="L205">
        <f>'Intermediate calculations'!AI5-('Intermediate calculations'!AI5*'Net zero supporting data'!L202)</f>
        <v>980888.27040838008</v>
      </c>
      <c r="M205">
        <f>'Intermediate calculations'!AJ5-('Intermediate calculations'!AJ5*'Net zero supporting data'!M202)</f>
        <v>990124.06751761481</v>
      </c>
      <c r="N205">
        <f>'Intermediate calculations'!AK5-('Intermediate calculations'!AK5*'Net zero supporting data'!N202)</f>
        <v>1001990.937578603</v>
      </c>
      <c r="O205">
        <f>'Intermediate calculations'!AL5-('Intermediate calculations'!AL5*'Net zero supporting data'!O202)</f>
        <v>1011675.745764947</v>
      </c>
      <c r="P205">
        <f>'Intermediate calculations'!AM5-('Intermediate calculations'!AM5*'Net zero supporting data'!P202)</f>
        <v>1018174.4456039725</v>
      </c>
      <c r="Q205">
        <f>'Intermediate calculations'!AN5-('Intermediate calculations'!AN5*'Net zero supporting data'!Q202)</f>
        <v>1023146.8852495071</v>
      </c>
      <c r="R205">
        <f>'Intermediate calculations'!AO5-('Intermediate calculations'!AO5*'Net zero supporting data'!R202)</f>
        <v>1026198.2571966122</v>
      </c>
      <c r="S205">
        <f>'Intermediate calculations'!AP5-('Intermediate calculations'!AP5*'Net zero supporting data'!S202)</f>
        <v>1033716.5536078697</v>
      </c>
      <c r="T205">
        <f>'Intermediate calculations'!AQ5-('Intermediate calculations'!AQ5*'Net zero supporting data'!T202)</f>
        <v>1040101.2602660594</v>
      </c>
      <c r="U205">
        <f>'Intermediate calculations'!AR5-('Intermediate calculations'!AR5*'Net zero supporting data'!U202)</f>
        <v>1054051.1577190047</v>
      </c>
      <c r="V205">
        <f>'Intermediate calculations'!AS5-('Intermediate calculations'!AS5*'Net zero supporting data'!V202)</f>
        <v>1072423.0717133046</v>
      </c>
      <c r="W205">
        <f>'Intermediate calculations'!AT5-('Intermediate calculations'!AT5*'Net zero supporting data'!W202)</f>
        <v>1092636.3564859317</v>
      </c>
      <c r="X205">
        <f>'Intermediate calculations'!AU5-('Intermediate calculations'!AU5*'Net zero supporting data'!X202)</f>
        <v>1117503.0966098716</v>
      </c>
      <c r="Y205">
        <f>'Intermediate calculations'!AV5-('Intermediate calculations'!AV5*'Net zero supporting data'!Y202)</f>
        <v>1133976.7620806466</v>
      </c>
      <c r="Z205">
        <f>'Intermediate calculations'!AW5-('Intermediate calculations'!AW5*'Net zero supporting data'!Z202)</f>
        <v>1148853.9341323278</v>
      </c>
      <c r="AA205">
        <f>'Intermediate calculations'!AX5-('Intermediate calculations'!AX5*'Net zero supporting data'!AA202)</f>
        <v>1165806.1224056087</v>
      </c>
      <c r="AB205">
        <f>'Intermediate calculations'!AY5-('Intermediate calculations'!AY5*'Net zero supporting data'!AB202)</f>
        <v>1181173.918806687</v>
      </c>
      <c r="AC205">
        <f>'Intermediate calculations'!AZ5-('Intermediate calculations'!AZ5*'Net zero supporting data'!AC202)</f>
        <v>1197404.9543692577</v>
      </c>
      <c r="AD205">
        <f>'Intermediate calculations'!BA5-('Intermediate calculations'!BA5*'Net zero supporting data'!AD202)</f>
        <v>1213219.1154861574</v>
      </c>
      <c r="AE205">
        <f>'Intermediate calculations'!BB5-('Intermediate calculations'!BB5*'Net zero supporting data'!AE202)</f>
        <v>1240639.9054964602</v>
      </c>
      <c r="AF205">
        <f>'Intermediate calculations'!BC5-('Intermediate calculations'!BC5*'Net zero supporting data'!AF202)</f>
        <v>1266523.8423134503</v>
      </c>
      <c r="AG205">
        <f>'Intermediate calculations'!BD5-('Intermediate calculations'!BD5*'Net zero supporting data'!AG202)</f>
        <v>1292713.0564068281</v>
      </c>
      <c r="AH205">
        <f>'Intermediate calculations'!BE5-('Intermediate calculations'!BE5*'Net zero supporting data'!AH202)</f>
        <v>1319678.5613413288</v>
      </c>
      <c r="AI205">
        <f>'Intermediate calculations'!BF5-('Intermediate calculations'!BF5*'Net zero supporting data'!AI202)</f>
        <v>1347593.4936737793</v>
      </c>
      <c r="AJ205">
        <f>'Intermediate calculations'!BG5-('Intermediate calculations'!BG5*'Net zero supporting data'!AJ202)</f>
        <v>1379973.702502117</v>
      </c>
      <c r="AK205">
        <f>'Intermediate calculations'!BH5-('Intermediate calculations'!BH5*'Net zero supporting data'!AK202)</f>
        <v>1399959.0876607322</v>
      </c>
      <c r="AL205">
        <f>'Intermediate calculations'!BI5-('Intermediate calculations'!BI5*'Net zero supporting data'!AL202)</f>
        <v>1418954.7020374057</v>
      </c>
      <c r="AM205">
        <f>'Intermediate calculations'!BJ5-('Intermediate calculations'!BJ5*'Net zero supporting data'!AM202)</f>
        <v>1438263.3586694547</v>
      </c>
      <c r="AN205">
        <f>'Intermediate calculations'!BK5-('Intermediate calculations'!BK5*'Net zero supporting data'!AN202)</f>
        <v>1457331.0540148914</v>
      </c>
    </row>
    <row r="206" spans="1:48" x14ac:dyDescent="0.2">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190794.16149087547</v>
      </c>
      <c r="K206">
        <f>'Intermediate calculations'!AH19+('Intermediate calculations'!AH19*'Net zero supporting data'!K203)</f>
        <v>194002.37087293621</v>
      </c>
      <c r="L206">
        <f>'Intermediate calculations'!AI19+('Intermediate calculations'!AI19*'Net zero supporting data'!L203)</f>
        <v>197244.29965718032</v>
      </c>
      <c r="M206">
        <f>'Intermediate calculations'!AJ19+('Intermediate calculations'!AJ19*'Net zero supporting data'!M203)</f>
        <v>200531.245807311</v>
      </c>
      <c r="N206">
        <f>'Intermediate calculations'!AK19+('Intermediate calculations'!AK19*'Net zero supporting data'!N203)</f>
        <v>203874.43995764147</v>
      </c>
      <c r="O206">
        <f>'Intermediate calculations'!AL19+('Intermediate calculations'!AL19*'Net zero supporting data'!O203)</f>
        <v>207264.40599774284</v>
      </c>
      <c r="P206">
        <f>'Intermediate calculations'!AM19+('Intermediate calculations'!AM19*'Net zero supporting data'!P203)</f>
        <v>210355.78788811341</v>
      </c>
      <c r="Q206">
        <f>'Intermediate calculations'!AN19+('Intermediate calculations'!AN19*'Net zero supporting data'!Q203)</f>
        <v>213485.66186831208</v>
      </c>
      <c r="R206">
        <f>'Intermediate calculations'!AO19+('Intermediate calculations'!AO19*'Net zero supporting data'!R203)</f>
        <v>216653.47037506671</v>
      </c>
      <c r="S206">
        <f>'Intermediate calculations'!AP19+('Intermediate calculations'!AP19*'Net zero supporting data'!S203)</f>
        <v>219874.90281733609</v>
      </c>
      <c r="T206">
        <f>'Intermediate calculations'!AQ19+('Intermediate calculations'!AQ19*'Net zero supporting data'!T203)</f>
        <v>223137.50998366851</v>
      </c>
      <c r="U206">
        <f>'Intermediate calculations'!AR19+('Intermediate calculations'!AR19*'Net zero supporting data'!U203)</f>
        <v>225799.76804739679</v>
      </c>
      <c r="V206">
        <f>'Intermediate calculations'!AS19+('Intermediate calculations'!AS19*'Net zero supporting data'!V203)</f>
        <v>228503.36241226879</v>
      </c>
      <c r="W206">
        <f>'Intermediate calculations'!AT19+('Intermediate calculations'!AT19*'Net zero supporting data'!W203)</f>
        <v>231242.52659940178</v>
      </c>
      <c r="X206">
        <f>'Intermediate calculations'!AU19+('Intermediate calculations'!AU19*'Net zero supporting data'!X203)</f>
        <v>234025.22312275105</v>
      </c>
      <c r="Y206">
        <f>'Intermediate calculations'!AV19+('Intermediate calculations'!AV19*'Net zero supporting data'!Y203)</f>
        <v>236817.75039804814</v>
      </c>
      <c r="Z206">
        <f>'Intermediate calculations'!AW19+('Intermediate calculations'!AW19*'Net zero supporting data'!Z203)</f>
        <v>239353.29861474829</v>
      </c>
      <c r="AA206">
        <f>'Intermediate calculations'!AX19+('Intermediate calculations'!AX19*'Net zero supporting data'!AA203)</f>
        <v>241920.35201492696</v>
      </c>
      <c r="AB206">
        <f>'Intermediate calculations'!AY19+('Intermediate calculations'!AY19*'Net zero supporting data'!AB203)</f>
        <v>244509.29536444333</v>
      </c>
      <c r="AC206">
        <f>'Intermediate calculations'!AZ19+('Intermediate calculations'!AZ19*'Net zero supporting data'!AC203)</f>
        <v>247127.16719823831</v>
      </c>
      <c r="AD206">
        <f>'Intermediate calculations'!BA19+('Intermediate calculations'!BA19*'Net zero supporting data'!AD203)</f>
        <v>249770.72678551174</v>
      </c>
      <c r="AE206">
        <f>'Intermediate calculations'!BB19+('Intermediate calculations'!BB19*'Net zero supporting data'!AE203)</f>
        <v>251790.02985870381</v>
      </c>
      <c r="AF206">
        <f>'Intermediate calculations'!BC19+('Intermediate calculations'!BC19*'Net zero supporting data'!AF203)</f>
        <v>253820.78258365471</v>
      </c>
      <c r="AG206">
        <f>'Intermediate calculations'!BD19+('Intermediate calculations'!BD19*'Net zero supporting data'!AG203)</f>
        <v>255868.4469590087</v>
      </c>
      <c r="AH206">
        <f>'Intermediate calculations'!BE19+('Intermediate calculations'!BE19*'Net zero supporting data'!AH203)</f>
        <v>257934.58560884092</v>
      </c>
      <c r="AI206">
        <f>'Intermediate calculations'!BF19+('Intermediate calculations'!BF19*'Net zero supporting data'!AI203)</f>
        <v>260019.91680555913</v>
      </c>
      <c r="AJ206">
        <f>'Intermediate calculations'!BG19+('Intermediate calculations'!BG19*'Net zero supporting data'!AJ203)</f>
        <v>261851.73252120937</v>
      </c>
      <c r="AK206">
        <f>'Intermediate calculations'!BH19+('Intermediate calculations'!BH19*'Net zero supporting data'!AK203)</f>
        <v>263658.54670689249</v>
      </c>
      <c r="AL206">
        <f>'Intermediate calculations'!BI19+('Intermediate calculations'!BI19*'Net zero supporting data'!AL203)</f>
        <v>265474.60736652045</v>
      </c>
      <c r="AM206">
        <f>'Intermediate calculations'!BJ19+('Intermediate calculations'!BJ19*'Net zero supporting data'!AM203)</f>
        <v>267303.97911886266</v>
      </c>
      <c r="AN206">
        <f>'Intermediate calculations'!BK19+('Intermediate calculations'!BK19*'Net zero supporting data'!AN203)</f>
        <v>269145.05037376186</v>
      </c>
    </row>
    <row r="207" spans="1:48" x14ac:dyDescent="0.2">
      <c r="A207" t="s">
        <v>338</v>
      </c>
      <c r="B207">
        <f>'Intermediate calculations'!Y39+('Intermediate calculations'!Y39*'Net zero supporting data'!B204)</f>
        <v>1780536.5679391939</v>
      </c>
      <c r="C207">
        <f>'Intermediate calculations'!Z39+('Intermediate calculations'!Z39*'Net zero supporting data'!C204)</f>
        <v>1834642.5186756088</v>
      </c>
      <c r="D207">
        <f>'Intermediate calculations'!AA39+('Intermediate calculations'!AA39*'Net zero supporting data'!D204)</f>
        <v>1905076.8868757137</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1968044.8895064972</v>
      </c>
      <c r="I207">
        <f>'Intermediate calculations'!AF39+('Intermediate calculations'!AF39*'Net zero supporting data'!I204)</f>
        <v>1981185.0437649256</v>
      </c>
      <c r="J207">
        <f>'Intermediate calculations'!AG39+('Intermediate calculations'!AG39*'Net zero supporting data'!J204)</f>
        <v>1676676.3623939066</v>
      </c>
      <c r="K207">
        <f>'Intermediate calculations'!AH39+('Intermediate calculations'!AH39*'Net zero supporting data'!K204)</f>
        <v>1799471.2409136118</v>
      </c>
      <c r="L207">
        <f>'Intermediate calculations'!AI39+('Intermediate calculations'!AI39*'Net zero supporting data'!L204)</f>
        <v>1898217.6756801712</v>
      </c>
      <c r="M207">
        <f>'Intermediate calculations'!AJ39+('Intermediate calculations'!AJ39*'Net zero supporting data'!M204)</f>
        <v>1992322.9774117484</v>
      </c>
      <c r="N207">
        <f>'Intermediate calculations'!AK39+('Intermediate calculations'!AK39*'Net zero supporting data'!N204)</f>
        <v>2101473.6591704562</v>
      </c>
      <c r="O207">
        <f>'Intermediate calculations'!AL39+('Intermediate calculations'!AL39*'Net zero supporting data'!O204)</f>
        <v>2206714.0278476286</v>
      </c>
      <c r="P207">
        <f>'Intermediate calculations'!AM39+('Intermediate calculations'!AM39*'Net zero supporting data'!P204)</f>
        <v>2306684.7369211568</v>
      </c>
      <c r="Q207">
        <f>'Intermediate calculations'!AN39+('Intermediate calculations'!AN39*'Net zero supporting data'!Q204)</f>
        <v>2404612.688871487</v>
      </c>
      <c r="R207">
        <f>'Intermediate calculations'!AO39+('Intermediate calculations'!AO39*'Net zero supporting data'!R204)</f>
        <v>2498436.5222070743</v>
      </c>
      <c r="S207">
        <f>'Intermediate calculations'!AP39+('Intermediate calculations'!AP39*'Net zero supporting data'!S204)</f>
        <v>2617285.3378963945</v>
      </c>
      <c r="T207">
        <f>'Intermediate calculations'!AQ39+('Intermediate calculations'!AQ39*'Net zero supporting data'!T204)</f>
        <v>2736473.8046470331</v>
      </c>
      <c r="U207">
        <f>'Intermediate calculations'!AR39+('Intermediate calculations'!AR39*'Net zero supporting data'!U204)</f>
        <v>2861662.8382997042</v>
      </c>
      <c r="V207">
        <f>'Intermediate calculations'!AS39+('Intermediate calculations'!AS39*'Net zero supporting data'!V204)</f>
        <v>3012936.4381281883</v>
      </c>
      <c r="W207">
        <f>'Intermediate calculations'!AT39+('Intermediate calculations'!AT39*'Net zero supporting data'!W204)</f>
        <v>3178707.2002693475</v>
      </c>
      <c r="X207">
        <f>'Intermediate calculations'!AU39+('Intermediate calculations'!AU39*'Net zero supporting data'!X204)</f>
        <v>3374089.8379373765</v>
      </c>
      <c r="Y207">
        <f>'Intermediate calculations'!AV39+('Intermediate calculations'!AV39*'Net zero supporting data'!Y204)</f>
        <v>3532626.705056008</v>
      </c>
      <c r="Z207">
        <f>'Intermediate calculations'!AW39+('Intermediate calculations'!AW39*'Net zero supporting data'!Z204)</f>
        <v>3691125.4127997993</v>
      </c>
      <c r="AA207">
        <f>'Intermediate calculations'!AX39+('Intermediate calculations'!AX39*'Net zero supporting data'!AA204)</f>
        <v>3866379.413451931</v>
      </c>
      <c r="AB207">
        <f>'Intermediate calculations'!AY39+('Intermediate calculations'!AY39*'Net zero supporting data'!AB204)</f>
        <v>4039069.552147272</v>
      </c>
      <c r="AC207">
        <f>'Intermediate calculations'!AZ39+('Intermediate calculations'!AZ39*'Net zero supporting data'!AC204)</f>
        <v>4222708.6211393615</v>
      </c>
      <c r="AD207">
        <f>'Intermediate calculations'!BA39+('Intermediate calculations'!BA39*'Net zero supporting data'!AD204)</f>
        <v>4410495.4462870341</v>
      </c>
      <c r="AE207">
        <f>'Intermediate calculations'!BB39+('Intermediate calculations'!BB39*'Net zero supporting data'!AE204)</f>
        <v>4613313.9659666726</v>
      </c>
      <c r="AF207">
        <f>'Intermediate calculations'!BC39+('Intermediate calculations'!BC39*'Net zero supporting data'!AF204)</f>
        <v>4810963.8959668865</v>
      </c>
      <c r="AG207">
        <f>'Intermediate calculations'!BD39+('Intermediate calculations'!BD39*'Net zero supporting data'!AG204)</f>
        <v>5014133.6062887702</v>
      </c>
      <c r="AH207">
        <f>'Intermediate calculations'!BE39+('Intermediate calculations'!BE39*'Net zero supporting data'!AH204)</f>
        <v>5225762.1680281973</v>
      </c>
      <c r="AI207">
        <f>'Intermediate calculations'!BF39+('Intermediate calculations'!BF39*'Net zero supporting data'!AI204)</f>
        <v>5447110.2819356676</v>
      </c>
      <c r="AJ207">
        <f>'Intermediate calculations'!BG39+('Intermediate calculations'!BG39*'Net zero supporting data'!AJ204)</f>
        <v>5702757.6549572181</v>
      </c>
      <c r="AK207">
        <f>'Intermediate calculations'!BH39+('Intermediate calculations'!BH39*'Net zero supporting data'!AK204)</f>
        <v>5887205.8702317569</v>
      </c>
      <c r="AL207">
        <f>'Intermediate calculations'!BI39+('Intermediate calculations'!BI39*'Net zero supporting data'!AL204)</f>
        <v>6068990.28763266</v>
      </c>
      <c r="AM207">
        <f>'Intermediate calculations'!BJ39+('Intermediate calculations'!BJ39*'Net zero supporting data'!AM204)</f>
        <v>6256160.542333276</v>
      </c>
      <c r="AN207">
        <f>'Intermediate calculations'!BK39+('Intermediate calculations'!BK39*'Net zero supporting data'!AN204)</f>
        <v>6445347.4915341791</v>
      </c>
    </row>
    <row r="209" spans="1:48" s="111" customFormat="1" ht="16" x14ac:dyDescent="0.2">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2">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6" x14ac:dyDescent="0.2">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2">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2">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2">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2">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baseColWidth="10" defaultColWidth="8.83203125" defaultRowHeight="15" x14ac:dyDescent="0.2"/>
  <cols>
    <col min="1" max="1" width="16.1640625" customWidth="1"/>
    <col min="2" max="2" width="22.6640625" customWidth="1"/>
    <col min="4" max="4" width="15.5" customWidth="1"/>
    <col min="5" max="5" width="31" customWidth="1"/>
    <col min="6" max="6" width="27.6640625" customWidth="1"/>
    <col min="7" max="7" width="48.5" customWidth="1"/>
    <col min="8" max="8" width="33.33203125" customWidth="1"/>
    <col min="9" max="9" width="7.5" customWidth="1"/>
    <col min="10" max="10" width="14" customWidth="1"/>
    <col min="11" max="16" width="9.6640625" customWidth="1"/>
    <col min="17" max="17" width="9.5" customWidth="1"/>
    <col min="19" max="19" width="10" customWidth="1"/>
    <col min="32" max="33" width="9.5" customWidth="1"/>
    <col min="34" max="34" width="9.6640625" customWidth="1"/>
  </cols>
  <sheetData>
    <row r="1" spans="1:55" ht="19" x14ac:dyDescent="0.25">
      <c r="D1" s="1" t="s">
        <v>658</v>
      </c>
    </row>
    <row r="2" spans="1:55" x14ac:dyDescent="0.2">
      <c r="K2" s="79">
        <f>K668-K1467</f>
        <v>0</v>
      </c>
    </row>
    <row r="3" spans="1:55" s="19" customFormat="1" ht="16" x14ac:dyDescent="0.2">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2">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72.649957574793405</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73.83596289834658</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74.518042528471312</v>
      </c>
      <c r="S4" s="93">
        <f>IF('Net zero activities &amp; levers'!$C$5="Off",('Activity data'!AL5*EF!$H4)*kgtoGg,IF('Net zero activities &amp; levers'!$C$5="On",(((('Activity data'!AL5-'Net zero supporting data'!J15)*EF!$H4)+('Net zero supporting data'!J15*'Net zero supporting data'!J25))*kgtoGg)))</f>
        <v>72.478094892813189</v>
      </c>
      <c r="T4" s="93">
        <f>IF('Net zero activities &amp; levers'!$C$5="Off",('Activity data'!AM5*EF!$H4)*kgtoGg,IF('Net zero activities &amp; levers'!$C$5="On",(((('Activity data'!AM5-'Net zero supporting data'!K15)*EF!$H4)+('Net zero supporting data'!K15*'Net zero supporting data'!K25))*kgtoGg)))</f>
        <v>73.287754019693281</v>
      </c>
      <c r="U4" s="93">
        <f>IF('Net zero activities &amp; levers'!$C$5="Off",('Activity data'!AN5*EF!$H4)*kgtoGg,IF('Net zero activities &amp; levers'!$C$5="On",(((('Activity data'!AN5-'Net zero supporting data'!L15)*EF!$H4)+('Net zero supporting data'!L15*'Net zero supporting data'!L25))*kgtoGg)))</f>
        <v>73.870556384266408</v>
      </c>
      <c r="V4" s="93">
        <f>IF('Net zero activities &amp; levers'!$C$5="Off",('Activity data'!AO5*EF!$H4)*kgtoGg,IF('Net zero activities &amp; levers'!$C$5="On",(((('Activity data'!AO5-'Net zero supporting data'!M15)*EF!$H4)+('Net zero supporting data'!M15*'Net zero supporting data'!M25))*kgtoGg)))</f>
        <v>74.372425308987133</v>
      </c>
      <c r="W4" s="93">
        <f>IF('Net zero activities &amp; levers'!$C$5="Off",('Activity data'!AP5*EF!$H4)*kgtoGg,IF('Net zero activities &amp; levers'!$C$5="On",(((('Activity data'!AP5-'Net zero supporting data'!N15)*EF!$H4)+('Net zero supporting data'!N15*'Net zero supporting data'!N25))*kgtoGg)))</f>
        <v>74.93175619763889</v>
      </c>
      <c r="X4" s="93">
        <f>IF('Net zero activities &amp; levers'!$C$5="Off",('Activity data'!AQ5*EF!$H4)*kgtoGg,IF('Net zero activities &amp; levers'!$C$5="On",(((('Activity data'!AQ5-'Net zero supporting data'!O15)*EF!$H4)+('Net zero supporting data'!O15*'Net zero supporting data'!O25))*kgtoGg)))</f>
        <v>75.413635006112017</v>
      </c>
      <c r="Y4" s="93">
        <f>IF('Net zero activities &amp; levers'!$C$5="Off",('Activity data'!AR5*EF!$H4)*kgtoGg,IF('Net zero activities &amp; levers'!$C$5="On",(((('Activity data'!AR5-'Net zero supporting data'!P15)*EF!$H4)+('Net zero supporting data'!P15*'Net zero supporting data'!P25))*kgtoGg)))</f>
        <v>75.738100382737812</v>
      </c>
      <c r="Z4" s="93">
        <f>IF('Net zero activities &amp; levers'!$C$5="Off",('Activity data'!AS5*EF!$H4)*kgtoGg,IF('Net zero activities &amp; levers'!$C$5="On",(((('Activity data'!AS5-'Net zero supporting data'!Q15)*EF!$H4)+('Net zero supporting data'!Q15*'Net zero supporting data'!Q25))*kgtoGg)))</f>
        <v>76.000589709233353</v>
      </c>
      <c r="AA4" s="93">
        <f>IF('Net zero activities &amp; levers'!$C$5="Off",('Activity data'!AT5*EF!$H4)*kgtoGg,IF('Net zero activities &amp; levers'!$C$5="On",(((('Activity data'!AT5-'Net zero supporting data'!R15)*EF!$H4)+('Net zero supporting data'!R15*'Net zero supporting data'!R25))*kgtoGg)))</f>
        <v>76.188864276300805</v>
      </c>
      <c r="AB4" s="93">
        <f>IF('Net zero activities &amp; levers'!$C$5="Off",('Activity data'!AU5*EF!$H4)*kgtoGg,IF('Net zero activities &amp; levers'!$C$5="On",(((('Activity data'!AU5-'Net zero supporting data'!S15)*EF!$H4)+('Net zero supporting data'!S15*'Net zero supporting data'!S25))*kgtoGg)))</f>
        <v>76.489216259177709</v>
      </c>
      <c r="AC4" s="93">
        <f>IF('Net zero activities &amp; levers'!$C$5="Off",('Activity data'!AV5*EF!$H4)*kgtoGg,IF('Net zero activities &amp; levers'!$C$5="On",(((('Activity data'!AV5-'Net zero supporting data'!T15)*EF!$H4)+('Net zero supporting data'!T15*'Net zero supporting data'!T25))*kgtoGg)))</f>
        <v>76.739613131009818</v>
      </c>
      <c r="AD4" s="93">
        <f>IF('Net zero activities &amp; levers'!$C$5="Off",('Activity data'!AW5*EF!$H4)*kgtoGg,IF('Net zero activities &amp; levers'!$C$5="On",(((('Activity data'!AW5-'Net zero supporting data'!U15)*EF!$H4)+('Net zero supporting data'!U15*'Net zero supporting data'!U25))*kgtoGg)))</f>
        <v>77.386467167514354</v>
      </c>
      <c r="AE4" s="93">
        <f>IF('Net zero activities &amp; levers'!$C$5="Off",('Activity data'!AX5*EF!$H4)*kgtoGg,IF('Net zero activities &amp; levers'!$C$5="On",(((('Activity data'!AX5-'Net zero supporting data'!V15)*EF!$H4)+('Net zero supporting data'!V15*'Net zero supporting data'!V25))*kgtoGg)))</f>
        <v>78.186651473419744</v>
      </c>
      <c r="AF4" s="93">
        <f>IF('Net zero activities &amp; levers'!$C$5="Off",('Activity data'!AY5*EF!$H4)*kgtoGg,IF('Net zero activities &amp; levers'!$C$5="On",(((('Activity data'!AY5-'Net zero supporting data'!W15)*EF!$H4)+('Net zero supporting data'!W15*'Net zero supporting data'!W25))*kgtoGg)))</f>
        <v>79.065459311598374</v>
      </c>
      <c r="AG4" s="93">
        <f>IF('Net zero activities &amp; levers'!$C$5="Off",('Activity data'!AZ5*EF!$H4)*kgtoGg,IF('Net zero activities &amp; levers'!$C$5="On",(((('Activity data'!AZ5-'Net zero supporting data'!X15)*EF!$H4)+('Net zero supporting data'!X15*'Net zero supporting data'!X25))*kgtoGg)))</f>
        <v>80.109995944116903</v>
      </c>
      <c r="AH4" s="93">
        <f>IF('Net zero activities &amp; levers'!$C$5="Off",('Activity data'!BA5*EF!$H4)*kgtoGg,IF('Net zero activities &amp; levers'!$C$5="On",(((('Activity data'!BA5-'Net zero supporting data'!Y15)*EF!$H4)+('Net zero supporting data'!Y15*'Net zero supporting data'!Y25))*kgtoGg)))</f>
        <v>80.924548490476013</v>
      </c>
      <c r="AI4" s="93">
        <f>IF('Net zero activities &amp; levers'!$C$5="Off",('Activity data'!BB5*EF!$H4)*kgtoGg,IF('Net zero activities &amp; levers'!$C$5="On",(((('Activity data'!BB5-'Net zero supporting data'!Z15)*EF!$H4)+('Net zero supporting data'!Z15*'Net zero supporting data'!Z25))*kgtoGg)))</f>
        <v>81.67630545511031</v>
      </c>
      <c r="AJ4" s="93">
        <f>IF('Net zero activities &amp; levers'!$C$5="Off",('Activity data'!BC5*EF!$H4)*kgtoGg,IF('Net zero activities &amp; levers'!$C$5="On",(((('Activity data'!BC5-'Net zero supporting data'!AA15)*EF!$H4)+('Net zero supporting data'!AA15*'Net zero supporting data'!AA25))*kgtoGg)))</f>
        <v>82.51568537648096</v>
      </c>
      <c r="AK4" s="93">
        <f>IF('Net zero activities &amp; levers'!$C$5="Off",('Activity data'!BD5*EF!$H4)*kgtoGg,IF('Net zero activities &amp; levers'!$C$5="On",(((('Activity data'!BD5-'Net zero supporting data'!AB15)*EF!$H4)+('Net zero supporting data'!AB15*'Net zero supporting data'!AB25))*kgtoGg)))</f>
        <v>83.329977516130697</v>
      </c>
      <c r="AL4" s="93">
        <f>IF('Net zero activities &amp; levers'!$C$5="Off",('Activity data'!BE5*EF!$H4)*kgtoGg,IF('Net zero activities &amp; levers'!$C$5="On",(((('Activity data'!BE5-'Net zero supporting data'!AC15)*EF!$H4)+('Net zero supporting data'!AC15*'Net zero supporting data'!AC25))*kgtoGg)))</f>
        <v>84.196002594867934</v>
      </c>
      <c r="AM4" s="93">
        <f>IF('Net zero activities &amp; levers'!$C$5="Off",('Activity data'!BF5*EF!$H4)*kgtoGg,IF('Net zero activities &amp; levers'!$C$5="On",(((('Activity data'!BF5-'Net zero supporting data'!AD15)*EF!$H4)+('Net zero supporting data'!AD15*'Net zero supporting data'!AD25))*kgtoGg)))</f>
        <v>85.074229436444199</v>
      </c>
      <c r="AN4" s="93">
        <f>IF('Net zero activities &amp; levers'!$C$5="Off",('Activity data'!BG5*EF!$H4)*kgtoGg,IF('Net zero activities &amp; levers'!$C$5="On",(((('Activity data'!BG5-'Net zero supporting data'!AE15)*EF!$H4)+('Net zero supporting data'!AE15*'Net zero supporting data'!AE25))*kgtoGg)))</f>
        <v>86.114336753175692</v>
      </c>
      <c r="AO4" s="93">
        <f>IF('Net zero activities &amp; levers'!$C$5="Off",('Activity data'!BH5*EF!$H4)*kgtoGg,IF('Net zero activities &amp; levers'!$C$5="On",(((('Activity data'!BH5-'Net zero supporting data'!AF15)*EF!$H4)+('Net zero supporting data'!AF15*'Net zero supporting data'!AF25))*kgtoGg)))</f>
        <v>87.119226268734963</v>
      </c>
      <c r="AP4" s="93">
        <f>IF('Net zero activities &amp; levers'!$C$5="Off",('Activity data'!BI5*EF!$H4)*kgtoGg,IF('Net zero activities &amp; levers'!$C$5="On",(((('Activity data'!BI5-'Net zero supporting data'!AG15)*EF!$H4)+('Net zero supporting data'!AG15*'Net zero supporting data'!AG25))*kgtoGg)))</f>
        <v>88.148002879922075</v>
      </c>
      <c r="AQ4" s="93">
        <f>IF('Net zero activities &amp; levers'!$C$5="Off",('Activity data'!BJ5*EF!$H4)*kgtoGg,IF('Net zero activities &amp; levers'!$C$5="On",(((('Activity data'!BJ5-'Net zero supporting data'!AH15)*EF!$H4)+('Net zero supporting data'!AH15*'Net zero supporting data'!AH25))*kgtoGg)))</f>
        <v>89.216188770390033</v>
      </c>
      <c r="AR4" s="93">
        <f>IF('Net zero activities &amp; levers'!$C$5="Off",('Activity data'!BK5*EF!$H4)*kgtoGg,IF('Net zero activities &amp; levers'!$C$5="On",(((('Activity data'!BK5-'Net zero supporting data'!AI15)*EF!$H4)+('Net zero supporting data'!AI15*'Net zero supporting data'!AI25))*kgtoGg)))</f>
        <v>90.329867093894634</v>
      </c>
      <c r="AS4" s="93">
        <f>IF('Net zero activities &amp; levers'!$C$5="Off",('Activity data'!BL5*EF!$H4)*kgtoGg,IF('Net zero activities &amp; levers'!$C$5="On",(((('Activity data'!BL5-'Net zero supporting data'!AJ15)*EF!$H4)+('Net zero supporting data'!AJ15*'Net zero supporting data'!AJ25))*kgtoGg)))</f>
        <v>91.569455187103387</v>
      </c>
      <c r="AT4" s="93">
        <f>IF('Net zero activities &amp; levers'!$C$5="Off",('Activity data'!BM5*EF!$H4)*kgtoGg,IF('Net zero activities &amp; levers'!$C$5="On",(((('Activity data'!BM5-'Net zero supporting data'!AK15)*EF!$H4)+('Net zero supporting data'!AK15*'Net zero supporting data'!AK25))*kgtoGg)))</f>
        <v>92.419162419572629</v>
      </c>
      <c r="AU4" s="93">
        <f>IF('Net zero activities &amp; levers'!$C$5="Off",('Activity data'!BN5*EF!$H4)*kgtoGg,IF('Net zero activities &amp; levers'!$C$5="On",(((('Activity data'!BN5-'Net zero supporting data'!AL15)*EF!$H4)+('Net zero supporting data'!AL15*'Net zero supporting data'!AL25))*kgtoGg)))</f>
        <v>93.249562371447425</v>
      </c>
      <c r="AV4" s="93">
        <f>IF('Net zero activities &amp; levers'!$C$5="Off",('Activity data'!BO5*EF!$H4)*kgtoGg,IF('Net zero activities &amp; levers'!$C$5="On",(((('Activity data'!BO5-'Net zero supporting data'!AM15)*EF!$H4)+('Net zero supporting data'!AM15*'Net zero supporting data'!AM25))*kgtoGg)))</f>
        <v>94.10343397205942</v>
      </c>
      <c r="AW4" s="93">
        <f>IF('Net zero activities &amp; levers'!$C$5="Off",('Activity data'!BP5*EF!$H4)*kgtoGg,IF('Net zero activities &amp; levers'!$C$5="On",(((('Activity data'!BP5-'Net zero supporting data'!AN15)*EF!$H4)+('Net zero supporting data'!AN15*'Net zero supporting data'!AN25))*kgtoGg)))</f>
        <v>94.962678537008983</v>
      </c>
      <c r="AY4" s="79"/>
    </row>
    <row r="5" spans="1:55" x14ac:dyDescent="0.2">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58.1066387636453</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59.055225455337663</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59.600764035107602</v>
      </c>
      <c r="S5" s="93">
        <f>IF('Net zero activities &amp; levers'!$C$5="Off",('Activity data'!AL6*EF!$H5)*kgtoGg,IF('Net zero activities &amp; levers'!$C$5="On",(((('Activity data'!AL6-'Net zero supporting data'!J16)*EF!$H5)+('Net zero supporting data'!J16*'Net zero supporting data'!J26))*kgtoGg)))</f>
        <v>57.969180145469302</v>
      </c>
      <c r="T5" s="93">
        <f>IF('Net zero activities &amp; levers'!$C$5="Off",('Activity data'!AM6*EF!$H5)*kgtoGg,IF('Net zero activities &amp; levers'!$C$5="On",(((('Activity data'!AM6-'Net zero supporting data'!K16)*EF!$H5)+('Net zero supporting data'!K16*'Net zero supporting data'!K26))*kgtoGg)))</f>
        <v>58.616758918779325</v>
      </c>
      <c r="U5" s="93">
        <f>IF('Net zero activities &amp; levers'!$C$5="Off",('Activity data'!AN6*EF!$H5)*kgtoGg,IF('Net zero activities &amp; levers'!$C$5="On",(((('Activity data'!AN6-'Net zero supporting data'!L16)*EF!$H5)+('Net zero supporting data'!L16*'Net zero supporting data'!L26))*kgtoGg)))</f>
        <v>59.082893898059737</v>
      </c>
      <c r="V5" s="93">
        <f>IF('Net zero activities &amp; levers'!$C$5="Off",('Activity data'!AO6*EF!$H5)*kgtoGg,IF('Net zero activities &amp; levers'!$C$5="On",(((('Activity data'!AO6-'Net zero supporting data'!M16)*EF!$H5)+('Net zero supporting data'!M16*'Net zero supporting data'!M26))*kgtoGg)))</f>
        <v>59.484296972320635</v>
      </c>
      <c r="W5" s="93">
        <f>IF('Net zero activities &amp; levers'!$C$5="Off",('Activity data'!AP6*EF!$H5)*kgtoGg,IF('Net zero activities &amp; levers'!$C$5="On",(((('Activity data'!AP6-'Net zero supporting data'!N16)*EF!$H5)+('Net zero supporting data'!N16*'Net zero supporting data'!N26))*kgtoGg)))</f>
        <v>59.931659076596837</v>
      </c>
      <c r="X5" s="93">
        <f>IF('Net zero activities &amp; levers'!$C$5="Off",('Activity data'!AQ6*EF!$H5)*kgtoGg,IF('Net zero activities &amp; levers'!$C$5="On",(((('Activity data'!AQ6-'Net zero supporting data'!O16)*EF!$H5)+('Net zero supporting data'!O16*'Net zero supporting data'!O26))*kgtoGg)))</f>
        <v>60.317073724953346</v>
      </c>
      <c r="Y5" s="93">
        <f>IF('Net zero activities &amp; levers'!$C$5="Off",('Activity data'!AR6*EF!$H5)*kgtoGg,IF('Net zero activities &amp; levers'!$C$5="On",(((('Activity data'!AR6-'Net zero supporting data'!P16)*EF!$H5)+('Net zero supporting data'!P16*'Net zero supporting data'!P26))*kgtoGg)))</f>
        <v>60.576586504592548</v>
      </c>
      <c r="Z5" s="93">
        <f>IF('Net zero activities &amp; levers'!$C$5="Off",('Activity data'!AS6*EF!$H5)*kgtoGg,IF('Net zero activities &amp; levers'!$C$5="On",(((('Activity data'!AS6-'Net zero supporting data'!Q16)*EF!$H5)+('Net zero supporting data'!Q16*'Net zero supporting data'!Q26))*kgtoGg)))</f>
        <v>60.786529813345162</v>
      </c>
      <c r="AA5" s="93">
        <f>IF('Net zero activities &amp; levers'!$C$5="Off",('Activity data'!AT6*EF!$H5)*kgtoGg,IF('Net zero activities &amp; levers'!$C$5="On",(((('Activity data'!AT6-'Net zero supporting data'!R16)*EF!$H5)+('Net zero supporting data'!R16*'Net zero supporting data'!R26))*kgtoGg)))</f>
        <v>60.937114928907093</v>
      </c>
      <c r="AB5" s="93">
        <f>IF('Net zero activities &amp; levers'!$C$5="Off",('Activity data'!AU6*EF!$H5)*kgtoGg,IF('Net zero activities &amp; levers'!$C$5="On",(((('Activity data'!AU6-'Net zero supporting data'!S16)*EF!$H5)+('Net zero supporting data'!S16*'Net zero supporting data'!S26))*kgtoGg)))</f>
        <v>61.177341417036921</v>
      </c>
      <c r="AC5" s="93">
        <f>IF('Net zero activities &amp; levers'!$C$5="Off",('Activity data'!AV6*EF!$H5)*kgtoGg,IF('Net zero activities &amp; levers'!$C$5="On",(((('Activity data'!AV6-'Net zero supporting data'!T16)*EF!$H5)+('Net zero supporting data'!T16*'Net zero supporting data'!T26))*kgtoGg)))</f>
        <v>61.377612980363246</v>
      </c>
      <c r="AD5" s="93">
        <f>IF('Net zero activities &amp; levers'!$C$5="Off",('Activity data'!AW6*EF!$H5)*kgtoGg,IF('Net zero activities &amp; levers'!$C$5="On",(((('Activity data'!AW6-'Net zero supporting data'!U16)*EF!$H5)+('Net zero supporting data'!U16*'Net zero supporting data'!U26))*kgtoGg)))</f>
        <v>61.894977547208036</v>
      </c>
      <c r="AE5" s="93">
        <f>IF('Net zero activities &amp; levers'!$C$5="Off",('Activity data'!AX6*EF!$H5)*kgtoGg,IF('Net zero activities &amp; levers'!$C$5="On",(((('Activity data'!AX6-'Net zero supporting data'!V16)*EF!$H5)+('Net zero supporting data'!V16*'Net zero supporting data'!V26))*kgtoGg)))</f>
        <v>62.534978201850052</v>
      </c>
      <c r="AF5" s="93">
        <f>IF('Net zero activities &amp; levers'!$C$5="Off",('Activity data'!AY6*EF!$H5)*kgtoGg,IF('Net zero activities &amp; levers'!$C$5="On",(((('Activity data'!AY6-'Net zero supporting data'!W16)*EF!$H5)+('Net zero supporting data'!W16*'Net zero supporting data'!W26))*kgtoGg)))</f>
        <v>63.237863259190036</v>
      </c>
      <c r="AG5" s="93">
        <f>IF('Net zero activities &amp; levers'!$C$5="Off",('Activity data'!AZ6*EF!$H5)*kgtoGg,IF('Net zero activities &amp; levers'!$C$5="On",(((('Activity data'!AZ6-'Net zero supporting data'!X16)*EF!$H5)+('Net zero supporting data'!X16*'Net zero supporting data'!X26))*kgtoGg)))</f>
        <v>64.073300949826844</v>
      </c>
      <c r="AH5" s="93">
        <f>IF('Net zero activities &amp; levers'!$C$5="Off",('Activity data'!BA6*EF!$H5)*kgtoGg,IF('Net zero activities &amp; levers'!$C$5="On",(((('Activity data'!BA6-'Net zero supporting data'!Y16)*EF!$H5)+('Net zero supporting data'!Y16*'Net zero supporting data'!Y26))*kgtoGg)))</f>
        <v>64.724793561045075</v>
      </c>
      <c r="AI5" s="93">
        <f>IF('Net zero activities &amp; levers'!$C$5="Off",('Activity data'!BB6*EF!$H5)*kgtoGg,IF('Net zero activities &amp; levers'!$C$5="On",(((('Activity data'!BB6-'Net zero supporting data'!Z16)*EF!$H5)+('Net zero supporting data'!Z16*'Net zero supporting data'!Z26))*kgtoGg)))</f>
        <v>65.326061226440316</v>
      </c>
      <c r="AJ5" s="93">
        <f>IF('Net zero activities &amp; levers'!$C$5="Off",('Activity data'!BC6*EF!$H5)*kgtoGg,IF('Net zero activities &amp; levers'!$C$5="On",(((('Activity data'!BC6-'Net zero supporting data'!AA16)*EF!$H5)+('Net zero supporting data'!AA16*'Net zero supporting data'!AA26))*kgtoGg)))</f>
        <v>65.997411183201535</v>
      </c>
      <c r="AK5" s="93">
        <f>IF('Net zero activities &amp; levers'!$C$5="Off",('Activity data'!BD6*EF!$H5)*kgtoGg,IF('Net zero activities &amp; levers'!$C$5="On",(((('Activity data'!BD6-'Net zero supporting data'!AB16)*EF!$H5)+('Net zero supporting data'!AB16*'Net zero supporting data'!AB26))*kgtoGg)))</f>
        <v>66.648695516822684</v>
      </c>
      <c r="AL5" s="93">
        <f>IF('Net zero activities &amp; levers'!$C$5="Off",('Activity data'!BE6*EF!$H5)*kgtoGg,IF('Net zero activities &amp; levers'!$C$5="On",(((('Activity data'!BE6-'Net zero supporting data'!AC16)*EF!$H5)+('Net zero supporting data'!AC16*'Net zero supporting data'!AC26))*kgtoGg)))</f>
        <v>67.341356711547206</v>
      </c>
      <c r="AM5" s="93">
        <f>IF('Net zero activities &amp; levers'!$C$5="Off",('Activity data'!BF6*EF!$H5)*kgtoGg,IF('Net zero activities &amp; levers'!$C$5="On",(((('Activity data'!BF6-'Net zero supporting data'!AD16)*EF!$H5)+('Net zero supporting data'!AD16*'Net zero supporting data'!AD26))*kgtoGg)))</f>
        <v>68.043777078186409</v>
      </c>
      <c r="AN5" s="93">
        <f>IF('Net zero activities &amp; levers'!$C$5="Off",('Activity data'!BG6*EF!$H5)*kgtoGg,IF('Net zero activities &amp; levers'!$C$5="On",(((('Activity data'!BG6-'Net zero supporting data'!AE16)*EF!$H5)+('Net zero supporting data'!AE16*'Net zero supporting data'!AE26))*kgtoGg)))</f>
        <v>68.875672128730955</v>
      </c>
      <c r="AO5" s="93">
        <f>IF('Net zero activities &amp; levers'!$C$5="Off",('Activity data'!BH6*EF!$H5)*kgtoGg,IF('Net zero activities &amp; levers'!$C$5="On",(((('Activity data'!BH6-'Net zero supporting data'!AF16)*EF!$H5)+('Net zero supporting data'!AF16*'Net zero supporting data'!AF26))*kgtoGg)))</f>
        <v>69.679399398879227</v>
      </c>
      <c r="AP5" s="93">
        <f>IF('Net zero activities &amp; levers'!$C$5="Off",('Activity data'!BI6*EF!$H5)*kgtoGg,IF('Net zero activities &amp; levers'!$C$5="On",(((('Activity data'!BI6-'Net zero supporting data'!AG16)*EF!$H5)+('Net zero supporting data'!AG16*'Net zero supporting data'!AG26))*kgtoGg)))</f>
        <v>70.502231963553399</v>
      </c>
      <c r="AQ5" s="93">
        <f>IF('Net zero activities &amp; levers'!$C$5="Off",('Activity data'!BJ6*EF!$H5)*kgtoGg,IF('Net zero activities &amp; levers'!$C$5="On",(((('Activity data'!BJ6-'Net zero supporting data'!AH16)*EF!$H5)+('Net zero supporting data'!AH16*'Net zero supporting data'!AH26))*kgtoGg)))</f>
        <v>71.356584722203593</v>
      </c>
      <c r="AR5" s="93">
        <f>IF('Net zero activities &amp; levers'!$C$5="Off",('Activity data'!BK6*EF!$H5)*kgtoGg,IF('Net zero activities &amp; levers'!$C$5="On",(((('Activity data'!BK6-'Net zero supporting data'!AI16)*EF!$H5)+('Net zero supporting data'!AI16*'Net zero supporting data'!AI26))*kgtoGg)))</f>
        <v>72.247323081908235</v>
      </c>
      <c r="AS5" s="93">
        <f>IF('Net zero activities &amp; levers'!$C$5="Off",('Activity data'!BL6*EF!$H5)*kgtoGg,IF('Net zero activities &amp; levers'!$C$5="On",(((('Activity data'!BL6-'Net zero supporting data'!AJ16)*EF!$H5)+('Net zero supporting data'!AJ16*'Net zero supporting data'!AJ26))*kgtoGg)))</f>
        <v>73.238766159815668</v>
      </c>
      <c r="AT5" s="93">
        <f>IF('Net zero activities &amp; levers'!$C$5="Off",('Activity data'!BM6*EF!$H5)*kgtoGg,IF('Net zero activities &amp; levers'!$C$5="On",(((('Activity data'!BM6-'Net zero supporting data'!AK16)*EF!$H5)+('Net zero supporting data'!AK16*'Net zero supporting data'!AK26))*kgtoGg)))</f>
        <v>73.918376070958644</v>
      </c>
      <c r="AU5" s="93">
        <f>IF('Net zero activities &amp; levers'!$C$5="Off",('Activity data'!BN6*EF!$H5)*kgtoGg,IF('Net zero activities &amp; levers'!$C$5="On",(((('Activity data'!BN6-'Net zero supporting data'!AL16)*EF!$H5)+('Net zero supporting data'!AL16*'Net zero supporting data'!AL26))*kgtoGg)))</f>
        <v>74.58254369945675</v>
      </c>
      <c r="AV5" s="93">
        <f>IF('Net zero activities &amp; levers'!$C$5="Off",('Activity data'!BO6*EF!$H5)*kgtoGg,IF('Net zero activities &amp; levers'!$C$5="On",(((('Activity data'!BO6-'Net zero supporting data'!AM16)*EF!$H5)+('Net zero supporting data'!AM16*'Net zero supporting data'!AM26))*kgtoGg)))</f>
        <v>75.265484341180013</v>
      </c>
      <c r="AW5" s="93">
        <f>IF('Net zero activities &amp; levers'!$C$5="Off",('Activity data'!BP6*EF!$H5)*kgtoGg,IF('Net zero activities &amp; levers'!$C$5="On",(((('Activity data'!BP6-'Net zero supporting data'!AN16)*EF!$H5)+('Net zero supporting data'!AN16*'Net zero supporting data'!AN26))*kgtoGg)))</f>
        <v>75.952722368728033</v>
      </c>
      <c r="AY5" s="79"/>
    </row>
    <row r="6" spans="1:55" x14ac:dyDescent="0.2">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26.272250579806308</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26.701143177813606</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26.947802192577246</v>
      </c>
      <c r="S6" s="93">
        <f>IF('Net zero activities &amp; levers'!$C$5="Off",('Activity data'!AL7*EF!$H6)*kgtoGg,IF('Net zero activities &amp; levers'!$C$5="On",(((('Activity data'!AL7-'Net zero supporting data'!J17)*EF!$H6)+('Net zero supporting data'!J17*'Net zero supporting data'!J27))*kgtoGg)))</f>
        <v>26.210100241429942</v>
      </c>
      <c r="T6" s="93">
        <f>IF('Net zero activities &amp; levers'!$C$5="Off",('Activity data'!AM7*EF!$H6)*kgtoGg,IF('Net zero activities &amp; levers'!$C$5="On",(((('Activity data'!AM7-'Net zero supporting data'!K17)*EF!$H6)+('Net zero supporting data'!K17*'Net zero supporting data'!K27))*kgtoGg)))</f>
        <v>26.494479809246837</v>
      </c>
      <c r="U6" s="93">
        <f>IF('Net zero activities &amp; levers'!$C$5="Off",('Activity data'!AN7*EF!$H6)*kgtoGg,IF('Net zero activities &amp; levers'!$C$5="On",(((('Activity data'!AN7-'Net zero supporting data'!L17)*EF!$H6)+('Net zero supporting data'!L17*'Net zero supporting data'!L27))*kgtoGg)))</f>
        <v>26.679964334853711</v>
      </c>
      <c r="V6" s="93">
        <f>IF('Net zero activities &amp; levers'!$C$5="Off",('Activity data'!AO7*EF!$H6)*kgtoGg,IF('Net zero activities &amp; levers'!$C$5="On",(((('Activity data'!AO7-'Net zero supporting data'!M17)*EF!$H6)+('Net zero supporting data'!M17*'Net zero supporting data'!M27))*kgtoGg)))</f>
        <v>26.819330827153014</v>
      </c>
      <c r="W6" s="93">
        <f>IF('Net zero activities &amp; levers'!$C$5="Off",('Activity data'!AP7*EF!$H6)*kgtoGg,IF('Net zero activities &amp; levers'!$C$5="On",(((('Activity data'!AP7-'Net zero supporting data'!N17)*EF!$H6)+('Net zero supporting data'!N17*'Net zero supporting data'!N27))*kgtoGg)))</f>
        <v>26.962444556618554</v>
      </c>
      <c r="X6" s="93">
        <f>IF('Net zero activities &amp; levers'!$C$5="Off",('Activity data'!AQ7*EF!$H6)*kgtoGg,IF('Net zero activities &amp; levers'!$C$5="On",(((('Activity data'!AQ7-'Net zero supporting data'!O17)*EF!$H6)+('Net zero supporting data'!O17*'Net zero supporting data'!O27))*kgtoGg)))</f>
        <v>27.060605957253472</v>
      </c>
      <c r="Y6" s="93">
        <f>IF('Net zero activities &amp; levers'!$C$5="Off",('Activity data'!AR7*EF!$H6)*kgtoGg,IF('Net zero activities &amp; levers'!$C$5="On",(((('Activity data'!AR7-'Net zero supporting data'!P17)*EF!$H6)+('Net zero supporting data'!P17*'Net zero supporting data'!P27))*kgtoGg)))</f>
        <v>27.085302008324636</v>
      </c>
      <c r="Z6" s="93">
        <f>IF('Net zero activities &amp; levers'!$C$5="Off",('Activity data'!AS7*EF!$H6)*kgtoGg,IF('Net zero activities &amp; levers'!$C$5="On",(((('Activity data'!AS7-'Net zero supporting data'!Q17)*EF!$H6)+('Net zero supporting data'!Q17*'Net zero supporting data'!Q27))*kgtoGg)))</f>
        <v>27.071005510287872</v>
      </c>
      <c r="AA6" s="93">
        <f>IF('Net zero activities &amp; levers'!$C$5="Off",('Activity data'!AT7*EF!$H6)*kgtoGg,IF('Net zero activities &amp; levers'!$C$5="On",(((('Activity data'!AT7-'Net zero supporting data'!R17)*EF!$H6)+('Net zero supporting data'!R17*'Net zero supporting data'!R27))*kgtoGg)))</f>
        <v>27.013543414219477</v>
      </c>
      <c r="AB6" s="93">
        <f>IF('Net zero activities &amp; levers'!$C$5="Off",('Activity data'!AU7*EF!$H6)*kgtoGg,IF('Net zero activities &amp; levers'!$C$5="On",(((('Activity data'!AU7-'Net zero supporting data'!S17)*EF!$H6)+('Net zero supporting data'!S17*'Net zero supporting data'!S27))*kgtoGg)))</f>
        <v>26.978892913823824</v>
      </c>
      <c r="AC6" s="93">
        <f>IF('Net zero activities &amp; levers'!$C$5="Off",('Activity data'!AV7*EF!$H6)*kgtoGg,IF('Net zero activities &amp; levers'!$C$5="On",(((('Activity data'!AV7-'Net zero supporting data'!T17)*EF!$H6)+('Net zero supporting data'!T17*'Net zero supporting data'!T27))*kgtoGg)))</f>
        <v>26.909407306154122</v>
      </c>
      <c r="AD6" s="93">
        <f>IF('Net zero activities &amp; levers'!$C$5="Off",('Activity data'!AW7*EF!$H6)*kgtoGg,IF('Net zero activities &amp; levers'!$C$5="On",(((('Activity data'!AW7-'Net zero supporting data'!U17)*EF!$H6)+('Net zero supporting data'!U17*'Net zero supporting data'!U27))*kgtoGg)))</f>
        <v>27.115813940140843</v>
      </c>
      <c r="AE6" s="93">
        <f>IF('Net zero activities &amp; levers'!$C$5="Off",('Activity data'!AX7*EF!$H6)*kgtoGg,IF('Net zero activities &amp; levers'!$C$5="On",(((('Activity data'!AX7-'Net zero supporting data'!V17)*EF!$H6)+('Net zero supporting data'!V17*'Net zero supporting data'!V27))*kgtoGg)))</f>
        <v>27.375607905195842</v>
      </c>
      <c r="AF6" s="93">
        <f>IF('Net zero activities &amp; levers'!$C$5="Off",('Activity data'!AY7*EF!$H6)*kgtoGg,IF('Net zero activities &amp; levers'!$C$5="On",(((('Activity data'!AY7-'Net zero supporting data'!W17)*EF!$H6)+('Net zero supporting data'!W17*'Net zero supporting data'!W27))*kgtoGg)))</f>
        <v>27.662532102435716</v>
      </c>
      <c r="AG6" s="93">
        <f>IF('Net zero activities &amp; levers'!$C$5="Off",('Activity data'!AZ7*EF!$H6)*kgtoGg,IF('Net zero activities &amp; levers'!$C$5="On",(((('Activity data'!AZ7-'Net zero supporting data'!X17)*EF!$H6)+('Net zero supporting data'!X17*'Net zero supporting data'!X27))*kgtoGg)))</f>
        <v>28.006978835905517</v>
      </c>
      <c r="AH6" s="93">
        <f>IF('Net zero activities &amp; levers'!$C$5="Off",('Activity data'!BA7*EF!$H6)*kgtoGg,IF('Net zero activities &amp; levers'!$C$5="On",(((('Activity data'!BA7-'Net zero supporting data'!Y17)*EF!$H6)+('Net zero supporting data'!Y17*'Net zero supporting data'!Y27))*kgtoGg)))</f>
        <v>28.270579463577807</v>
      </c>
      <c r="AI6" s="93">
        <f>IF('Net zero activities &amp; levers'!$C$5="Off",('Activity data'!BB7*EF!$H6)*kgtoGg,IF('Net zero activities &amp; levers'!$C$5="On",(((('Activity data'!BB7-'Net zero supporting data'!Z17)*EF!$H6)+('Net zero supporting data'!Z17*'Net zero supporting data'!Z27))*kgtoGg)))</f>
        <v>28.511878925526492</v>
      </c>
      <c r="AJ6" s="93">
        <f>IF('Net zero activities &amp; levers'!$C$5="Off",('Activity data'!BC7*EF!$H6)*kgtoGg,IF('Net zero activities &amp; levers'!$C$5="On",(((('Activity data'!BC7-'Net zero supporting data'!AA17)*EF!$H6)+('Net zero supporting data'!AA17*'Net zero supporting data'!AA27))*kgtoGg)))</f>
        <v>28.783397427229108</v>
      </c>
      <c r="AK6" s="93">
        <f>IF('Net zero activities &amp; levers'!$C$5="Off",('Activity data'!BD7*EF!$H6)*kgtoGg,IF('Net zero activities &amp; levers'!$C$5="On",(((('Activity data'!BD7-'Net zero supporting data'!AB17)*EF!$H6)+('Net zero supporting data'!AB17*'Net zero supporting data'!AB27))*kgtoGg)))</f>
        <v>29.045781336467567</v>
      </c>
      <c r="AL6" s="93">
        <f>IF('Net zero activities &amp; levers'!$C$5="Off",('Activity data'!BE7*EF!$H6)*kgtoGg,IF('Net zero activities &amp; levers'!$C$5="On",(((('Activity data'!BE7-'Net zero supporting data'!AC17)*EF!$H6)+('Net zero supporting data'!AC17*'Net zero supporting data'!AC27))*kgtoGg)))</f>
        <v>29.325808837348408</v>
      </c>
      <c r="AM6" s="93">
        <f>IF('Net zero activities &amp; levers'!$C$5="Off",('Activity data'!BF7*EF!$H6)*kgtoGg,IF('Net zero activities &amp; levers'!$C$5="On",(((('Activity data'!BF7-'Net zero supporting data'!AD17)*EF!$H6)+('Net zero supporting data'!AD17*'Net zero supporting data'!AD27))*kgtoGg)))</f>
        <v>29.609682790510949</v>
      </c>
      <c r="AN6" s="93">
        <f>IF('Net zero activities &amp; levers'!$C$5="Off",('Activity data'!BG7*EF!$H6)*kgtoGg,IF('Net zero activities &amp; levers'!$C$5="On",(((('Activity data'!BG7-'Net zero supporting data'!AE17)*EF!$H6)+('Net zero supporting data'!AE17*'Net zero supporting data'!AE27))*kgtoGg)))</f>
        <v>29.97369856838359</v>
      </c>
      <c r="AO6" s="93">
        <f>IF('Net zero activities &amp; levers'!$C$5="Off",('Activity data'!BH7*EF!$H6)*kgtoGg,IF('Net zero activities &amp; levers'!$C$5="On",(((('Activity data'!BH7-'Net zero supporting data'!AF17)*EF!$H6)+('Net zero supporting data'!AF17*'Net zero supporting data'!AF27))*kgtoGg)))</f>
        <v>30.325503645863204</v>
      </c>
      <c r="AP6" s="93">
        <f>IF('Net zero activities &amp; levers'!$C$5="Off",('Activity data'!BI7*EF!$H6)*kgtoGg,IF('Net zero activities &amp; levers'!$C$5="On",(((('Activity data'!BI7-'Net zero supporting data'!AG17)*EF!$H6)+('Net zero supporting data'!AG17*'Net zero supporting data'!AG27))*kgtoGg)))</f>
        <v>30.685670867310122</v>
      </c>
      <c r="AQ6" s="93">
        <f>IF('Net zero activities &amp; levers'!$C$5="Off",('Activity data'!BJ7*EF!$H6)*kgtoGg,IF('Net zero activities &amp; levers'!$C$5="On",(((('Activity data'!BJ7-'Net zero supporting data'!AH17)*EF!$H6)+('Net zero supporting data'!AH17*'Net zero supporting data'!AH27))*kgtoGg)))</f>
        <v>31.059605769611821</v>
      </c>
      <c r="AR6" s="93">
        <f>IF('Net zero activities &amp; levers'!$C$5="Off",('Activity data'!BK7*EF!$H6)*kgtoGg,IF('Net zero activities &amp; levers'!$C$5="On",(((('Activity data'!BK7-'Net zero supporting data'!AI17)*EF!$H6)+('Net zero supporting data'!AI17*'Net zero supporting data'!AI27))*kgtoGg)))</f>
        <v>31.449429026990739</v>
      </c>
      <c r="AS6" s="93">
        <f>IF('Net zero activities &amp; levers'!$C$5="Off",('Activity data'!BL7*EF!$H6)*kgtoGg,IF('Net zero activities &amp; levers'!$C$5="On",(((('Activity data'!BL7-'Net zero supporting data'!AJ17)*EF!$H6)+('Net zero supporting data'!AJ17*'Net zero supporting data'!AJ27))*kgtoGg)))</f>
        <v>31.883143955390626</v>
      </c>
      <c r="AT6" s="93">
        <f>IF('Net zero activities &amp; levers'!$C$5="Off",('Activity data'!BM7*EF!$H6)*kgtoGg,IF('Net zero activities &amp; levers'!$C$5="On",(((('Activity data'!BM7-'Net zero supporting data'!AK17)*EF!$H6)+('Net zero supporting data'!AK17*'Net zero supporting data'!AK27))*kgtoGg)))</f>
        <v>32.181156575223518</v>
      </c>
      <c r="AU6" s="93">
        <f>IF('Net zero activities &amp; levers'!$C$5="Off",('Activity data'!BN7*EF!$H6)*kgtoGg,IF('Net zero activities &amp; levers'!$C$5="On",(((('Activity data'!BN7-'Net zero supporting data'!AL17)*EF!$H6)+('Net zero supporting data'!AL17*'Net zero supporting data'!AL27))*kgtoGg)))</f>
        <v>32.472485173637558</v>
      </c>
      <c r="AV6" s="93">
        <f>IF('Net zero activities &amp; levers'!$C$5="Off",('Activity data'!BO7*EF!$H6)*kgtoGg,IF('Net zero activities &amp; levers'!$C$5="On",(((('Activity data'!BO7-'Net zero supporting data'!AM17)*EF!$H6)+('Net zero supporting data'!AM17*'Net zero supporting data'!AM27))*kgtoGg)))</f>
        <v>32.772026383699604</v>
      </c>
      <c r="AW6" s="93">
        <f>IF('Net zero activities &amp; levers'!$C$5="Off",('Activity data'!BP7*EF!$H6)*kgtoGg,IF('Net zero activities &amp; levers'!$C$5="On",(((('Activity data'!BP7-'Net zero supporting data'!AN17)*EF!$H6)+('Net zero supporting data'!AN17*'Net zero supporting data'!AN27))*kgtoGg)))</f>
        <v>33.073478454731926</v>
      </c>
      <c r="AY6" s="79"/>
    </row>
    <row r="7" spans="1:55" x14ac:dyDescent="0.2">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463.23498593143194</v>
      </c>
      <c r="L7" s="93">
        <f>IF('Net zero activities &amp; levers'!$C$5="Off",('Activity data'!AE8*EF!$H7)*kgtoGg,IF('Net zero activities &amp; levers'!$C$5="On",(((('Activity data'!AE8-'Net zero supporting data'!C18)*EF!$H7)+('Net zero supporting data'!C18*'Net zero supporting data'!C28))*kgtoGg)))</f>
        <v>459.21749683621613</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442.70486896910745</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367.15498253629937</v>
      </c>
      <c r="T7" s="93">
        <f>IF('Net zero activities &amp; levers'!$C$5="Off",('Activity data'!AM8*EF!$H7)*kgtoGg,IF('Net zero activities &amp; levers'!$C$5="On",(((('Activity data'!AM8-'Net zero supporting data'!K18)*EF!$H7)+('Net zero supporting data'!K18*'Net zero supporting data'!K28))*kgtoGg)))</f>
        <v>374.02944922498745</v>
      </c>
      <c r="U7" s="93">
        <f>IF('Net zero activities &amp; levers'!$C$5="Off",('Activity data'!AN8*EF!$H7)*kgtoGg,IF('Net zero activities &amp; levers'!$C$5="On",(((('Activity data'!AN8-'Net zero supporting data'!L18)*EF!$H7)+('Net zero supporting data'!L18*'Net zero supporting data'!L28))*kgtoGg)))</f>
        <v>377.33780342089591</v>
      </c>
      <c r="V7" s="93">
        <f>IF('Net zero activities &amp; levers'!$C$5="Off",('Activity data'!AO8*EF!$H7)*kgtoGg,IF('Net zero activities &amp; levers'!$C$5="On",(((('Activity data'!AO8-'Net zero supporting data'!M18)*EF!$H7)+('Net zero supporting data'!M18*'Net zero supporting data'!M28))*kgtoGg)))</f>
        <v>379.4852457080699</v>
      </c>
      <c r="W7" s="93">
        <f>IF('Net zero activities &amp; levers'!$C$5="Off",('Activity data'!AP8*EF!$H7)*kgtoGg,IF('Net zero activities &amp; levers'!$C$5="On",(((('Activity data'!AP8-'Net zero supporting data'!N18)*EF!$H7)+('Net zero supporting data'!N18*'Net zero supporting data'!N28))*kgtoGg)))</f>
        <v>382.6202047441592</v>
      </c>
      <c r="X7" s="93">
        <f>IF('Net zero activities &amp; levers'!$C$5="Off",('Activity data'!AQ8*EF!$H7)*kgtoGg,IF('Net zero activities &amp; levers'!$C$5="On",(((('Activity data'!AQ8-'Net zero supporting data'!O18)*EF!$H7)+('Net zero supporting data'!O18*'Net zero supporting data'!O28))*kgtoGg)))</f>
        <v>384.67074035943256</v>
      </c>
      <c r="Y7" s="93">
        <f>IF('Net zero activities &amp; levers'!$C$5="Off",('Activity data'!AR8*EF!$H7)*kgtoGg,IF('Net zero activities &amp; levers'!$C$5="On",(((('Activity data'!AR8-'Net zero supporting data'!P18)*EF!$H7)+('Net zero supporting data'!P18*'Net zero supporting data'!P28))*kgtoGg)))</f>
        <v>385.23284174238478</v>
      </c>
      <c r="Z7" s="93">
        <f>IF('Net zero activities &amp; levers'!$C$5="Off",('Activity data'!AS8*EF!$H7)*kgtoGg,IF('Net zero activities &amp; levers'!$C$5="On",(((('Activity data'!AS8-'Net zero supporting data'!Q18)*EF!$H7)+('Net zero supporting data'!Q18*'Net zero supporting data'!Q28))*kgtoGg)))</f>
        <v>385.03216593916324</v>
      </c>
      <c r="AA7" s="93">
        <f>IF('Net zero activities &amp; levers'!$C$5="Off",('Activity data'!AT8*EF!$H7)*kgtoGg,IF('Net zero activities &amp; levers'!$C$5="On",(((('Activity data'!AT8-'Net zero supporting data'!R18)*EF!$H7)+('Net zero supporting data'!R18*'Net zero supporting data'!R28))*kgtoGg)))</f>
        <v>383.9208648978028</v>
      </c>
      <c r="AB7" s="93">
        <f>IF('Net zero activities &amp; levers'!$C$5="Off",('Activity data'!AU8*EF!$H7)*kgtoGg,IF('Net zero activities &amp; levers'!$C$5="On",(((('Activity data'!AU8-'Net zero supporting data'!S18)*EF!$H7)+('Net zero supporting data'!S18*'Net zero supporting data'!S28))*kgtoGg)))</f>
        <v>384.55023825151471</v>
      </c>
      <c r="AC7" s="93">
        <f>IF('Net zero activities &amp; levers'!$C$5="Off",('Activity data'!AV8*EF!$H7)*kgtoGg,IF('Net zero activities &amp; levers'!$C$5="On",(((('Activity data'!AV8-'Net zero supporting data'!T18)*EF!$H7)+('Net zero supporting data'!T18*'Net zero supporting data'!T28))*kgtoGg)))</f>
        <v>384.58910415564867</v>
      </c>
      <c r="AD7" s="93">
        <f>IF('Net zero activities &amp; levers'!$C$5="Off",('Activity data'!AW8*EF!$H7)*kgtoGg,IF('Net zero activities &amp; levers'!$C$5="On",(((('Activity data'!AW8-'Net zero supporting data'!U18)*EF!$H7)+('Net zero supporting data'!U18*'Net zero supporting data'!U28))*kgtoGg)))</f>
        <v>383.8722514894888</v>
      </c>
      <c r="AE7" s="93">
        <f>IF('Net zero activities &amp; levers'!$C$5="Off",('Activity data'!AX8*EF!$H7)*kgtoGg,IF('Net zero activities &amp; levers'!$C$5="On",(((('Activity data'!AX8-'Net zero supporting data'!V18)*EF!$H7)+('Net zero supporting data'!V18*'Net zero supporting data'!V28))*kgtoGg)))</f>
        <v>384.82479185132121</v>
      </c>
      <c r="AF7" s="93">
        <f>IF('Net zero activities &amp; levers'!$C$5="Off",('Activity data'!AY8*EF!$H7)*kgtoGg,IF('Net zero activities &amp; levers'!$C$5="On",(((('Activity data'!AY8-'Net zero supporting data'!W18)*EF!$H7)+('Net zero supporting data'!W18*'Net zero supporting data'!W28))*kgtoGg)))</f>
        <v>386.35315212201408</v>
      </c>
      <c r="AG7" s="93">
        <f>IF('Net zero activities &amp; levers'!$C$5="Off",('Activity data'!AZ8*EF!$H7)*kgtoGg,IF('Net zero activities &amp; levers'!$C$5="On",(((('Activity data'!AZ8-'Net zero supporting data'!X18)*EF!$H7)+('Net zero supporting data'!X18*'Net zero supporting data'!X28))*kgtoGg)))</f>
        <v>389.48815921220137</v>
      </c>
      <c r="AH7" s="93">
        <f>IF('Net zero activities &amp; levers'!$C$5="Off",('Activity data'!BA8*EF!$H7)*kgtoGg,IF('Net zero activities &amp; levers'!$C$5="On",(((('Activity data'!BA8-'Net zero supporting data'!Y18)*EF!$H7)+('Net zero supporting data'!Y18*'Net zero supporting data'!Y28))*kgtoGg)))</f>
        <v>389.26123333082563</v>
      </c>
      <c r="AI7" s="93">
        <f>IF('Net zero activities &amp; levers'!$C$5="Off",('Activity data'!BB8*EF!$H7)*kgtoGg,IF('Net zero activities &amp; levers'!$C$5="On",(((('Activity data'!BB8-'Net zero supporting data'!Z18)*EF!$H7)+('Net zero supporting data'!Z18*'Net zero supporting data'!Z28))*kgtoGg)))</f>
        <v>388.33299670382496</v>
      </c>
      <c r="AJ7" s="93">
        <f>IF('Net zero activities &amp; levers'!$C$5="Off",('Activity data'!BC8*EF!$H7)*kgtoGg,IF('Net zero activities &amp; levers'!$C$5="On",(((('Activity data'!BC8-'Net zero supporting data'!AA18)*EF!$H7)+('Net zero supporting data'!AA18*'Net zero supporting data'!AA28))*kgtoGg)))</f>
        <v>388.05633482145964</v>
      </c>
      <c r="AK7" s="93">
        <f>IF('Net zero activities &amp; levers'!$C$5="Off",('Activity data'!BD8*EF!$H7)*kgtoGg,IF('Net zero activities &amp; levers'!$C$5="On",(((('Activity data'!BD8-'Net zero supporting data'!AB18)*EF!$H7)+('Net zero supporting data'!AB18*'Net zero supporting data'!AB28))*kgtoGg)))</f>
        <v>387.09232400965652</v>
      </c>
      <c r="AL7" s="93">
        <f>IF('Net zero activities &amp; levers'!$C$5="Off",('Activity data'!BE8*EF!$H7)*kgtoGg,IF('Net zero activities &amp; levers'!$C$5="On",(((('Activity data'!BE8-'Net zero supporting data'!AC18)*EF!$H7)+('Net zero supporting data'!AC18*'Net zero supporting data'!AC28))*kgtoGg)))</f>
        <v>386.32045843768736</v>
      </c>
      <c r="AM7" s="93">
        <f>IF('Net zero activities &amp; levers'!$C$5="Off",('Activity data'!BF8*EF!$H7)*kgtoGg,IF('Net zero activities &amp; levers'!$C$5="On",(((('Activity data'!BF8-'Net zero supporting data'!AD18)*EF!$H7)+('Net zero supporting data'!AD18*'Net zero supporting data'!AD28))*kgtoGg)))</f>
        <v>385.28430223116322</v>
      </c>
      <c r="AN7" s="93">
        <f>IF('Net zero activities &amp; levers'!$C$5="Off",('Activity data'!BG8*EF!$H7)*kgtoGg,IF('Net zero activities &amp; levers'!$C$5="On",(((('Activity data'!BG8-'Net zero supporting data'!AE18)*EF!$H7)+('Net zero supporting data'!AE18*'Net zero supporting data'!AE28))*kgtoGg)))</f>
        <v>387.49371038736427</v>
      </c>
      <c r="AO7" s="93">
        <f>IF('Net zero activities &amp; levers'!$C$5="Off",('Activity data'!BH8*EF!$H7)*kgtoGg,IF('Net zero activities &amp; levers'!$C$5="On",(((('Activity data'!BH8-'Net zero supporting data'!AF18)*EF!$H7)+('Net zero supporting data'!AF18*'Net zero supporting data'!AF28))*kgtoGg)))</f>
        <v>388.95697888776789</v>
      </c>
      <c r="AP7" s="93">
        <f>IF('Net zero activities &amp; levers'!$C$5="Off",('Activity data'!BI8*EF!$H7)*kgtoGg,IF('Net zero activities &amp; levers'!$C$5="On",(((('Activity data'!BI8-'Net zero supporting data'!AG18)*EF!$H7)+('Net zero supporting data'!AG18*'Net zero supporting data'!AG28))*kgtoGg)))</f>
        <v>390.30024823305433</v>
      </c>
      <c r="AQ7" s="93">
        <f>IF('Net zero activities &amp; levers'!$C$5="Off",('Activity data'!BJ8*EF!$H7)*kgtoGg,IF('Net zero activities &amp; levers'!$C$5="On",(((('Activity data'!BJ8-'Net zero supporting data'!AH18)*EF!$H7)+('Net zero supporting data'!AH18*'Net zero supporting data'!AH28))*kgtoGg)))</f>
        <v>391.66906702310536</v>
      </c>
      <c r="AR7" s="93">
        <f>IF('Net zero activities &amp; levers'!$C$5="Off",('Activity data'!BK8*EF!$H7)*kgtoGg,IF('Net zero activities &amp; levers'!$C$5="On",(((('Activity data'!BK8-'Net zero supporting data'!AI18)*EF!$H7)+('Net zero supporting data'!AI18*'Net zero supporting data'!AI28))*kgtoGg)))</f>
        <v>393.10501338466224</v>
      </c>
      <c r="AS7" s="93">
        <f>IF('Net zero activities &amp; levers'!$C$5="Off",('Activity data'!BL8*EF!$H7)*kgtoGg,IF('Net zero activities &amp; levers'!$C$5="On",(((('Activity data'!BL8-'Net zero supporting data'!AJ18)*EF!$H7)+('Net zero supporting data'!AJ18*'Net zero supporting data'!AJ28))*kgtoGg)))</f>
        <v>395.66554182107211</v>
      </c>
      <c r="AT7" s="93">
        <f>IF('Net zero activities &amp; levers'!$C$5="Off",('Activity data'!BM8*EF!$H7)*kgtoGg,IF('Net zero activities &amp; levers'!$C$5="On",(((('Activity data'!BM8-'Net zero supporting data'!AK18)*EF!$H7)+('Net zero supporting data'!AK18*'Net zero supporting data'!AK28))*kgtoGg)))</f>
        <v>394.22918334247305</v>
      </c>
      <c r="AU7" s="93">
        <f>IF('Net zero activities &amp; levers'!$C$5="Off",('Activity data'!BN8*EF!$H7)*kgtoGg,IF('Net zero activities &amp; levers'!$C$5="On",(((('Activity data'!BN8-'Net zero supporting data'!AL18)*EF!$H7)+('Net zero supporting data'!AL18*'Net zero supporting data'!AL28))*kgtoGg)))</f>
        <v>392.36012380329009</v>
      </c>
      <c r="AV7" s="93">
        <f>IF('Net zero activities &amp; levers'!$C$5="Off",('Activity data'!BO8*EF!$H7)*kgtoGg,IF('Net zero activities &amp; levers'!$C$5="On",(((('Activity data'!BO8-'Net zero supporting data'!AM18)*EF!$H7)+('Net zero supporting data'!AM18*'Net zero supporting data'!AM28))*kgtoGg)))</f>
        <v>390.44994923382586</v>
      </c>
      <c r="AW7" s="93">
        <f>IF('Net zero activities &amp; levers'!$C$5="Off",('Activity data'!BP8*EF!$H7)*kgtoGg,IF('Net zero activities &amp; levers'!$C$5="On",(((('Activity data'!BP8-'Net zero supporting data'!AN18)*EF!$H7)+('Net zero supporting data'!AN18*'Net zero supporting data'!AN28))*kgtoGg)))</f>
        <v>388.33659576077082</v>
      </c>
      <c r="AY7" s="79"/>
    </row>
    <row r="8" spans="1:55" x14ac:dyDescent="0.2">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326.20040935577742</v>
      </c>
      <c r="L8" s="27">
        <f t="shared" ref="L8:AW8" si="5">L1383</f>
        <v>323.37137738012325</v>
      </c>
      <c r="M8" s="27">
        <f t="shared" si="5"/>
        <v>322.29445054900748</v>
      </c>
      <c r="N8" s="27">
        <f t="shared" si="5"/>
        <v>317.99063003627219</v>
      </c>
      <c r="O8" s="27">
        <f t="shared" si="5"/>
        <v>311.74352945546798</v>
      </c>
      <c r="P8" s="27">
        <f t="shared" si="5"/>
        <v>303.68232906672063</v>
      </c>
      <c r="Q8" s="27">
        <f t="shared" si="5"/>
        <v>297.32422455466599</v>
      </c>
      <c r="R8" s="27">
        <f t="shared" si="5"/>
        <v>291.30873487096773</v>
      </c>
      <c r="S8" s="27">
        <f t="shared" si="5"/>
        <v>258.54287615936238</v>
      </c>
      <c r="T8" s="27">
        <f t="shared" si="5"/>
        <v>263.48828428227887</v>
      </c>
      <c r="U8" s="27">
        <f t="shared" si="5"/>
        <v>266.13240496870094</v>
      </c>
      <c r="V8" s="27">
        <f t="shared" si="5"/>
        <v>268.167824620305</v>
      </c>
      <c r="W8" s="27">
        <f t="shared" si="5"/>
        <v>271.11276065297989</v>
      </c>
      <c r="X8" s="27">
        <f t="shared" si="5"/>
        <v>273.50273350532916</v>
      </c>
      <c r="Y8" s="27">
        <f t="shared" si="5"/>
        <v>275.0434428761701</v>
      </c>
      <c r="Z8" s="27">
        <f t="shared" si="5"/>
        <v>276.2427698386166</v>
      </c>
      <c r="AA8" s="27">
        <f t="shared" si="5"/>
        <v>276.98609052014405</v>
      </c>
      <c r="AB8" s="27">
        <f t="shared" si="5"/>
        <v>279.18661189122298</v>
      </c>
      <c r="AC8" s="27">
        <f t="shared" si="5"/>
        <v>281.1665497848058</v>
      </c>
      <c r="AD8" s="27">
        <f t="shared" si="5"/>
        <v>281.26866756300677</v>
      </c>
      <c r="AE8" s="27">
        <f t="shared" si="5"/>
        <v>282.59504365460464</v>
      </c>
      <c r="AF8" s="27">
        <f t="shared" si="5"/>
        <v>284.34900184290586</v>
      </c>
      <c r="AG8" s="27">
        <f t="shared" si="5"/>
        <v>287.29372157122594</v>
      </c>
      <c r="AH8" s="27">
        <f t="shared" si="5"/>
        <v>287.76404032367537</v>
      </c>
      <c r="AI8" s="27">
        <f t="shared" si="5"/>
        <v>287.71467047520593</v>
      </c>
      <c r="AJ8" s="27">
        <f t="shared" si="5"/>
        <v>288.14671633341055</v>
      </c>
      <c r="AK8" s="27">
        <f t="shared" si="5"/>
        <v>288.06697275846409</v>
      </c>
      <c r="AL8" s="27">
        <f t="shared" si="5"/>
        <v>288.12798631151645</v>
      </c>
      <c r="AM8" s="27">
        <f t="shared" si="5"/>
        <v>287.98951758734296</v>
      </c>
      <c r="AN8" s="27">
        <f t="shared" si="5"/>
        <v>290.05651761846218</v>
      </c>
      <c r="AO8" s="27">
        <f t="shared" si="5"/>
        <v>291.56864548628482</v>
      </c>
      <c r="AP8" s="27">
        <f t="shared" si="5"/>
        <v>292.99352741505732</v>
      </c>
      <c r="AQ8" s="27">
        <f t="shared" si="5"/>
        <v>294.44018433532034</v>
      </c>
      <c r="AR8" s="27">
        <f t="shared" si="5"/>
        <v>295.93998835163069</v>
      </c>
      <c r="AS8" s="27">
        <f t="shared" si="5"/>
        <v>298.29035331444567</v>
      </c>
      <c r="AT8" s="27">
        <f t="shared" si="5"/>
        <v>297.62835103952062</v>
      </c>
      <c r="AU8" s="27">
        <f t="shared" si="5"/>
        <v>296.63580611642783</v>
      </c>
      <c r="AV8" s="27">
        <f t="shared" si="5"/>
        <v>295.60779878586987</v>
      </c>
      <c r="AW8" s="27">
        <f t="shared" si="5"/>
        <v>294.42132443014248</v>
      </c>
      <c r="AY8" s="79"/>
    </row>
    <row r="9" spans="1:55" x14ac:dyDescent="0.2">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32.967337371253549</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35.929559405213347</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34.950230908345851</v>
      </c>
      <c r="T9" s="93">
        <f>IF('Net zero activities &amp; levers'!$C$5="Off",('Activity data'!AM10*EF!$H9)*kgtoGg,IF('Net zero activities &amp; levers'!$C$5="On",(((('Activity data'!AM10-'Net zero supporting data'!K19)*EF!$H9)+('Net zero supporting data'!K19*'Net zero supporting data'!K29))*kgtoGg)))</f>
        <v>36.465206214807317</v>
      </c>
      <c r="U9" s="93">
        <f>IF('Net zero activities &amp; levers'!$C$5="Off",('Activity data'!AN10*EF!$H9)*kgtoGg,IF('Net zero activities &amp; levers'!$C$5="On",(((('Activity data'!AN10-'Net zero supporting data'!L19)*EF!$H9)+('Net zero supporting data'!L19*'Net zero supporting data'!L29))*kgtoGg)))</f>
        <v>37.669871214339523</v>
      </c>
      <c r="V9" s="93">
        <f>IF('Net zero activities &amp; levers'!$C$5="Off",('Activity data'!AO10*EF!$H9)*kgtoGg,IF('Net zero activities &amp; levers'!$C$5="On",(((('Activity data'!AO10-'Net zero supporting data'!M19)*EF!$H9)+('Net zero supporting data'!M19*'Net zero supporting data'!M29))*kgtoGg)))</f>
        <v>38.78557505045034</v>
      </c>
      <c r="W9" s="93">
        <f>IF('Net zero activities &amp; levers'!$C$5="Off",('Activity data'!AP10*EF!$H9)*kgtoGg,IF('Net zero activities &amp; levers'!$C$5="On",(((('Activity data'!AP10-'Net zero supporting data'!N19)*EF!$H9)+('Net zero supporting data'!N19*'Net zero supporting data'!N29))*kgtoGg)))</f>
        <v>40.029125341263111</v>
      </c>
      <c r="X9" s="93">
        <f>IF('Net zero activities &amp; levers'!$C$5="Off",('Activity data'!AQ10*EF!$H9)*kgtoGg,IF('Net zero activities &amp; levers'!$C$5="On",(((('Activity data'!AQ10-'Net zero supporting data'!O19)*EF!$H9)+('Net zero supporting data'!O19*'Net zero supporting data'!O29))*kgtoGg)))</f>
        <v>41.186158901929204</v>
      </c>
      <c r="Y9" s="93">
        <f>IF('Net zero activities &amp; levers'!$C$5="Off",('Activity data'!AR10*EF!$H9)*kgtoGg,IF('Net zero activities &amp; levers'!$C$5="On",(((('Activity data'!AR10-'Net zero supporting data'!P19)*EF!$H9)+('Net zero supporting data'!P19*'Net zero supporting data'!P29))*kgtoGg)))</f>
        <v>42.204546178358918</v>
      </c>
      <c r="Z9" s="93">
        <f>IF('Net zero activities &amp; levers'!$C$5="Off",('Activity data'!AS10*EF!$H9)*kgtoGg,IF('Net zero activities &amp; levers'!$C$5="On",(((('Activity data'!AS10-'Net zero supporting data'!Q19)*EF!$H9)+('Net zero supporting data'!Q19*'Net zero supporting data'!Q29))*kgtoGg)))</f>
        <v>43.154338916606648</v>
      </c>
      <c r="AA9" s="93">
        <f>IF('Net zero activities &amp; levers'!$C$5="Off",('Activity data'!AT10*EF!$H9)*kgtoGg,IF('Net zero activities &amp; levers'!$C$5="On",(((('Activity data'!AT10-'Net zero supporting data'!R19)*EF!$H9)+('Net zero supporting data'!R19*'Net zero supporting data'!R29))*kgtoGg)))</f>
        <v>44.012438089054356</v>
      </c>
      <c r="AB9" s="93">
        <f>IF('Net zero activities &amp; levers'!$C$5="Off",('Activity data'!AU10*EF!$H9)*kgtoGg,IF('Net zero activities &amp; levers'!$C$5="On",(((('Activity data'!AU10-'Net zero supporting data'!S19)*EF!$H9)+('Net zero supporting data'!S19*'Net zero supporting data'!S29))*kgtoGg)))</f>
        <v>45.082076835528277</v>
      </c>
      <c r="AC9" s="93">
        <f>IF('Net zero activities &amp; levers'!$C$5="Off",('Activity data'!AV10*EF!$H9)*kgtoGg,IF('Net zero activities &amp; levers'!$C$5="On",(((('Activity data'!AV10-'Net zero supporting data'!T19)*EF!$H9)+('Net zero supporting data'!T19*'Net zero supporting data'!T29))*kgtoGg)))</f>
        <v>46.096828151504099</v>
      </c>
      <c r="AD9" s="93">
        <f>IF('Net zero activities &amp; levers'!$C$5="Off",('Activity data'!AW10*EF!$H9)*kgtoGg,IF('Net zero activities &amp; levers'!$C$5="On",(((('Activity data'!AW10-'Net zero supporting data'!U19)*EF!$H9)+('Net zero supporting data'!U19*'Net zero supporting data'!U29))*kgtoGg)))</f>
        <v>47.604050614249573</v>
      </c>
      <c r="AE9" s="93">
        <f>IF('Net zero activities &amp; levers'!$C$5="Off",('Activity data'!AX10*EF!$H9)*kgtoGg,IF('Net zero activities &amp; levers'!$C$5="On",(((('Activity data'!AX10-'Net zero supporting data'!V19)*EF!$H9)+('Net zero supporting data'!V19*'Net zero supporting data'!V29))*kgtoGg)))</f>
        <v>49.377538047578781</v>
      </c>
      <c r="AF9" s="93">
        <f>IF('Net zero activities &amp; levers'!$C$5="Off",('Activity data'!AY10*EF!$H9)*kgtoGg,IF('Net zero activities &amp; levers'!$C$5="On",(((('Activity data'!AY10-'Net zero supporting data'!W19)*EF!$H9)+('Net zero supporting data'!W19*'Net zero supporting data'!W29))*kgtoGg)))</f>
        <v>51.297365400311627</v>
      </c>
      <c r="AG9" s="93">
        <f>IF('Net zero activities &amp; levers'!$C$5="Off",('Activity data'!AZ10*EF!$H9)*kgtoGg,IF('Net zero activities &amp; levers'!$C$5="On",(((('Activity data'!AZ10-'Net zero supporting data'!X19)*EF!$H9)+('Net zero supporting data'!X19*'Net zero supporting data'!X29))*kgtoGg)))</f>
        <v>53.517139927589696</v>
      </c>
      <c r="AH9" s="93">
        <f>IF('Net zero activities &amp; levers'!$C$5="Off",('Activity data'!BA10*EF!$H9)*kgtoGg,IF('Net zero activities &amp; levers'!$C$5="On",(((('Activity data'!BA10-'Net zero supporting data'!Y19)*EF!$H9)+('Net zero supporting data'!Y19*'Net zero supporting data'!Y29))*kgtoGg)))</f>
        <v>55.358000918968386</v>
      </c>
      <c r="AI9" s="93">
        <f>IF('Net zero activities &amp; levers'!$C$5="Off",('Activity data'!BB10*EF!$H9)*kgtoGg,IF('Net zero activities &amp; levers'!$C$5="On",(((('Activity data'!BB10-'Net zero supporting data'!Z19)*EF!$H9)+('Net zero supporting data'!Z19*'Net zero supporting data'!Z29))*kgtoGg)))</f>
        <v>57.167006271310669</v>
      </c>
      <c r="AJ9" s="93">
        <f>IF('Net zero activities &amp; levers'!$C$5="Off",('Activity data'!BC10*EF!$H9)*kgtoGg,IF('Net zero activities &amp; levers'!$C$5="On",(((('Activity data'!BC10-'Net zero supporting data'!AA19)*EF!$H9)+('Net zero supporting data'!AA19*'Net zero supporting data'!AA29))*kgtoGg)))</f>
        <v>59.143620930690588</v>
      </c>
      <c r="AK9" s="93">
        <f>IF('Net zero activities &amp; levers'!$C$5="Off",('Activity data'!BD10*EF!$H9)*kgtoGg,IF('Net zero activities &amp; levers'!$C$5="On",(((('Activity data'!BD10-'Net zero supporting data'!AB19)*EF!$H9)+('Net zero supporting data'!AB19*'Net zero supporting data'!AB29))*kgtoGg)))</f>
        <v>61.091188214812007</v>
      </c>
      <c r="AL9" s="93">
        <f>IF('Net zero activities &amp; levers'!$C$5="Off",('Activity data'!BE10*EF!$H9)*kgtoGg,IF('Net zero activities &amp; levers'!$C$5="On",(((('Activity data'!BE10-'Net zero supporting data'!AC19)*EF!$H9)+('Net zero supporting data'!AC19*'Net zero supporting data'!AC29))*kgtoGg)))</f>
        <v>63.146671627710489</v>
      </c>
      <c r="AM9" s="93">
        <f>IF('Net zero activities &amp; levers'!$C$5="Off",('Activity data'!BF10*EF!$H9)*kgtoGg,IF('Net zero activities &amp; levers'!$C$5="On",(((('Activity data'!BF10-'Net zero supporting data'!AD19)*EF!$H9)+('Net zero supporting data'!AD19*'Net zero supporting data'!AD29))*kgtoGg)))</f>
        <v>65.240879098759066</v>
      </c>
      <c r="AN9" s="93">
        <f>IF('Net zero activities &amp; levers'!$C$5="Off",('Activity data'!BG10*EF!$H9)*kgtoGg,IF('Net zero activities &amp; levers'!$C$5="On",(((('Activity data'!BG10-'Net zero supporting data'!AE19)*EF!$H9)+('Net zero supporting data'!AE19*'Net zero supporting data'!AE29))*kgtoGg)))</f>
        <v>67.566115391857053</v>
      </c>
      <c r="AO9" s="93">
        <f>IF('Net zero activities &amp; levers'!$C$5="Off",('Activity data'!BH10*EF!$H9)*kgtoGg,IF('Net zero activities &amp; levers'!$C$5="On",(((('Activity data'!BH10-'Net zero supporting data'!AF19)*EF!$H9)+('Net zero supporting data'!AF19*'Net zero supporting data'!AF29))*kgtoGg)))</f>
        <v>69.844384475065851</v>
      </c>
      <c r="AP9" s="93">
        <f>IF('Net zero activities &amp; levers'!$C$5="Off",('Activity data'!BI10*EF!$H9)*kgtoGg,IF('Net zero activities &amp; levers'!$C$5="On",(((('Activity data'!BI10-'Net zero supporting data'!AG19)*EF!$H9)+('Net zero supporting data'!AG19*'Net zero supporting data'!AG29))*kgtoGg)))</f>
        <v>72.183774246566827</v>
      </c>
      <c r="AQ9" s="93">
        <f>IF('Net zero activities &amp; levers'!$C$5="Off",('Activity data'!BJ10*EF!$H9)*kgtoGg,IF('Net zero activities &amp; levers'!$C$5="On",(((('Activity data'!BJ10-'Net zero supporting data'!AH19)*EF!$H9)+('Net zero supporting data'!AH19*'Net zero supporting data'!AH29))*kgtoGg)))</f>
        <v>74.614193609887963</v>
      </c>
      <c r="AR9" s="93">
        <f>IF('Net zero activities &amp; levers'!$C$5="Off",('Activity data'!BK10*EF!$H9)*kgtoGg,IF('Net zero activities &amp; levers'!$C$5="On",(((('Activity data'!BK10-'Net zero supporting data'!AI19)*EF!$H9)+('Net zero supporting data'!AI19*'Net zero supporting data'!AI29))*kgtoGg)))</f>
        <v>77.148623873226299</v>
      </c>
      <c r="AS9" s="93">
        <f>IF('Net zero activities &amp; levers'!$C$5="Off",('Activity data'!BL10*EF!$H9)*kgtoGg,IF('Net zero activities &amp; levers'!$C$5="On",(((('Activity data'!BL10-'Net zero supporting data'!AJ19)*EF!$H9)+('Net zero supporting data'!AJ19*'Net zero supporting data'!AJ29))*kgtoGg)))</f>
        <v>80.006770825261583</v>
      </c>
      <c r="AT9" s="93">
        <f>IF('Net zero activities &amp; levers'!$C$5="Off",('Activity data'!BM10*EF!$H9)*kgtoGg,IF('Net zero activities &amp; levers'!$C$5="On",(((('Activity data'!BM10-'Net zero supporting data'!AK19)*EF!$H9)+('Net zero supporting data'!AK19*'Net zero supporting data'!AK29))*kgtoGg)))</f>
        <v>82.147289013889846</v>
      </c>
      <c r="AU9" s="93">
        <f>IF('Net zero activities &amp; levers'!$C$5="Off",('Activity data'!BN10*EF!$H9)*kgtoGg,IF('Net zero activities &amp; levers'!$C$5="On",(((('Activity data'!BN10-'Net zero supporting data'!AL19)*EF!$H9)+('Net zero supporting data'!AL19*'Net zero supporting data'!AL29))*kgtoGg)))</f>
        <v>84.265145333136715</v>
      </c>
      <c r="AV9" s="93">
        <f>IF('Net zero activities &amp; levers'!$C$5="Off",('Activity data'!BO10*EF!$H9)*kgtoGg,IF('Net zero activities &amp; levers'!$C$5="On",(((('Activity data'!BO10-'Net zero supporting data'!AM19)*EF!$H9)+('Net zero supporting data'!AM19*'Net zero supporting data'!AM29))*kgtoGg)))</f>
        <v>86.442155891819368</v>
      </c>
      <c r="AW9" s="93">
        <f>IF('Net zero activities &amp; levers'!$C$5="Off",('Activity data'!BP10*EF!$H9)*kgtoGg,IF('Net zero activities &amp; levers'!$C$5="On",(((('Activity data'!BP10-'Net zero supporting data'!AN19)*EF!$H9)+('Net zero supporting data'!AN19*'Net zero supporting data'!AN29))*kgtoGg)))</f>
        <v>88.644136567066724</v>
      </c>
      <c r="AY9" s="79"/>
    </row>
    <row r="10" spans="1:55" x14ac:dyDescent="0.2">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135.26278530113291</v>
      </c>
      <c r="T10" s="27">
        <f t="shared" si="6"/>
        <v>135.46877954348926</v>
      </c>
      <c r="U10" s="27">
        <f t="shared" si="6"/>
        <v>135.70160233543365</v>
      </c>
      <c r="V10" s="27">
        <f t="shared" si="6"/>
        <v>135.96424702879582</v>
      </c>
      <c r="W10" s="27">
        <f t="shared" si="6"/>
        <v>136.25970300255619</v>
      </c>
      <c r="X10" s="27">
        <f t="shared" si="6"/>
        <v>136.58180937371023</v>
      </c>
      <c r="Y10" s="27">
        <f t="shared" si="6"/>
        <v>136.77771182752844</v>
      </c>
      <c r="Z10" s="27">
        <f t="shared" si="6"/>
        <v>136.99652360229675</v>
      </c>
      <c r="AA10" s="27">
        <f t="shared" si="6"/>
        <v>137.23663958086595</v>
      </c>
      <c r="AB10" s="27">
        <f t="shared" si="6"/>
        <v>137.50349615818331</v>
      </c>
      <c r="AC10" s="27">
        <f t="shared" si="6"/>
        <v>137.79053665720062</v>
      </c>
      <c r="AD10" s="27">
        <f t="shared" si="6"/>
        <v>137.97809778631554</v>
      </c>
      <c r="AE10" s="27">
        <f t="shared" si="6"/>
        <v>138.18863599200537</v>
      </c>
      <c r="AF10" s="27">
        <f t="shared" si="6"/>
        <v>138.41878788829575</v>
      </c>
      <c r="AG10" s="27">
        <f t="shared" si="6"/>
        <v>138.67094365352415</v>
      </c>
      <c r="AH10" s="27">
        <f t="shared" si="6"/>
        <v>138.93056254849651</v>
      </c>
      <c r="AI10" s="27">
        <f t="shared" si="6"/>
        <v>139.08967652077243</v>
      </c>
      <c r="AJ10" s="27">
        <f t="shared" si="6"/>
        <v>139.2654495830931</v>
      </c>
      <c r="AK10" s="27">
        <f t="shared" si="6"/>
        <v>139.4534011320402</v>
      </c>
      <c r="AL10" s="27">
        <f t="shared" si="6"/>
        <v>139.65576726304948</v>
      </c>
      <c r="AM10" s="27">
        <f t="shared" si="6"/>
        <v>139.87071929457153</v>
      </c>
      <c r="AN10" s="27">
        <f t="shared" si="6"/>
        <v>139.99537394141325</v>
      </c>
      <c r="AO10" s="27">
        <f t="shared" si="6"/>
        <v>140.12945613123219</v>
      </c>
      <c r="AP10" s="27">
        <f t="shared" si="6"/>
        <v>140.27467944669363</v>
      </c>
      <c r="AQ10" s="27">
        <f t="shared" si="6"/>
        <v>140.43124436652656</v>
      </c>
      <c r="AR10" s="27">
        <f t="shared" si="6"/>
        <v>140.59904144364654</v>
      </c>
      <c r="AS10" s="27">
        <f t="shared" si="6"/>
        <v>140.67407193187856</v>
      </c>
      <c r="AT10" s="27">
        <f t="shared" si="6"/>
        <v>140.74390740905804</v>
      </c>
      <c r="AU10" s="27">
        <f t="shared" si="6"/>
        <v>140.82132713333769</v>
      </c>
      <c r="AV10" s="27">
        <f t="shared" si="6"/>
        <v>140.90757206763405</v>
      </c>
      <c r="AW10" s="27">
        <f t="shared" si="6"/>
        <v>141.00175438081712</v>
      </c>
      <c r="AY10" s="79"/>
    </row>
    <row r="11" spans="1:55" x14ac:dyDescent="0.2">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14.658944228555331</v>
      </c>
      <c r="T11" s="27">
        <f t="shared" si="7"/>
        <v>14.681268610708063</v>
      </c>
      <c r="U11" s="27">
        <f t="shared" si="7"/>
        <v>14.706500505161891</v>
      </c>
      <c r="V11" s="27">
        <f t="shared" si="7"/>
        <v>14.734964312877745</v>
      </c>
      <c r="W11" s="27">
        <f t="shared" si="7"/>
        <v>14.766984004263698</v>
      </c>
      <c r="X11" s="27">
        <f t="shared" si="7"/>
        <v>14.801891900917591</v>
      </c>
      <c r="Y11" s="27">
        <f t="shared" si="7"/>
        <v>14.823122597434484</v>
      </c>
      <c r="Z11" s="27">
        <f t="shared" si="7"/>
        <v>14.846836064488549</v>
      </c>
      <c r="AA11" s="27">
        <f t="shared" si="6"/>
        <v>14.872858349408936</v>
      </c>
      <c r="AB11" s="27">
        <f t="shared" si="6"/>
        <v>14.901778615062266</v>
      </c>
      <c r="AC11" s="27">
        <f t="shared" si="6"/>
        <v>14.932886289335453</v>
      </c>
      <c r="AD11" s="27">
        <f t="shared" si="6"/>
        <v>14.953213004662359</v>
      </c>
      <c r="AE11" s="27">
        <f t="shared" si="6"/>
        <v>14.976029833462063</v>
      </c>
      <c r="AF11" s="27">
        <f t="shared" si="6"/>
        <v>15.000972272761286</v>
      </c>
      <c r="AG11" s="27">
        <f t="shared" si="6"/>
        <v>15.02829935530777</v>
      </c>
      <c r="AH11" s="27">
        <f t="shared" si="6"/>
        <v>15.056435245705167</v>
      </c>
      <c r="AI11" s="27">
        <f t="shared" si="6"/>
        <v>15.073679034086307</v>
      </c>
      <c r="AJ11" s="27">
        <f t="shared" si="6"/>
        <v>15.092728231629481</v>
      </c>
      <c r="AK11" s="27">
        <f t="shared" si="6"/>
        <v>15.11309725824351</v>
      </c>
      <c r="AL11" s="27">
        <f t="shared" si="6"/>
        <v>15.135028448124075</v>
      </c>
      <c r="AM11" s="27">
        <f t="shared" si="6"/>
        <v>15.158323620073121</v>
      </c>
      <c r="AN11" s="27">
        <f t="shared" si="6"/>
        <v>15.171832919854392</v>
      </c>
      <c r="AO11" s="27">
        <f t="shared" si="6"/>
        <v>15.186363918445194</v>
      </c>
      <c r="AP11" s="27">
        <f t="shared" si="6"/>
        <v>15.202102323338273</v>
      </c>
      <c r="AQ11" s="27">
        <f t="shared" si="6"/>
        <v>15.219069861178557</v>
      </c>
      <c r="AR11" s="27">
        <f t="shared" si="6"/>
        <v>15.237254670767834</v>
      </c>
      <c r="AS11" s="27">
        <f t="shared" si="6"/>
        <v>15.245386011106461</v>
      </c>
      <c r="AT11" s="27">
        <f t="shared" si="6"/>
        <v>15.252954348272294</v>
      </c>
      <c r="AU11" s="27">
        <f t="shared" si="6"/>
        <v>15.261344619239132</v>
      </c>
      <c r="AV11" s="27">
        <f t="shared" si="6"/>
        <v>15.270691311893962</v>
      </c>
      <c r="AW11" s="27">
        <f t="shared" si="6"/>
        <v>15.280898208589107</v>
      </c>
      <c r="AY11" s="79"/>
    </row>
    <row r="12" spans="1:55" x14ac:dyDescent="0.2">
      <c r="A12" s="95" t="str">
        <f t="shared" si="0"/>
        <v>FS Goats</v>
      </c>
      <c r="B12" s="95" t="s">
        <v>1004</v>
      </c>
      <c r="C12" s="95" t="s">
        <v>153</v>
      </c>
      <c r="D12" t="s">
        <v>15</v>
      </c>
      <c r="E12" t="s">
        <v>16</v>
      </c>
      <c r="F12" t="s">
        <v>19</v>
      </c>
      <c r="G12" t="s">
        <v>122</v>
      </c>
      <c r="H12" t="s">
        <v>1020</v>
      </c>
      <c r="I12" t="s">
        <v>121</v>
      </c>
      <c r="J12" t="s">
        <v>286</v>
      </c>
      <c r="K12" s="27">
        <f t="shared" si="7"/>
        <v>15.123414197798356</v>
      </c>
      <c r="L12" s="27">
        <f t="shared" si="6"/>
        <v>15.162727774721576</v>
      </c>
      <c r="M12" s="27">
        <f t="shared" si="6"/>
        <v>15.216959464794312</v>
      </c>
      <c r="N12" s="27">
        <f t="shared" si="6"/>
        <v>15.283027985940226</v>
      </c>
      <c r="O12" s="27">
        <f t="shared" si="6"/>
        <v>15.360839106953575</v>
      </c>
      <c r="P12" s="27">
        <f t="shared" si="6"/>
        <v>15.449919228540612</v>
      </c>
      <c r="Q12" s="27">
        <f t="shared" si="6"/>
        <v>15.545788610572219</v>
      </c>
      <c r="R12" s="27">
        <f t="shared" si="6"/>
        <v>15.648067752449878</v>
      </c>
      <c r="S12" s="27">
        <f t="shared" si="6"/>
        <v>15.742031713029512</v>
      </c>
      <c r="T12" s="27">
        <f t="shared" si="6"/>
        <v>15.78777493593066</v>
      </c>
      <c r="U12" s="27">
        <f t="shared" si="6"/>
        <v>15.836941189877804</v>
      </c>
      <c r="V12" s="27">
        <f t="shared" si="6"/>
        <v>15.890131734595759</v>
      </c>
      <c r="W12" s="27">
        <f t="shared" si="6"/>
        <v>15.947930587680338</v>
      </c>
      <c r="X12" s="27">
        <f t="shared" si="6"/>
        <v>16.009309310979074</v>
      </c>
      <c r="Y12" s="27">
        <f t="shared" si="6"/>
        <v>16.047680700733103</v>
      </c>
      <c r="Z12" s="27">
        <f t="shared" si="6"/>
        <v>16.089188383327485</v>
      </c>
      <c r="AA12" s="27">
        <f t="shared" si="6"/>
        <v>16.133588234011135</v>
      </c>
      <c r="AB12" s="27">
        <f t="shared" si="6"/>
        <v>16.181852398556252</v>
      </c>
      <c r="AC12" s="27">
        <f t="shared" si="6"/>
        <v>16.232869062741507</v>
      </c>
      <c r="AD12" s="27">
        <f t="shared" si="6"/>
        <v>16.26603536262477</v>
      </c>
      <c r="AE12" s="27">
        <f t="shared" si="6"/>
        <v>16.302563680867436</v>
      </c>
      <c r="AF12" s="27">
        <f t="shared" si="6"/>
        <v>16.341889153829143</v>
      </c>
      <c r="AG12" s="27">
        <f t="shared" si="6"/>
        <v>16.384434985595004</v>
      </c>
      <c r="AH12" s="27">
        <f t="shared" si="6"/>
        <v>16.427723661614785</v>
      </c>
      <c r="AI12" s="27">
        <f t="shared" si="6"/>
        <v>16.453347878804561</v>
      </c>
      <c r="AJ12" s="27">
        <f t="shared" si="6"/>
        <v>16.481391601385443</v>
      </c>
      <c r="AK12" s="27">
        <f t="shared" si="6"/>
        <v>16.511100045266552</v>
      </c>
      <c r="AL12" s="27">
        <f t="shared" si="6"/>
        <v>16.542862813406586</v>
      </c>
      <c r="AM12" s="27">
        <f t="shared" si="6"/>
        <v>16.576376781233034</v>
      </c>
      <c r="AN12" s="27">
        <f t="shared" si="6"/>
        <v>16.594247346579589</v>
      </c>
      <c r="AO12" s="27">
        <f t="shared" si="6"/>
        <v>16.613410035363255</v>
      </c>
      <c r="AP12" s="27">
        <f t="shared" si="6"/>
        <v>16.634160462915251</v>
      </c>
      <c r="AQ12" s="27">
        <f t="shared" si="6"/>
        <v>16.656536848310051</v>
      </c>
      <c r="AR12" s="27">
        <f t="shared" si="6"/>
        <v>16.680524418707119</v>
      </c>
      <c r="AS12" s="27">
        <f t="shared" si="6"/>
        <v>16.68868442435787</v>
      </c>
      <c r="AT12" s="27">
        <f t="shared" si="6"/>
        <v>16.695767676813599</v>
      </c>
      <c r="AU12" s="27">
        <f t="shared" si="6"/>
        <v>16.703924626566948</v>
      </c>
      <c r="AV12" s="27">
        <f t="shared" si="6"/>
        <v>16.713365572192938</v>
      </c>
      <c r="AW12" s="27">
        <f t="shared" si="6"/>
        <v>16.723944327870726</v>
      </c>
      <c r="AY12" s="79"/>
    </row>
    <row r="13" spans="1:55" x14ac:dyDescent="0.2">
      <c r="A13" s="95" t="str">
        <f t="shared" si="0"/>
        <v>FS Goats</v>
      </c>
      <c r="B13" s="95" t="s">
        <v>1004</v>
      </c>
      <c r="C13" s="95" t="s">
        <v>153</v>
      </c>
      <c r="D13" t="s">
        <v>15</v>
      </c>
      <c r="E13" t="s">
        <v>16</v>
      </c>
      <c r="F13" t="s">
        <v>19</v>
      </c>
      <c r="G13" t="s">
        <v>123</v>
      </c>
      <c r="H13" t="s">
        <v>1020</v>
      </c>
      <c r="I13" t="s">
        <v>121</v>
      </c>
      <c r="J13" t="s">
        <v>286</v>
      </c>
      <c r="K13" s="27">
        <f t="shared" si="7"/>
        <v>22.381101687842737</v>
      </c>
      <c r="L13" s="27">
        <f t="shared" si="6"/>
        <v>22.439281748993185</v>
      </c>
      <c r="M13" s="27">
        <f t="shared" si="6"/>
        <v>22.519539087339325</v>
      </c>
      <c r="N13" s="27">
        <f t="shared" si="6"/>
        <v>22.617313721478972</v>
      </c>
      <c r="O13" s="27">
        <f t="shared" si="6"/>
        <v>22.73246619889365</v>
      </c>
      <c r="P13" s="27">
        <f t="shared" si="6"/>
        <v>22.864295641209328</v>
      </c>
      <c r="Q13" s="27">
        <f t="shared" si="6"/>
        <v>23.006172492556328</v>
      </c>
      <c r="R13" s="27">
        <f t="shared" si="6"/>
        <v>23.157535130977113</v>
      </c>
      <c r="S13" s="27">
        <f t="shared" si="6"/>
        <v>23.296592154028918</v>
      </c>
      <c r="T13" s="27">
        <f t="shared" si="6"/>
        <v>23.36428743168846</v>
      </c>
      <c r="U13" s="27">
        <f t="shared" si="6"/>
        <v>23.437048444169463</v>
      </c>
      <c r="V13" s="27">
        <f t="shared" si="6"/>
        <v>23.51576499418881</v>
      </c>
      <c r="W13" s="27">
        <f t="shared" si="6"/>
        <v>23.601301367881135</v>
      </c>
      <c r="X13" s="27">
        <f t="shared" si="6"/>
        <v>23.692135582275586</v>
      </c>
      <c r="Y13" s="27">
        <f t="shared" si="6"/>
        <v>23.748921303063014</v>
      </c>
      <c r="Z13" s="27">
        <f t="shared" si="6"/>
        <v>23.810348415540492</v>
      </c>
      <c r="AA13" s="27">
        <f t="shared" si="6"/>
        <v>23.876055640118153</v>
      </c>
      <c r="AB13" s="27">
        <f t="shared" si="6"/>
        <v>23.947481652818404</v>
      </c>
      <c r="AC13" s="27">
        <f t="shared" si="6"/>
        <v>24.022981082641</v>
      </c>
      <c r="AD13" s="27">
        <f t="shared" si="6"/>
        <v>24.072063804345781</v>
      </c>
      <c r="AE13" s="27">
        <f t="shared" si="6"/>
        <v>24.126121968354415</v>
      </c>
      <c r="AF13" s="27">
        <f t="shared" si="6"/>
        <v>24.184319634421552</v>
      </c>
      <c r="AG13" s="27">
        <f t="shared" si="6"/>
        <v>24.247283101181864</v>
      </c>
      <c r="AH13" s="27">
        <f t="shared" si="6"/>
        <v>24.311345901238735</v>
      </c>
      <c r="AI13" s="27">
        <f t="shared" si="6"/>
        <v>24.34926711420659</v>
      </c>
      <c r="AJ13" s="27">
        <f t="shared" si="6"/>
        <v>24.390768946966002</v>
      </c>
      <c r="AK13" s="27">
        <f t="shared" si="6"/>
        <v>24.434734396486487</v>
      </c>
      <c r="AL13" s="27">
        <f t="shared" si="6"/>
        <v>24.481740035182341</v>
      </c>
      <c r="AM13" s="27">
        <f t="shared" si="6"/>
        <v>24.531337269780067</v>
      </c>
      <c r="AN13" s="27">
        <f t="shared" si="6"/>
        <v>24.557783873371651</v>
      </c>
      <c r="AO13" s="27">
        <f t="shared" si="6"/>
        <v>24.586142687107124</v>
      </c>
      <c r="AP13" s="27">
        <f t="shared" si="6"/>
        <v>24.616851191353145</v>
      </c>
      <c r="AQ13" s="27">
        <f t="shared" si="6"/>
        <v>24.649965946419517</v>
      </c>
      <c r="AR13" s="27">
        <f t="shared" si="6"/>
        <v>24.685465090017612</v>
      </c>
      <c r="AS13" s="27">
        <f t="shared" si="6"/>
        <v>24.697541061346186</v>
      </c>
      <c r="AT13" s="27">
        <f t="shared" si="6"/>
        <v>24.708023548396984</v>
      </c>
      <c r="AU13" s="27">
        <f t="shared" si="6"/>
        <v>24.720094997310881</v>
      </c>
      <c r="AV13" s="27">
        <f t="shared" si="6"/>
        <v>24.734066628406943</v>
      </c>
      <c r="AW13" s="27">
        <f t="shared" si="6"/>
        <v>24.749722101665743</v>
      </c>
      <c r="AY13" s="79"/>
    </row>
    <row r="14" spans="1:55" x14ac:dyDescent="0.2">
      <c r="A14" s="95" t="str">
        <f t="shared" si="0"/>
        <v>FS Horses</v>
      </c>
      <c r="B14" s="95" t="s">
        <v>1004</v>
      </c>
      <c r="C14" s="95" t="s">
        <v>3</v>
      </c>
      <c r="D14" t="s">
        <v>15</v>
      </c>
      <c r="E14" t="s">
        <v>16</v>
      </c>
      <c r="F14" t="s">
        <v>20</v>
      </c>
      <c r="G14" t="s">
        <v>3</v>
      </c>
      <c r="H14" t="s">
        <v>1020</v>
      </c>
      <c r="I14" t="s">
        <v>121</v>
      </c>
      <c r="J14" t="s">
        <v>286</v>
      </c>
      <c r="K14" s="27">
        <f t="shared" si="7"/>
        <v>5.5526214800767892</v>
      </c>
      <c r="L14" s="27">
        <f t="shared" si="6"/>
        <v>5.579523571019652</v>
      </c>
      <c r="M14" s="27">
        <f t="shared" si="6"/>
        <v>5.6203482259438022</v>
      </c>
      <c r="N14" s="27">
        <f t="shared" si="6"/>
        <v>5.629075655008374</v>
      </c>
      <c r="O14" s="27">
        <f t="shared" si="6"/>
        <v>5.6165815405282284</v>
      </c>
      <c r="P14" s="27">
        <f t="shared" si="6"/>
        <v>5.5833231296706103</v>
      </c>
      <c r="Q14" s="27">
        <f t="shared" si="6"/>
        <v>5.5648827699457346</v>
      </c>
      <c r="R14" s="27">
        <f t="shared" si="6"/>
        <v>5.5483103177944013</v>
      </c>
      <c r="S14" s="27">
        <f t="shared" si="6"/>
        <v>5.2545848231765602</v>
      </c>
      <c r="T14" s="27">
        <f t="shared" si="6"/>
        <v>5.3277448648735932</v>
      </c>
      <c r="U14" s="27">
        <f t="shared" si="6"/>
        <v>5.3771318788227438</v>
      </c>
      <c r="V14" s="27">
        <f t="shared" si="6"/>
        <v>5.4200550937003218</v>
      </c>
      <c r="W14" s="27">
        <f t="shared" si="6"/>
        <v>5.4726184084270573</v>
      </c>
      <c r="X14" s="27">
        <f t="shared" si="6"/>
        <v>5.5193093093258572</v>
      </c>
      <c r="Y14" s="27">
        <f t="shared" si="6"/>
        <v>5.5623143429133499</v>
      </c>
      <c r="Z14" s="27">
        <f t="shared" si="6"/>
        <v>5.6016190467987945</v>
      </c>
      <c r="AA14" s="27">
        <f t="shared" si="6"/>
        <v>5.6358734850599594</v>
      </c>
      <c r="AB14" s="27">
        <f t="shared" si="6"/>
        <v>5.6864221774832213</v>
      </c>
      <c r="AC14" s="27">
        <f t="shared" si="6"/>
        <v>5.734761216152096</v>
      </c>
      <c r="AD14" s="27">
        <f t="shared" si="6"/>
        <v>5.7937893665421401</v>
      </c>
      <c r="AE14" s="27">
        <f t="shared" si="6"/>
        <v>5.868728906856421</v>
      </c>
      <c r="AF14" s="27">
        <f t="shared" si="6"/>
        <v>5.95097387412393</v>
      </c>
      <c r="AG14" s="27">
        <f t="shared" si="6"/>
        <v>6.0502809540907023</v>
      </c>
      <c r="AH14" s="27">
        <f t="shared" si="6"/>
        <v>6.1220107529838179</v>
      </c>
      <c r="AI14" s="27">
        <f t="shared" si="6"/>
        <v>6.1941308642978408</v>
      </c>
      <c r="AJ14" s="27">
        <f t="shared" si="6"/>
        <v>6.2747694866131836</v>
      </c>
      <c r="AK14" s="27">
        <f t="shared" si="6"/>
        <v>6.3513096084096698</v>
      </c>
      <c r="AL14" s="27">
        <f t="shared" si="6"/>
        <v>6.4323283925814563</v>
      </c>
      <c r="AM14" s="27">
        <f t="shared" si="6"/>
        <v>6.5134158744418782</v>
      </c>
      <c r="AN14" s="27">
        <f t="shared" si="6"/>
        <v>6.6126163316975539</v>
      </c>
      <c r="AO14" s="27">
        <f t="shared" si="6"/>
        <v>6.7066735285892829</v>
      </c>
      <c r="AP14" s="27">
        <f t="shared" si="6"/>
        <v>6.8021224333407027</v>
      </c>
      <c r="AQ14" s="27">
        <f t="shared" si="6"/>
        <v>6.9006513009384864</v>
      </c>
      <c r="AR14" s="27">
        <f t="shared" si="6"/>
        <v>7.0028965831984893</v>
      </c>
      <c r="AS14" s="27">
        <f t="shared" si="6"/>
        <v>7.1267607896665828</v>
      </c>
      <c r="AT14" s="27">
        <f t="shared" si="6"/>
        <v>7.2071584727038323</v>
      </c>
      <c r="AU14" s="27">
        <f t="shared" si="6"/>
        <v>7.2845566532149562</v>
      </c>
      <c r="AV14" s="27">
        <f t="shared" si="6"/>
        <v>7.3636089922437549</v>
      </c>
      <c r="AW14" s="27">
        <f t="shared" si="6"/>
        <v>7.4423534956754249</v>
      </c>
      <c r="AY14" s="79"/>
    </row>
    <row r="15" spans="1:55" x14ac:dyDescent="0.2">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2">
      <c r="A16" s="95" t="str">
        <f t="shared" si="0"/>
        <v>FS Swine</v>
      </c>
      <c r="B16" s="95" t="s">
        <v>1004</v>
      </c>
      <c r="C16" s="95" t="s">
        <v>155</v>
      </c>
      <c r="D16" t="s">
        <v>15</v>
      </c>
      <c r="E16" t="s">
        <v>16</v>
      </c>
      <c r="F16" t="s">
        <v>21</v>
      </c>
      <c r="G16" t="s">
        <v>122</v>
      </c>
      <c r="H16" t="s">
        <v>1020</v>
      </c>
      <c r="I16" t="s">
        <v>121</v>
      </c>
      <c r="J16" t="s">
        <v>286</v>
      </c>
      <c r="K16" s="27">
        <f t="shared" si="7"/>
        <v>1.8400999552016304</v>
      </c>
      <c r="L16" s="27">
        <f t="shared" si="6"/>
        <v>1.8300977880312255</v>
      </c>
      <c r="M16" s="27">
        <f t="shared" si="6"/>
        <v>1.8309187348828158</v>
      </c>
      <c r="N16" s="27">
        <f t="shared" si="6"/>
        <v>1.8141094978660448</v>
      </c>
      <c r="O16" s="27">
        <f t="shared" si="6"/>
        <v>1.7866561368117302</v>
      </c>
      <c r="P16" s="27">
        <f t="shared" si="6"/>
        <v>1.7489975228040084</v>
      </c>
      <c r="Q16" s="27">
        <f t="shared" si="6"/>
        <v>1.7216531928010095</v>
      </c>
      <c r="R16" s="27">
        <f t="shared" si="6"/>
        <v>1.6967284692901876</v>
      </c>
      <c r="S16" s="27">
        <f t="shared" si="6"/>
        <v>1.5117747469441463</v>
      </c>
      <c r="T16" s="27">
        <f t="shared" si="6"/>
        <v>1.5353784458928466</v>
      </c>
      <c r="U16" s="27">
        <f t="shared" si="6"/>
        <v>1.5454031535928081</v>
      </c>
      <c r="V16" s="27">
        <f t="shared" si="6"/>
        <v>1.5520051748391652</v>
      </c>
      <c r="W16" s="27">
        <f t="shared" si="6"/>
        <v>1.564229983889788</v>
      </c>
      <c r="X16" s="27">
        <f t="shared" si="6"/>
        <v>1.5733351038653358</v>
      </c>
      <c r="Y16" s="27">
        <f t="shared" si="6"/>
        <v>1.5781110770621192</v>
      </c>
      <c r="Z16" s="27">
        <f t="shared" si="6"/>
        <v>1.5810372890528743</v>
      </c>
      <c r="AA16" s="27">
        <f t="shared" si="6"/>
        <v>1.5814342334658642</v>
      </c>
      <c r="AB16" s="27">
        <f t="shared" si="6"/>
        <v>1.5906175911874081</v>
      </c>
      <c r="AC16" s="27">
        <f t="shared" si="6"/>
        <v>1.598639197477874</v>
      </c>
      <c r="AD16" s="27">
        <f t="shared" si="6"/>
        <v>1.6101808279098371</v>
      </c>
      <c r="AE16" s="27">
        <f t="shared" si="6"/>
        <v>1.6296768229523677</v>
      </c>
      <c r="AF16" s="27">
        <f t="shared" si="6"/>
        <v>1.6525077177354268</v>
      </c>
      <c r="AG16" s="27">
        <f t="shared" si="6"/>
        <v>1.6834189005947389</v>
      </c>
      <c r="AH16" s="27">
        <f t="shared" si="6"/>
        <v>1.7001060999840301</v>
      </c>
      <c r="AI16" s="27">
        <f t="shared" si="6"/>
        <v>1.714680678931171</v>
      </c>
      <c r="AJ16" s="27">
        <f t="shared" si="6"/>
        <v>1.7329967482102966</v>
      </c>
      <c r="AK16" s="27">
        <f t="shared" si="6"/>
        <v>1.7488990397133231</v>
      </c>
      <c r="AL16" s="27">
        <f t="shared" si="6"/>
        <v>1.7664947607476369</v>
      </c>
      <c r="AM16" s="27">
        <f t="shared" si="6"/>
        <v>1.7836580054040596</v>
      </c>
      <c r="AN16" s="27">
        <f t="shared" si="6"/>
        <v>1.8067654920152938</v>
      </c>
      <c r="AO16" s="27">
        <f t="shared" si="6"/>
        <v>1.8268312610518465</v>
      </c>
      <c r="AP16" s="27">
        <f t="shared" si="6"/>
        <v>1.8468791974694727</v>
      </c>
      <c r="AQ16" s="27">
        <f t="shared" si="6"/>
        <v>1.8676391522371276</v>
      </c>
      <c r="AR16" s="27">
        <f t="shared" si="6"/>
        <v>1.8893444874946981</v>
      </c>
      <c r="AS16" s="27">
        <f t="shared" si="6"/>
        <v>1.9176308190810374</v>
      </c>
      <c r="AT16" s="27">
        <f t="shared" si="6"/>
        <v>1.9263908565050327</v>
      </c>
      <c r="AU16" s="27">
        <f t="shared" si="6"/>
        <v>1.9333876275197814</v>
      </c>
      <c r="AV16" s="27">
        <f t="shared" si="6"/>
        <v>1.9406033255753634</v>
      </c>
      <c r="AW16" s="27">
        <f t="shared" si="6"/>
        <v>1.947207220691618</v>
      </c>
      <c r="AY16" s="79"/>
    </row>
    <row r="17" spans="1:51" x14ac:dyDescent="0.2">
      <c r="A17" s="95" t="str">
        <f t="shared" si="0"/>
        <v>FS Swine</v>
      </c>
      <c r="B17" s="95" t="s">
        <v>1004</v>
      </c>
      <c r="C17" s="95" t="s">
        <v>155</v>
      </c>
      <c r="D17" t="s">
        <v>15</v>
      </c>
      <c r="E17" t="s">
        <v>16</v>
      </c>
      <c r="F17" t="s">
        <v>21</v>
      </c>
      <c r="G17" t="s">
        <v>123</v>
      </c>
      <c r="H17" t="s">
        <v>1020</v>
      </c>
      <c r="I17" t="s">
        <v>121</v>
      </c>
      <c r="J17" t="s">
        <v>286</v>
      </c>
      <c r="K17" s="27">
        <f t="shared" si="7"/>
        <v>0.25496723934882609</v>
      </c>
      <c r="L17" s="27">
        <f t="shared" si="6"/>
        <v>0.25358132281546897</v>
      </c>
      <c r="M17" s="27">
        <f t="shared" si="6"/>
        <v>0.25369507454499346</v>
      </c>
      <c r="N17" s="27">
        <f t="shared" si="6"/>
        <v>0.25136595935447842</v>
      </c>
      <c r="O17" s="27">
        <f t="shared" si="6"/>
        <v>0.24756197704412711</v>
      </c>
      <c r="P17" s="27">
        <f t="shared" ref="L17:AW23" si="8">P1392</f>
        <v>0.2423439383043785</v>
      </c>
      <c r="Q17" s="27">
        <f t="shared" si="8"/>
        <v>0.23855506351363703</v>
      </c>
      <c r="R17" s="27">
        <f t="shared" si="8"/>
        <v>0.23510145332951488</v>
      </c>
      <c r="S17" s="27">
        <f t="shared" si="8"/>
        <v>0.20947396507239346</v>
      </c>
      <c r="T17" s="27">
        <f t="shared" si="8"/>
        <v>0.21274453194695842</v>
      </c>
      <c r="U17" s="27">
        <f t="shared" si="8"/>
        <v>0.21413357173271183</v>
      </c>
      <c r="V17" s="27">
        <f t="shared" si="8"/>
        <v>0.21504835852271614</v>
      </c>
      <c r="W17" s="27">
        <f t="shared" si="8"/>
        <v>0.21674224792605687</v>
      </c>
      <c r="X17" s="27">
        <f t="shared" si="8"/>
        <v>0.21800386814268849</v>
      </c>
      <c r="Y17" s="27">
        <f t="shared" si="8"/>
        <v>0.21866563474821746</v>
      </c>
      <c r="Z17" s="27">
        <f t="shared" si="8"/>
        <v>0.21907109543578676</v>
      </c>
      <c r="AA17" s="27">
        <f t="shared" si="8"/>
        <v>0.21912609669855451</v>
      </c>
      <c r="AB17" s="27">
        <f t="shared" si="8"/>
        <v>0.22039855766438188</v>
      </c>
      <c r="AC17" s="27">
        <f t="shared" si="8"/>
        <v>0.22151004446445585</v>
      </c>
      <c r="AD17" s="27">
        <f t="shared" si="8"/>
        <v>0.22310927152845497</v>
      </c>
      <c r="AE17" s="27">
        <f t="shared" si="8"/>
        <v>0.22581066827611573</v>
      </c>
      <c r="AF17" s="27">
        <f t="shared" si="8"/>
        <v>0.22897415414993735</v>
      </c>
      <c r="AG17" s="27">
        <f t="shared" si="8"/>
        <v>0.23325725786741008</v>
      </c>
      <c r="AH17" s="27">
        <f t="shared" si="8"/>
        <v>0.2355694633259906</v>
      </c>
      <c r="AI17" s="27">
        <f t="shared" si="8"/>
        <v>0.23758894066379471</v>
      </c>
      <c r="AJ17" s="27">
        <f t="shared" si="8"/>
        <v>0.24012684498068754</v>
      </c>
      <c r="AK17" s="27">
        <f t="shared" si="8"/>
        <v>0.24233029232733053</v>
      </c>
      <c r="AL17" s="27">
        <f t="shared" si="8"/>
        <v>0.24476838402109372</v>
      </c>
      <c r="AM17" s="27">
        <f t="shared" si="8"/>
        <v>0.2471465510853047</v>
      </c>
      <c r="AN17" s="27">
        <f t="shared" si="8"/>
        <v>0.25034836197220872</v>
      </c>
      <c r="AO17" s="27">
        <f t="shared" si="8"/>
        <v>0.25312870753017624</v>
      </c>
      <c r="AP17" s="27">
        <f t="shared" si="8"/>
        <v>0.25590658217149315</v>
      </c>
      <c r="AQ17" s="27">
        <f t="shared" si="8"/>
        <v>0.25878311523218522</v>
      </c>
      <c r="AR17" s="27">
        <f t="shared" si="8"/>
        <v>0.26179064174949174</v>
      </c>
      <c r="AS17" s="27">
        <f t="shared" si="8"/>
        <v>0.26571004181006297</v>
      </c>
      <c r="AT17" s="27">
        <f t="shared" si="8"/>
        <v>0.26692384682770609</v>
      </c>
      <c r="AU17" s="27">
        <f t="shared" si="8"/>
        <v>0.26789333078695698</v>
      </c>
      <c r="AV17" s="27">
        <f t="shared" si="8"/>
        <v>0.26889314963267008</v>
      </c>
      <c r="AW17" s="27">
        <f t="shared" si="8"/>
        <v>0.26980819606913181</v>
      </c>
      <c r="AY17" s="79"/>
    </row>
    <row r="18" spans="1:51" x14ac:dyDescent="0.2">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7.3924283487896005</v>
      </c>
      <c r="M18" s="27">
        <f t="shared" si="8"/>
        <v>7.4507389435191715</v>
      </c>
      <c r="N18" s="27">
        <f t="shared" si="8"/>
        <v>7.4882097119910753</v>
      </c>
      <c r="O18" s="27">
        <f t="shared" si="8"/>
        <v>7.5131092090175455</v>
      </c>
      <c r="P18" s="27">
        <f t="shared" si="8"/>
        <v>7.5251923679492405</v>
      </c>
      <c r="Q18" s="27">
        <f t="shared" si="8"/>
        <v>7.5518885629203734</v>
      </c>
      <c r="R18" s="27">
        <f t="shared" si="8"/>
        <v>7.5825135825669046</v>
      </c>
      <c r="S18" s="27">
        <f t="shared" si="8"/>
        <v>7.3749406226465846</v>
      </c>
      <c r="T18" s="27">
        <f t="shared" si="8"/>
        <v>7.4596947338228921</v>
      </c>
      <c r="U18" s="27">
        <f t="shared" si="8"/>
        <v>7.5261085209621994</v>
      </c>
      <c r="V18" s="27">
        <f t="shared" si="8"/>
        <v>7.5890282866946253</v>
      </c>
      <c r="W18" s="27">
        <f t="shared" si="8"/>
        <v>7.6625876396153867</v>
      </c>
      <c r="X18" s="27">
        <f t="shared" si="8"/>
        <v>7.733033452737752</v>
      </c>
      <c r="Y18" s="27">
        <f t="shared" si="8"/>
        <v>7.7921158726045912</v>
      </c>
      <c r="Z18" s="27">
        <f t="shared" si="8"/>
        <v>7.8495573007710338</v>
      </c>
      <c r="AA18" s="27">
        <f t="shared" si="8"/>
        <v>7.9040412638168576</v>
      </c>
      <c r="AB18" s="27">
        <f t="shared" si="8"/>
        <v>7.9749152148387106</v>
      </c>
      <c r="AC18" s="27">
        <f t="shared" si="8"/>
        <v>8.0454247210614032</v>
      </c>
      <c r="AD18" s="27">
        <f t="shared" si="8"/>
        <v>8.118986526852904</v>
      </c>
      <c r="AE18" s="27">
        <f t="shared" si="8"/>
        <v>8.2087302780498543</v>
      </c>
      <c r="AF18" s="27">
        <f t="shared" si="8"/>
        <v>8.3068407116005449</v>
      </c>
      <c r="AG18" s="27">
        <f t="shared" si="8"/>
        <v>8.4224927361534156</v>
      </c>
      <c r="AH18" s="27">
        <f t="shared" si="8"/>
        <v>8.5140894306414712</v>
      </c>
      <c r="AI18" s="27">
        <f t="shared" si="8"/>
        <v>8.5991817671771109</v>
      </c>
      <c r="AJ18" s="27">
        <f t="shared" si="8"/>
        <v>8.6936031201600006</v>
      </c>
      <c r="AK18" s="27">
        <f t="shared" si="8"/>
        <v>8.7854891773357977</v>
      </c>
      <c r="AL18" s="27">
        <f t="shared" si="8"/>
        <v>8.8829387927935777</v>
      </c>
      <c r="AM18" s="27">
        <f t="shared" si="8"/>
        <v>8.981789259815093</v>
      </c>
      <c r="AN18" s="27">
        <f t="shared" si="8"/>
        <v>9.0910335877436168</v>
      </c>
      <c r="AO18" s="27">
        <f t="shared" si="8"/>
        <v>9.1965466271076242</v>
      </c>
      <c r="AP18" s="27">
        <f t="shared" si="8"/>
        <v>9.3045679627692603</v>
      </c>
      <c r="AQ18" s="27">
        <f t="shared" si="8"/>
        <v>9.416735487095643</v>
      </c>
      <c r="AR18" s="27">
        <f t="shared" si="8"/>
        <v>9.5336904606360946</v>
      </c>
      <c r="AS18" s="27">
        <f t="shared" si="8"/>
        <v>9.6639189531179213</v>
      </c>
      <c r="AT18" s="27">
        <f t="shared" si="8"/>
        <v>9.7529871408715216</v>
      </c>
      <c r="AU18" s="27">
        <f t="shared" si="8"/>
        <v>9.8400068754522785</v>
      </c>
      <c r="AV18" s="27">
        <f t="shared" si="8"/>
        <v>9.9294924345892497</v>
      </c>
      <c r="AW18" s="27">
        <f t="shared" si="8"/>
        <v>10.019533761751701</v>
      </c>
      <c r="AY18" s="79"/>
    </row>
    <row r="19" spans="1:51" x14ac:dyDescent="0.2">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2.1061581299686476</v>
      </c>
      <c r="M19" s="27">
        <f t="shared" si="8"/>
        <v>2.1227712545548472</v>
      </c>
      <c r="N19" s="27">
        <f t="shared" si="8"/>
        <v>2.1334469567638776</v>
      </c>
      <c r="O19" s="27">
        <f t="shared" si="8"/>
        <v>2.1405410097083362</v>
      </c>
      <c r="P19" s="27">
        <f t="shared" si="8"/>
        <v>2.143983592066792</v>
      </c>
      <c r="Q19" s="27">
        <f t="shared" si="8"/>
        <v>2.151589537694508</v>
      </c>
      <c r="R19" s="27">
        <f t="shared" si="8"/>
        <v>2.1603148348588084</v>
      </c>
      <c r="S19" s="27">
        <f t="shared" si="8"/>
        <v>2.1011757459869611</v>
      </c>
      <c r="T19" s="27">
        <f t="shared" si="8"/>
        <v>2.1253228261993073</v>
      </c>
      <c r="U19" s="27">
        <f t="shared" si="8"/>
        <v>2.1442446109127653</v>
      </c>
      <c r="V19" s="27">
        <f t="shared" si="8"/>
        <v>2.162170922793051</v>
      </c>
      <c r="W19" s="27">
        <f t="shared" si="8"/>
        <v>2.1831285326445773</v>
      </c>
      <c r="X19" s="27">
        <f t="shared" si="8"/>
        <v>2.2031990717190912</v>
      </c>
      <c r="Y19" s="27">
        <f t="shared" si="8"/>
        <v>2.2200320950599446</v>
      </c>
      <c r="Z19" s="27">
        <f t="shared" si="8"/>
        <v>2.2363975875911741</v>
      </c>
      <c r="AA19" s="27">
        <f t="shared" si="8"/>
        <v>2.2519204761884857</v>
      </c>
      <c r="AB19" s="27">
        <f t="shared" si="8"/>
        <v>2.2721129949529209</v>
      </c>
      <c r="AC19" s="27">
        <f t="shared" si="8"/>
        <v>2.2922016806681249</v>
      </c>
      <c r="AD19" s="27">
        <f t="shared" si="8"/>
        <v>2.3131599893608721</v>
      </c>
      <c r="AE19" s="27">
        <f t="shared" si="8"/>
        <v>2.3387286553362805</v>
      </c>
      <c r="AF19" s="27">
        <f t="shared" si="8"/>
        <v>2.3666810516948278</v>
      </c>
      <c r="AG19" s="27">
        <f t="shared" si="8"/>
        <v>2.3996311785363349</v>
      </c>
      <c r="AH19" s="27">
        <f t="shared" si="8"/>
        <v>2.4257277619149016</v>
      </c>
      <c r="AI19" s="27">
        <f t="shared" si="8"/>
        <v>2.4499712050619578</v>
      </c>
      <c r="AJ19" s="27">
        <f t="shared" si="8"/>
        <v>2.4768725547733976</v>
      </c>
      <c r="AK19" s="27">
        <f t="shared" si="8"/>
        <v>2.5030515797460584</v>
      </c>
      <c r="AL19" s="27">
        <f t="shared" si="8"/>
        <v>2.5308157040871935</v>
      </c>
      <c r="AM19" s="27">
        <f t="shared" si="8"/>
        <v>2.5589789415168327</v>
      </c>
      <c r="AN19" s="27">
        <f t="shared" si="8"/>
        <v>2.5901034676621961</v>
      </c>
      <c r="AO19" s="27">
        <f t="shared" si="8"/>
        <v>2.6201649217864809</v>
      </c>
      <c r="AP19" s="27">
        <f t="shared" si="8"/>
        <v>2.6509410082873499</v>
      </c>
      <c r="AQ19" s="27">
        <f t="shared" si="8"/>
        <v>2.6828983749511943</v>
      </c>
      <c r="AR19" s="27">
        <f t="shared" si="8"/>
        <v>2.7162197217049746</v>
      </c>
      <c r="AS19" s="27">
        <f t="shared" si="8"/>
        <v>2.7533227932875448</v>
      </c>
      <c r="AT19" s="27">
        <f t="shared" si="8"/>
        <v>2.7786989861849074</v>
      </c>
      <c r="AU19" s="27">
        <f t="shared" si="8"/>
        <v>2.8034915594514418</v>
      </c>
      <c r="AV19" s="27">
        <f t="shared" si="8"/>
        <v>2.8289866645777546</v>
      </c>
      <c r="AW19" s="27">
        <f t="shared" si="8"/>
        <v>2.854640112171523</v>
      </c>
      <c r="AY19" s="79"/>
    </row>
    <row r="20" spans="1:51" x14ac:dyDescent="0.2">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0.43500213637199753</v>
      </c>
      <c r="M20" s="27">
        <f t="shared" si="8"/>
        <v>0.43843338143569016</v>
      </c>
      <c r="N20" s="27">
        <f t="shared" si="8"/>
        <v>0.44063832189202168</v>
      </c>
      <c r="O20" s="27">
        <f t="shared" si="8"/>
        <v>0.44210351490980404</v>
      </c>
      <c r="P20" s="27">
        <f t="shared" si="8"/>
        <v>0.44281453971808232</v>
      </c>
      <c r="Q20" s="27">
        <f t="shared" si="8"/>
        <v>0.44438545813589125</v>
      </c>
      <c r="R20" s="27">
        <f t="shared" si="8"/>
        <v>0.44618756541973886</v>
      </c>
      <c r="S20" s="27">
        <f t="shared" si="8"/>
        <v>0.43397308368814624</v>
      </c>
      <c r="T20" s="27">
        <f t="shared" si="8"/>
        <v>0.43896037848337277</v>
      </c>
      <c r="U20" s="27">
        <f t="shared" si="8"/>
        <v>0.4428684500840781</v>
      </c>
      <c r="V20" s="27">
        <f t="shared" si="8"/>
        <v>0.44657091850477143</v>
      </c>
      <c r="W20" s="27">
        <f t="shared" si="8"/>
        <v>0.45089946579138956</v>
      </c>
      <c r="X20" s="27">
        <f t="shared" si="8"/>
        <v>0.45504479906495582</v>
      </c>
      <c r="Y20" s="27">
        <f t="shared" si="8"/>
        <v>0.4585214616244665</v>
      </c>
      <c r="Z20" s="27">
        <f t="shared" si="8"/>
        <v>0.46190156120605425</v>
      </c>
      <c r="AA20" s="27">
        <f t="shared" si="8"/>
        <v>0.46510763087689888</v>
      </c>
      <c r="AB20" s="27">
        <f t="shared" si="8"/>
        <v>0.46927815761763869</v>
      </c>
      <c r="AC20" s="27">
        <f t="shared" si="8"/>
        <v>0.47342723886594434</v>
      </c>
      <c r="AD20" s="27">
        <f t="shared" si="8"/>
        <v>0.4777559304899795</v>
      </c>
      <c r="AE20" s="27">
        <f t="shared" si="8"/>
        <v>0.48303683706827621</v>
      </c>
      <c r="AF20" s="27">
        <f t="shared" si="8"/>
        <v>0.48881007506008173</v>
      </c>
      <c r="AG20" s="27">
        <f t="shared" si="8"/>
        <v>0.49561553537468644</v>
      </c>
      <c r="AH20" s="27">
        <f t="shared" si="8"/>
        <v>0.50100547707002141</v>
      </c>
      <c r="AI20" s="27">
        <f t="shared" si="8"/>
        <v>0.50601267449357823</v>
      </c>
      <c r="AJ20" s="27">
        <f t="shared" si="8"/>
        <v>0.51156883118915397</v>
      </c>
      <c r="AK20" s="27">
        <f t="shared" si="8"/>
        <v>0.51697580022400658</v>
      </c>
      <c r="AL20" s="27">
        <f t="shared" si="8"/>
        <v>0.52271015284978539</v>
      </c>
      <c r="AM20" s="27">
        <f t="shared" si="8"/>
        <v>0.52852693757963265</v>
      </c>
      <c r="AN20" s="27">
        <f t="shared" si="8"/>
        <v>0.5349553415888797</v>
      </c>
      <c r="AO20" s="27">
        <f t="shared" si="8"/>
        <v>0.54116418060264715</v>
      </c>
      <c r="AP20" s="27">
        <f t="shared" si="8"/>
        <v>0.54752061851039679</v>
      </c>
      <c r="AQ20" s="27">
        <f t="shared" si="8"/>
        <v>0.55412103591201056</v>
      </c>
      <c r="AR20" s="27">
        <f t="shared" si="8"/>
        <v>0.56100316732391087</v>
      </c>
      <c r="AS20" s="27">
        <f t="shared" si="8"/>
        <v>0.56866636942385063</v>
      </c>
      <c r="AT20" s="27">
        <f t="shared" si="8"/>
        <v>0.57390752295656533</v>
      </c>
      <c r="AU20" s="27">
        <f t="shared" si="8"/>
        <v>0.57902813673368103</v>
      </c>
      <c r="AV20" s="27">
        <f t="shared" si="8"/>
        <v>0.58429385018566193</v>
      </c>
      <c r="AW20" s="27">
        <f t="shared" si="8"/>
        <v>0.5895922674079066</v>
      </c>
      <c r="AY20" s="79"/>
    </row>
    <row r="21" spans="1:51" x14ac:dyDescent="0.2">
      <c r="A21" s="95" t="str">
        <f t="shared" si="0"/>
        <v>FS Cattle MMCH4</v>
      </c>
      <c r="B21" s="95" t="s">
        <v>1004</v>
      </c>
      <c r="C21" s="95" t="s">
        <v>1229</v>
      </c>
      <c r="D21" t="s">
        <v>15</v>
      </c>
      <c r="E21" t="s">
        <v>22</v>
      </c>
      <c r="F21" t="s">
        <v>67</v>
      </c>
      <c r="G21" t="s">
        <v>122</v>
      </c>
      <c r="H21" t="s">
        <v>1227</v>
      </c>
      <c r="I21" t="s">
        <v>121</v>
      </c>
      <c r="J21" t="s">
        <v>286</v>
      </c>
      <c r="K21" s="27">
        <f t="shared" si="7"/>
        <v>9.4871637196006553E-2</v>
      </c>
      <c r="L21" s="27">
        <f t="shared" si="8"/>
        <v>9.4048845784615531E-2</v>
      </c>
      <c r="M21" s="27">
        <f t="shared" si="8"/>
        <v>9.3735634002294246E-2</v>
      </c>
      <c r="N21" s="27">
        <f t="shared" si="8"/>
        <v>9.2483917307495084E-2</v>
      </c>
      <c r="O21" s="27">
        <f t="shared" si="8"/>
        <v>9.0667019955957398E-2</v>
      </c>
      <c r="P21" s="27">
        <f t="shared" si="8"/>
        <v>8.8322512540543865E-2</v>
      </c>
      <c r="Q21" s="27">
        <f t="shared" si="8"/>
        <v>8.6473330972337892E-2</v>
      </c>
      <c r="R21" s="27">
        <f t="shared" si="8"/>
        <v>8.4723794986300283E-2</v>
      </c>
      <c r="S21" s="27">
        <f t="shared" si="8"/>
        <v>7.5194221843696937E-2</v>
      </c>
      <c r="T21" s="27">
        <f t="shared" si="8"/>
        <v>7.6632536915557561E-2</v>
      </c>
      <c r="U21" s="27">
        <f t="shared" si="8"/>
        <v>7.7401549005272907E-2</v>
      </c>
      <c r="V21" s="27">
        <f t="shared" si="8"/>
        <v>7.7993527400119084E-2</v>
      </c>
      <c r="W21" s="27">
        <f t="shared" si="8"/>
        <v>7.8850028173398812E-2</v>
      </c>
      <c r="X21" s="27">
        <f t="shared" si="8"/>
        <v>7.9545124288710786E-2</v>
      </c>
      <c r="Y21" s="27">
        <f t="shared" si="8"/>
        <v>7.9993221888415164E-2</v>
      </c>
      <c r="Z21" s="27">
        <f t="shared" si="8"/>
        <v>8.0342032341122221E-2</v>
      </c>
      <c r="AA21" s="27">
        <f t="shared" si="8"/>
        <v>8.0558218611879576E-2</v>
      </c>
      <c r="AB21" s="27">
        <f t="shared" si="8"/>
        <v>8.1198214942881639E-2</v>
      </c>
      <c r="AC21" s="27">
        <f t="shared" si="8"/>
        <v>8.1774057106542911E-2</v>
      </c>
      <c r="AD21" s="27">
        <f t="shared" si="8"/>
        <v>8.1803756887802739E-2</v>
      </c>
      <c r="AE21" s="27">
        <f t="shared" si="8"/>
        <v>8.2189518118440233E-2</v>
      </c>
      <c r="AF21" s="27">
        <f t="shared" si="8"/>
        <v>8.2699636683975147E-2</v>
      </c>
      <c r="AG21" s="27">
        <f t="shared" si="8"/>
        <v>8.3556074547621109E-2</v>
      </c>
      <c r="AH21" s="27">
        <f t="shared" si="8"/>
        <v>8.3692861347297365E-2</v>
      </c>
      <c r="AI21" s="27">
        <f t="shared" si="8"/>
        <v>8.3678502694708126E-2</v>
      </c>
      <c r="AJ21" s="27">
        <f t="shared" si="8"/>
        <v>8.380415826329729E-2</v>
      </c>
      <c r="AK21" s="27">
        <f t="shared" si="8"/>
        <v>8.3780965761712248E-2</v>
      </c>
      <c r="AL21" s="27">
        <f t="shared" si="8"/>
        <v>8.3798710851856847E-2</v>
      </c>
      <c r="AM21" s="27">
        <f t="shared" si="8"/>
        <v>8.3758438816059183E-2</v>
      </c>
      <c r="AN21" s="27">
        <f t="shared" si="8"/>
        <v>8.4359602001058728E-2</v>
      </c>
      <c r="AO21" s="27">
        <f t="shared" si="8"/>
        <v>8.4799386999346651E-2</v>
      </c>
      <c r="AP21" s="27">
        <f t="shared" si="8"/>
        <v>8.5213797519739967E-2</v>
      </c>
      <c r="AQ21" s="27">
        <f t="shared" si="8"/>
        <v>8.5634541045958551E-2</v>
      </c>
      <c r="AR21" s="27">
        <f t="shared" si="8"/>
        <v>8.6070741793779534E-2</v>
      </c>
      <c r="AS21" s="27">
        <f t="shared" si="8"/>
        <v>8.6754318409979284E-2</v>
      </c>
      <c r="AT21" s="27">
        <f t="shared" si="8"/>
        <v>8.6561782662480824E-2</v>
      </c>
      <c r="AU21" s="27">
        <f t="shared" si="8"/>
        <v>8.6273112387571071E-2</v>
      </c>
      <c r="AV21" s="27">
        <f t="shared" si="8"/>
        <v>8.5974128279328724E-2</v>
      </c>
      <c r="AW21" s="27">
        <f t="shared" si="8"/>
        <v>8.5629055859458861E-2</v>
      </c>
      <c r="AY21" s="79"/>
    </row>
    <row r="22" spans="1:51" x14ac:dyDescent="0.2">
      <c r="A22" s="95" t="str">
        <f t="shared" si="0"/>
        <v>FS Cattle MMCH4</v>
      </c>
      <c r="B22" s="95" t="s">
        <v>1004</v>
      </c>
      <c r="C22" s="95" t="s">
        <v>1229</v>
      </c>
      <c r="D22" t="s">
        <v>15</v>
      </c>
      <c r="E22" t="s">
        <v>22</v>
      </c>
      <c r="F22" t="s">
        <v>67</v>
      </c>
      <c r="G22" t="s">
        <v>123</v>
      </c>
      <c r="H22" t="s">
        <v>1227</v>
      </c>
      <c r="I22" t="s">
        <v>121</v>
      </c>
      <c r="J22" t="s">
        <v>286</v>
      </c>
      <c r="K22" s="27">
        <f t="shared" si="7"/>
        <v>6.9689449734106304E-2</v>
      </c>
      <c r="L22" s="27">
        <f t="shared" si="8"/>
        <v>6.908505539244103E-2</v>
      </c>
      <c r="M22" s="27">
        <f t="shared" si="8"/>
        <v>6.8854980763127793E-2</v>
      </c>
      <c r="N22" s="27">
        <f t="shared" si="8"/>
        <v>6.7935512624264269E-2</v>
      </c>
      <c r="O22" s="27">
        <f t="shared" si="8"/>
        <v>6.6600882165738284E-2</v>
      </c>
      <c r="P22" s="27">
        <f t="shared" si="8"/>
        <v>6.4878687456057696E-2</v>
      </c>
      <c r="Q22" s="27">
        <f t="shared" si="8"/>
        <v>6.3520342119606069E-2</v>
      </c>
      <c r="R22" s="27">
        <f t="shared" si="8"/>
        <v>6.2235193009075998E-2</v>
      </c>
      <c r="S22" s="27">
        <f t="shared" si="8"/>
        <v>5.5235095528552075E-2</v>
      </c>
      <c r="T22" s="27">
        <f t="shared" si="8"/>
        <v>5.629163243320303E-2</v>
      </c>
      <c r="U22" s="27">
        <f t="shared" si="8"/>
        <v>5.6856522330279623E-2</v>
      </c>
      <c r="V22" s="27">
        <f t="shared" si="8"/>
        <v>5.7291369348952612E-2</v>
      </c>
      <c r="W22" s="27">
        <f t="shared" si="8"/>
        <v>5.7920525431327162E-2</v>
      </c>
      <c r="X22" s="27">
        <f t="shared" si="8"/>
        <v>5.8431119189589487E-2</v>
      </c>
      <c r="Y22" s="27">
        <f t="shared" si="8"/>
        <v>5.8760276312556113E-2</v>
      </c>
      <c r="Z22" s="27">
        <f t="shared" si="8"/>
        <v>5.9016500503780274E-2</v>
      </c>
      <c r="AA22" s="27">
        <f t="shared" si="8"/>
        <v>5.9175303521145986E-2</v>
      </c>
      <c r="AB22" s="27">
        <f t="shared" si="8"/>
        <v>5.9645422868272187E-2</v>
      </c>
      <c r="AC22" s="27">
        <f t="shared" si="8"/>
        <v>6.0068416765134525E-2</v>
      </c>
      <c r="AD22" s="27">
        <f t="shared" si="8"/>
        <v>6.0090233205478502E-2</v>
      </c>
      <c r="AE22" s="27">
        <f t="shared" si="8"/>
        <v>6.0373600170426478E-2</v>
      </c>
      <c r="AF22" s="27">
        <f t="shared" si="8"/>
        <v>6.0748315767015518E-2</v>
      </c>
      <c r="AG22" s="27">
        <f t="shared" si="8"/>
        <v>6.1377425638131498E-2</v>
      </c>
      <c r="AH22" s="27">
        <f t="shared" si="8"/>
        <v>6.1477904528156692E-2</v>
      </c>
      <c r="AI22" s="27">
        <f t="shared" si="8"/>
        <v>6.1467357154595496E-2</v>
      </c>
      <c r="AJ22" s="27">
        <f t="shared" si="8"/>
        <v>6.1559659424165428E-2</v>
      </c>
      <c r="AK22" s="27">
        <f t="shared" si="8"/>
        <v>6.1542623008212359E-2</v>
      </c>
      <c r="AL22" s="27">
        <f t="shared" si="8"/>
        <v>6.155565794261645E-2</v>
      </c>
      <c r="AM22" s="27">
        <f t="shared" si="8"/>
        <v>6.1526075486812389E-2</v>
      </c>
      <c r="AN22" s="27">
        <f t="shared" si="8"/>
        <v>6.1967669337211172E-2</v>
      </c>
      <c r="AO22" s="27">
        <f t="shared" si="8"/>
        <v>6.2290720308374216E-2</v>
      </c>
      <c r="AP22" s="27">
        <f t="shared" si="8"/>
        <v>6.2595132058648639E-2</v>
      </c>
      <c r="AQ22" s="27">
        <f t="shared" si="8"/>
        <v>6.2904195817723246E-2</v>
      </c>
      <c r="AR22" s="27">
        <f t="shared" si="8"/>
        <v>6.3224613921465334E-2</v>
      </c>
      <c r="AS22" s="27">
        <f t="shared" si="8"/>
        <v>6.3726745850902156E-2</v>
      </c>
      <c r="AT22" s="27">
        <f t="shared" si="8"/>
        <v>6.3585315696496877E-2</v>
      </c>
      <c r="AU22" s="27">
        <f t="shared" si="8"/>
        <v>6.3373268416533846E-2</v>
      </c>
      <c r="AV22" s="27">
        <f t="shared" si="8"/>
        <v>6.3153644948461887E-2</v>
      </c>
      <c r="AW22" s="27">
        <f t="shared" si="8"/>
        <v>6.2900166587911782E-2</v>
      </c>
      <c r="AY22" s="79"/>
    </row>
    <row r="23" spans="1:51" x14ac:dyDescent="0.2">
      <c r="A23" s="95" t="str">
        <f t="shared" si="0"/>
        <v>FS Cattle MMCH4</v>
      </c>
      <c r="B23" s="95" t="s">
        <v>1004</v>
      </c>
      <c r="C23" s="95" t="s">
        <v>1229</v>
      </c>
      <c r="D23" t="s">
        <v>15</v>
      </c>
      <c r="E23" t="s">
        <v>22</v>
      </c>
      <c r="F23" t="s">
        <v>67</v>
      </c>
      <c r="G23" t="s">
        <v>135</v>
      </c>
      <c r="H23" t="s">
        <v>1227</v>
      </c>
      <c r="I23" t="s">
        <v>121</v>
      </c>
      <c r="J23" t="s">
        <v>286</v>
      </c>
      <c r="K23" s="27">
        <f t="shared" si="7"/>
        <v>0.47107022937833831</v>
      </c>
      <c r="L23" s="27">
        <f t="shared" si="8"/>
        <v>0.48695387967725956</v>
      </c>
      <c r="M23" s="27">
        <f t="shared" si="8"/>
        <v>0.50580611066616787</v>
      </c>
      <c r="N23" s="27">
        <f t="shared" si="8"/>
        <v>0.51986569055899412</v>
      </c>
      <c r="O23" s="27">
        <f t="shared" si="8"/>
        <v>0.53070826286138573</v>
      </c>
      <c r="P23" s="27">
        <f t="shared" si="8"/>
        <v>0.53817886796858128</v>
      </c>
      <c r="Q23" s="27">
        <f t="shared" si="8"/>
        <v>0.54837935702304741</v>
      </c>
      <c r="R23" s="27">
        <f t="shared" si="8"/>
        <v>0.55907244781022658</v>
      </c>
      <c r="S23" s="27">
        <f t="shared" si="8"/>
        <v>0.51624279949509155</v>
      </c>
      <c r="T23" s="27">
        <f t="shared" si="8"/>
        <v>0.53879307932677856</v>
      </c>
      <c r="U23" s="27">
        <f t="shared" si="8"/>
        <v>0.55713109899852753</v>
      </c>
      <c r="V23" s="27">
        <f t="shared" si="8"/>
        <v>0.57456229359809852</v>
      </c>
      <c r="W23" s="27">
        <f t="shared" si="8"/>
        <v>0.59433872658918863</v>
      </c>
      <c r="X23" s="27">
        <f t="shared" si="8"/>
        <v>0.61332693480888556</v>
      </c>
      <c r="Y23" s="27">
        <f t="shared" si="8"/>
        <v>0.63078242094770143</v>
      </c>
      <c r="Z23" s="27">
        <f t="shared" si="8"/>
        <v>0.64777903840881934</v>
      </c>
      <c r="AA23" s="27">
        <f t="shared" si="8"/>
        <v>0.66400113500174907</v>
      </c>
      <c r="AB23" s="27">
        <f t="shared" si="8"/>
        <v>0.68407603128870909</v>
      </c>
      <c r="AC23" s="27">
        <f t="shared" si="8"/>
        <v>0.70404867201485544</v>
      </c>
      <c r="AD23" s="27">
        <f t="shared" si="8"/>
        <v>0.72766101903000513</v>
      </c>
      <c r="AE23" s="27">
        <f t="shared" si="8"/>
        <v>0.75538392864169213</v>
      </c>
      <c r="AF23" s="27">
        <f t="shared" si="8"/>
        <v>0.78539118200338776</v>
      </c>
      <c r="AG23" s="27">
        <f t="shared" si="8"/>
        <v>0.8200419216488164</v>
      </c>
      <c r="AH23" s="27">
        <f t="shared" si="8"/>
        <v>0.8489366901406914</v>
      </c>
      <c r="AI23" s="27">
        <f t="shared" si="8"/>
        <v>0.87738791798686844</v>
      </c>
      <c r="AJ23" s="27">
        <f t="shared" si="8"/>
        <v>0.90845821020325546</v>
      </c>
      <c r="AK23" s="27">
        <f t="shared" si="8"/>
        <v>0.93913064377113187</v>
      </c>
      <c r="AL23" s="27">
        <f t="shared" si="8"/>
        <v>0.97151128715932467</v>
      </c>
      <c r="AM23" s="27">
        <f t="shared" si="8"/>
        <v>1.0045387395175103</v>
      </c>
      <c r="AN23" s="27">
        <f t="shared" si="8"/>
        <v>1.0402953867873999</v>
      </c>
      <c r="AO23" s="27">
        <f t="shared" si="8"/>
        <v>1.0753258690752492</v>
      </c>
      <c r="AP23" s="27">
        <f t="shared" si="8"/>
        <v>1.1112943424505797</v>
      </c>
      <c r="AQ23" s="27">
        <f t="shared" ref="L23:AW30" si="9">AQ1398</f>
        <v>1.1486611306142331</v>
      </c>
      <c r="AR23" s="27">
        <f t="shared" si="9"/>
        <v>1.1876258937828315</v>
      </c>
      <c r="AS23" s="27">
        <f t="shared" si="9"/>
        <v>1.2315704356820807</v>
      </c>
      <c r="AT23" s="27">
        <f t="shared" si="9"/>
        <v>1.2644650423303223</v>
      </c>
      <c r="AU23" s="27">
        <f t="shared" si="9"/>
        <v>1.2970080883934705</v>
      </c>
      <c r="AV23" s="27">
        <f t="shared" si="9"/>
        <v>1.3304588860507658</v>
      </c>
      <c r="AW23" s="27">
        <f t="shared" si="9"/>
        <v>1.3642912097880298</v>
      </c>
      <c r="AY23" s="79"/>
    </row>
    <row r="24" spans="1:51" x14ac:dyDescent="0.2">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3.6781380176720842E-2</v>
      </c>
      <c r="T24" s="27">
        <f t="shared" si="9"/>
        <v>3.6837395233082854E-2</v>
      </c>
      <c r="U24" s="27">
        <f t="shared" si="9"/>
        <v>3.6900705652170011E-2</v>
      </c>
      <c r="V24" s="27">
        <f t="shared" si="9"/>
        <v>3.6972125402225033E-2</v>
      </c>
      <c r="W24" s="27">
        <f t="shared" si="9"/>
        <v>3.7052467371172147E-2</v>
      </c>
      <c r="X24" s="27">
        <f t="shared" si="9"/>
        <v>3.7140056258746688E-2</v>
      </c>
      <c r="Y24" s="27">
        <f t="shared" si="9"/>
        <v>3.7193327101982677E-2</v>
      </c>
      <c r="Z24" s="27">
        <f t="shared" si="9"/>
        <v>3.725282757032642E-2</v>
      </c>
      <c r="AA24" s="27">
        <f t="shared" si="9"/>
        <v>3.7318121191736012E-2</v>
      </c>
      <c r="AB24" s="27">
        <f t="shared" si="9"/>
        <v>3.7390686259807883E-2</v>
      </c>
      <c r="AC24" s="27">
        <f t="shared" si="9"/>
        <v>3.7468739847843706E-2</v>
      </c>
      <c r="AD24" s="27">
        <f t="shared" si="9"/>
        <v>3.751974247344389E-2</v>
      </c>
      <c r="AE24" s="27">
        <f t="shared" si="9"/>
        <v>3.7576993148623769E-2</v>
      </c>
      <c r="AF24" s="27">
        <f t="shared" si="9"/>
        <v>3.7639577283476555E-2</v>
      </c>
      <c r="AG24" s="27">
        <f t="shared" si="9"/>
        <v>3.7708144828082185E-2</v>
      </c>
      <c r="AH24" s="27">
        <f t="shared" si="9"/>
        <v>3.7778741786852331E-2</v>
      </c>
      <c r="AI24" s="27">
        <f t="shared" si="9"/>
        <v>3.7822008909384815E-2</v>
      </c>
      <c r="AJ24" s="27">
        <f t="shared" si="9"/>
        <v>3.7869806060801224E-2</v>
      </c>
      <c r="AK24" s="27">
        <f t="shared" si="9"/>
        <v>3.7920914851450743E-2</v>
      </c>
      <c r="AL24" s="27">
        <f t="shared" si="9"/>
        <v>3.7975943332366417E-2</v>
      </c>
      <c r="AM24" s="27">
        <f t="shared" si="9"/>
        <v>3.8034394238678673E-2</v>
      </c>
      <c r="AN24" s="27">
        <f t="shared" si="9"/>
        <v>3.8068290997096535E-2</v>
      </c>
      <c r="AO24" s="27">
        <f t="shared" si="9"/>
        <v>3.8104751343434065E-2</v>
      </c>
      <c r="AP24" s="27">
        <f t="shared" si="9"/>
        <v>3.8144241244256513E-2</v>
      </c>
      <c r="AQ24" s="27">
        <f t="shared" si="9"/>
        <v>3.8186815214812375E-2</v>
      </c>
      <c r="AR24" s="27">
        <f t="shared" si="9"/>
        <v>3.8232443493664919E-2</v>
      </c>
      <c r="AS24" s="27">
        <f t="shared" si="9"/>
        <v>3.825284618540576E-2</v>
      </c>
      <c r="AT24" s="27">
        <f t="shared" si="9"/>
        <v>3.8271836221950122E-2</v>
      </c>
      <c r="AU24" s="27">
        <f t="shared" si="9"/>
        <v>3.8292888607538426E-2</v>
      </c>
      <c r="AV24" s="27">
        <f t="shared" si="9"/>
        <v>3.8316340791445545E-2</v>
      </c>
      <c r="AW24" s="27">
        <f t="shared" si="9"/>
        <v>3.8341951349881082E-2</v>
      </c>
      <c r="AY24" s="79"/>
    </row>
    <row r="25" spans="1:51" x14ac:dyDescent="0.2">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4.2006089356439562E-3</v>
      </c>
      <c r="T25" s="27">
        <f t="shared" si="9"/>
        <v>4.2070061220778072E-3</v>
      </c>
      <c r="U25" s="27">
        <f t="shared" si="9"/>
        <v>4.2142364737084185E-3</v>
      </c>
      <c r="V25" s="27">
        <f t="shared" si="9"/>
        <v>4.2223929495889085E-3</v>
      </c>
      <c r="W25" s="27">
        <f t="shared" si="9"/>
        <v>4.2315683853948781E-3</v>
      </c>
      <c r="X25" s="27">
        <f t="shared" si="9"/>
        <v>4.2415714538507386E-3</v>
      </c>
      <c r="Y25" s="27">
        <f t="shared" si="9"/>
        <v>4.2476552380652311E-3</v>
      </c>
      <c r="Z25" s="27">
        <f t="shared" si="9"/>
        <v>4.2544504751607076E-3</v>
      </c>
      <c r="AA25" s="27">
        <f t="shared" si="9"/>
        <v>4.261907317949531E-3</v>
      </c>
      <c r="AB25" s="27">
        <f t="shared" si="9"/>
        <v>4.2701945946067351E-3</v>
      </c>
      <c r="AC25" s="27">
        <f t="shared" si="9"/>
        <v>4.2791086864050034E-3</v>
      </c>
      <c r="AD25" s="27">
        <f t="shared" si="9"/>
        <v>4.284933429353965E-3</v>
      </c>
      <c r="AE25" s="27">
        <f t="shared" si="9"/>
        <v>4.2914717293464286E-3</v>
      </c>
      <c r="AF25" s="27">
        <f t="shared" si="9"/>
        <v>4.2986191358556219E-3</v>
      </c>
      <c r="AG25" s="27">
        <f t="shared" si="9"/>
        <v>4.3064498762786759E-3</v>
      </c>
      <c r="AH25" s="27">
        <f t="shared" si="9"/>
        <v>4.3145123854725761E-3</v>
      </c>
      <c r="AI25" s="27">
        <f t="shared" si="9"/>
        <v>4.3194536970997174E-3</v>
      </c>
      <c r="AJ25" s="27">
        <f t="shared" si="9"/>
        <v>4.3249123596179112E-3</v>
      </c>
      <c r="AK25" s="27">
        <f t="shared" si="9"/>
        <v>4.3307492271215465E-3</v>
      </c>
      <c r="AL25" s="27">
        <f t="shared" si="9"/>
        <v>4.3370337419368866E-3</v>
      </c>
      <c r="AM25" s="27">
        <f t="shared" si="9"/>
        <v>4.3437091140456031E-3</v>
      </c>
      <c r="AN25" s="27">
        <f t="shared" si="9"/>
        <v>4.3475802854267562E-3</v>
      </c>
      <c r="AO25" s="27">
        <f t="shared" si="9"/>
        <v>4.3517442307677472E-3</v>
      </c>
      <c r="AP25" s="27">
        <f t="shared" si="9"/>
        <v>4.3562541656713728E-3</v>
      </c>
      <c r="AQ25" s="27">
        <f t="shared" si="9"/>
        <v>4.3611163160388556E-3</v>
      </c>
      <c r="AR25" s="27">
        <f t="shared" si="9"/>
        <v>4.3663272829722651E-3</v>
      </c>
      <c r="AS25" s="27">
        <f t="shared" si="9"/>
        <v>4.3686573676190608E-3</v>
      </c>
      <c r="AT25" s="27">
        <f t="shared" si="9"/>
        <v>4.3708261203089602E-3</v>
      </c>
      <c r="AU25" s="27">
        <f t="shared" si="9"/>
        <v>4.3732304030899213E-3</v>
      </c>
      <c r="AV25" s="27">
        <f t="shared" si="9"/>
        <v>4.3759087542775948E-3</v>
      </c>
      <c r="AW25" s="27">
        <f t="shared" si="9"/>
        <v>4.3788336021243655E-3</v>
      </c>
      <c r="AY25" s="79"/>
    </row>
    <row r="26" spans="1:51" x14ac:dyDescent="0.2">
      <c r="A26" s="95" t="str">
        <f t="shared" si="0"/>
        <v>FS Goats MMCH4</v>
      </c>
      <c r="B26" s="95" t="s">
        <v>1004</v>
      </c>
      <c r="C26" s="95" t="s">
        <v>1325</v>
      </c>
      <c r="D26" t="s">
        <v>15</v>
      </c>
      <c r="E26" t="s">
        <v>22</v>
      </c>
      <c r="F26" t="s">
        <v>19</v>
      </c>
      <c r="G26" t="s">
        <v>122</v>
      </c>
      <c r="H26" t="s">
        <v>1227</v>
      </c>
      <c r="I26" t="s">
        <v>121</v>
      </c>
      <c r="J26" t="s">
        <v>286</v>
      </c>
      <c r="K26" s="27">
        <f t="shared" si="7"/>
        <v>1.5789672763163298E-2</v>
      </c>
      <c r="L26" s="27">
        <f t="shared" si="9"/>
        <v>1.5830718290757027E-2</v>
      </c>
      <c r="M26" s="27">
        <f t="shared" si="9"/>
        <v>1.588733914557475E-2</v>
      </c>
      <c r="N26" s="27">
        <f t="shared" si="9"/>
        <v>1.5956318300360574E-2</v>
      </c>
      <c r="O26" s="27">
        <f t="shared" si="9"/>
        <v>1.6037557372574476E-2</v>
      </c>
      <c r="P26" s="27">
        <f t="shared" si="9"/>
        <v>1.6130561898613765E-2</v>
      </c>
      <c r="Q26" s="27">
        <f t="shared" si="9"/>
        <v>1.623065478441902E-2</v>
      </c>
      <c r="R26" s="27">
        <f t="shared" si="9"/>
        <v>1.6337439810579345E-2</v>
      </c>
      <c r="S26" s="27">
        <f t="shared" si="9"/>
        <v>1.643554333202487E-2</v>
      </c>
      <c r="T26" s="27">
        <f t="shared" si="9"/>
        <v>1.6483301762184554E-2</v>
      </c>
      <c r="U26" s="27">
        <f t="shared" si="9"/>
        <v>1.6534634024242746E-2</v>
      </c>
      <c r="V26" s="27">
        <f t="shared" si="9"/>
        <v>1.6590167866284391E-2</v>
      </c>
      <c r="W26" s="27">
        <f t="shared" si="9"/>
        <v>1.6650513034667372E-2</v>
      </c>
      <c r="X26" s="27">
        <f t="shared" si="9"/>
        <v>1.6714595783630822E-2</v>
      </c>
      <c r="Y26" s="27">
        <f t="shared" si="9"/>
        <v>1.675465761621437E-2</v>
      </c>
      <c r="Z26" s="27">
        <f t="shared" si="9"/>
        <v>1.6797993910304499E-2</v>
      </c>
      <c r="AA26" s="27">
        <f t="shared" si="9"/>
        <v>1.6844349786289844E-2</v>
      </c>
      <c r="AB26" s="27">
        <f t="shared" si="9"/>
        <v>1.6894740217603017E-2</v>
      </c>
      <c r="AC26" s="27">
        <f t="shared" si="9"/>
        <v>1.6948004409300596E-2</v>
      </c>
      <c r="AD26" s="27">
        <f t="shared" si="9"/>
        <v>1.6982631842965532E-2</v>
      </c>
      <c r="AE26" s="27">
        <f t="shared" si="9"/>
        <v>1.7020769407942386E-2</v>
      </c>
      <c r="AF26" s="27">
        <f t="shared" si="9"/>
        <v>1.706182735565186E-2</v>
      </c>
      <c r="AG26" s="27">
        <f t="shared" si="9"/>
        <v>1.7106247534338585E-2</v>
      </c>
      <c r="AH26" s="27">
        <f t="shared" si="9"/>
        <v>1.7151443283113514E-2</v>
      </c>
      <c r="AI26" s="27">
        <f t="shared" si="9"/>
        <v>1.7178196369350997E-2</v>
      </c>
      <c r="AJ26" s="27">
        <f t="shared" si="9"/>
        <v>1.7207475551738096E-2</v>
      </c>
      <c r="AK26" s="27">
        <f t="shared" si="9"/>
        <v>1.7238492794342867E-2</v>
      </c>
      <c r="AL26" s="27">
        <f t="shared" si="9"/>
        <v>1.7271654863993541E-2</v>
      </c>
      <c r="AM26" s="27">
        <f t="shared" si="9"/>
        <v>1.7306645282033659E-2</v>
      </c>
      <c r="AN26" s="27">
        <f t="shared" si="9"/>
        <v>1.7325303131063272E-2</v>
      </c>
      <c r="AO26" s="27">
        <f t="shared" si="9"/>
        <v>1.7345310027733502E-2</v>
      </c>
      <c r="AP26" s="27">
        <f t="shared" si="9"/>
        <v>1.73669746106416E-2</v>
      </c>
      <c r="AQ26" s="27">
        <f t="shared" si="9"/>
        <v>1.7390336782594662E-2</v>
      </c>
      <c r="AR26" s="27">
        <f t="shared" si="9"/>
        <v>1.7415381119938025E-2</v>
      </c>
      <c r="AS26" s="27">
        <f t="shared" si="9"/>
        <v>1.7423900612777786E-2</v>
      </c>
      <c r="AT26" s="27">
        <f t="shared" si="9"/>
        <v>1.7431295916305947E-2</v>
      </c>
      <c r="AU26" s="27">
        <f t="shared" si="9"/>
        <v>1.7439812218621446E-2</v>
      </c>
      <c r="AV26" s="27">
        <f t="shared" si="9"/>
        <v>1.7449669082955088E-2</v>
      </c>
      <c r="AW26" s="27">
        <f t="shared" si="9"/>
        <v>1.7460713883303017E-2</v>
      </c>
      <c r="AY26" s="79"/>
    </row>
    <row r="27" spans="1:51" x14ac:dyDescent="0.2">
      <c r="A27" s="95" t="str">
        <f t="shared" si="0"/>
        <v>FS Goats MMCH4</v>
      </c>
      <c r="B27" s="95" t="s">
        <v>1004</v>
      </c>
      <c r="C27" s="95" t="s">
        <v>1325</v>
      </c>
      <c r="D27" t="s">
        <v>15</v>
      </c>
      <c r="E27" t="s">
        <v>22</v>
      </c>
      <c r="F27" t="s">
        <v>19</v>
      </c>
      <c r="G27" t="s">
        <v>123</v>
      </c>
      <c r="H27" t="s">
        <v>1227</v>
      </c>
      <c r="I27" t="s">
        <v>121</v>
      </c>
      <c r="J27" t="s">
        <v>286</v>
      </c>
      <c r="K27" s="27">
        <f t="shared" si="7"/>
        <v>2.6592218800664796E-2</v>
      </c>
      <c r="L27" s="27">
        <f t="shared" si="9"/>
        <v>2.6661345733624896E-2</v>
      </c>
      <c r="M27" s="27">
        <f t="shared" si="9"/>
        <v>2.6756703894783639E-2</v>
      </c>
      <c r="N27" s="27">
        <f t="shared" si="9"/>
        <v>2.6872875319249701E-2</v>
      </c>
      <c r="O27" s="27">
        <f t="shared" si="9"/>
        <v>2.7009694315810229E-2</v>
      </c>
      <c r="P27" s="27">
        <f t="shared" si="9"/>
        <v>2.7166328132291764E-2</v>
      </c>
      <c r="Q27" s="27">
        <f t="shared" si="9"/>
        <v>2.7334899828466049E-2</v>
      </c>
      <c r="R27" s="27">
        <f t="shared" si="9"/>
        <v>2.7514742110372921E-2</v>
      </c>
      <c r="S27" s="27">
        <f t="shared" si="9"/>
        <v>2.7679963413342622E-2</v>
      </c>
      <c r="T27" s="27">
        <f t="shared" si="9"/>
        <v>2.7760395898767241E-2</v>
      </c>
      <c r="U27" s="27">
        <f t="shared" si="9"/>
        <v>2.7846847262557959E-2</v>
      </c>
      <c r="V27" s="27">
        <f t="shared" si="9"/>
        <v>2.7940374728298613E-2</v>
      </c>
      <c r="W27" s="27">
        <f t="shared" si="9"/>
        <v>2.8042005201917224E-2</v>
      </c>
      <c r="X27" s="27">
        <f t="shared" si="9"/>
        <v>2.8149930331674167E-2</v>
      </c>
      <c r="Y27" s="27">
        <f t="shared" si="9"/>
        <v>2.8217400572102636E-2</v>
      </c>
      <c r="Z27" s="27">
        <f t="shared" si="9"/>
        <v>2.8290385505466368E-2</v>
      </c>
      <c r="AA27" s="27">
        <f t="shared" si="9"/>
        <v>2.8368455875599344E-2</v>
      </c>
      <c r="AB27" s="27">
        <f t="shared" si="9"/>
        <v>2.8453321052670396E-2</v>
      </c>
      <c r="AC27" s="27">
        <f t="shared" si="9"/>
        <v>2.8543026080830765E-2</v>
      </c>
      <c r="AD27" s="27">
        <f t="shared" si="9"/>
        <v>2.8601343964065915E-2</v>
      </c>
      <c r="AE27" s="27">
        <f t="shared" si="9"/>
        <v>2.8665573444157176E-2</v>
      </c>
      <c r="AF27" s="27">
        <f t="shared" si="9"/>
        <v>2.87347212944878E-2</v>
      </c>
      <c r="AG27" s="27">
        <f t="shared" si="9"/>
        <v>2.8809531654937933E-2</v>
      </c>
      <c r="AH27" s="27">
        <f t="shared" si="9"/>
        <v>2.8885648193786462E-2</v>
      </c>
      <c r="AI27" s="27">
        <f t="shared" si="9"/>
        <v>2.8930704474147112E-2</v>
      </c>
      <c r="AJ27" s="27">
        <f t="shared" si="9"/>
        <v>2.8980015085964157E-2</v>
      </c>
      <c r="AK27" s="27">
        <f t="shared" si="9"/>
        <v>2.9032252856455738E-2</v>
      </c>
      <c r="AL27" s="27">
        <f t="shared" si="9"/>
        <v>2.9088102843042599E-2</v>
      </c>
      <c r="AM27" s="27">
        <f t="shared" si="9"/>
        <v>2.914703204736533E-2</v>
      </c>
      <c r="AN27" s="27">
        <f t="shared" si="9"/>
        <v>2.9178454712748408E-2</v>
      </c>
      <c r="AO27" s="27">
        <f t="shared" si="9"/>
        <v>2.9212149380254012E-2</v>
      </c>
      <c r="AP27" s="27">
        <f t="shared" si="9"/>
        <v>2.9248635844385265E-2</v>
      </c>
      <c r="AQ27" s="27">
        <f t="shared" si="9"/>
        <v>2.9287981307559392E-2</v>
      </c>
      <c r="AR27" s="27">
        <f t="shared" si="9"/>
        <v>2.9330159793987943E-2</v>
      </c>
      <c r="AS27" s="27">
        <f t="shared" si="9"/>
        <v>2.9344507920200803E-2</v>
      </c>
      <c r="AT27" s="27">
        <f t="shared" si="9"/>
        <v>2.9356962740035762E-2</v>
      </c>
      <c r="AU27" s="27">
        <f t="shared" si="9"/>
        <v>2.9371305492918821E-2</v>
      </c>
      <c r="AV27" s="27">
        <f t="shared" si="9"/>
        <v>2.9387905956841046E-2</v>
      </c>
      <c r="AW27" s="27">
        <f t="shared" si="9"/>
        <v>2.9406507086317708E-2</v>
      </c>
      <c r="AY27" s="79"/>
    </row>
    <row r="28" spans="1:51" x14ac:dyDescent="0.2">
      <c r="A28" s="95" t="str">
        <f t="shared" si="0"/>
        <v>FS Horses MMCH4</v>
      </c>
      <c r="B28" s="95" t="s">
        <v>1004</v>
      </c>
      <c r="C28" s="95" t="s">
        <v>1326</v>
      </c>
      <c r="D28" t="s">
        <v>15</v>
      </c>
      <c r="E28" t="s">
        <v>22</v>
      </c>
      <c r="F28" t="s">
        <v>20</v>
      </c>
      <c r="G28" t="s">
        <v>3</v>
      </c>
      <c r="H28" t="s">
        <v>1227</v>
      </c>
      <c r="I28" t="s">
        <v>121</v>
      </c>
      <c r="J28" t="s">
        <v>286</v>
      </c>
      <c r="K28" s="27">
        <f t="shared" si="7"/>
        <v>4.1336182129460544E-3</v>
      </c>
      <c r="L28" s="27">
        <f t="shared" si="9"/>
        <v>4.1536453250924079E-3</v>
      </c>
      <c r="M28" s="27">
        <f t="shared" si="9"/>
        <v>4.1840370126470534E-3</v>
      </c>
      <c r="N28" s="27">
        <f t="shared" si="9"/>
        <v>4.1905340987284569E-3</v>
      </c>
      <c r="O28" s="27">
        <f t="shared" si="9"/>
        <v>4.1812329246154597E-3</v>
      </c>
      <c r="P28" s="27">
        <f t="shared" si="9"/>
        <v>4.1564738854214548E-3</v>
      </c>
      <c r="Q28" s="27">
        <f t="shared" si="9"/>
        <v>4.1427460620707141E-3</v>
      </c>
      <c r="R28" s="27">
        <f t="shared" si="9"/>
        <v>4.1304087921358321E-3</v>
      </c>
      <c r="S28" s="27">
        <f t="shared" si="9"/>
        <v>3.9117464794758833E-3</v>
      </c>
      <c r="T28" s="27">
        <f t="shared" si="9"/>
        <v>3.9662100660725645E-3</v>
      </c>
      <c r="U28" s="27">
        <f t="shared" si="9"/>
        <v>4.0029759542347092E-3</v>
      </c>
      <c r="V28" s="27">
        <f t="shared" si="9"/>
        <v>4.034929903088018E-3</v>
      </c>
      <c r="W28" s="27">
        <f t="shared" si="9"/>
        <v>4.0740603707179208E-3</v>
      </c>
      <c r="X28" s="27">
        <f t="shared" si="9"/>
        <v>4.1088191524981379E-3</v>
      </c>
      <c r="Y28" s="27">
        <f t="shared" si="9"/>
        <v>4.1408340108354943E-3</v>
      </c>
      <c r="Z28" s="27">
        <f t="shared" si="9"/>
        <v>4.1700941792835473E-3</v>
      </c>
      <c r="AA28" s="27">
        <f t="shared" si="9"/>
        <v>4.1955947055446379E-3</v>
      </c>
      <c r="AB28" s="27">
        <f t="shared" si="9"/>
        <v>4.2332253987930647E-3</v>
      </c>
      <c r="AC28" s="27">
        <f t="shared" si="9"/>
        <v>4.2692111275798939E-3</v>
      </c>
      <c r="AD28" s="27">
        <f t="shared" si="9"/>
        <v>4.3131543062035933E-3</v>
      </c>
      <c r="AE28" s="27">
        <f t="shared" si="9"/>
        <v>4.3689426306597803E-3</v>
      </c>
      <c r="AF28" s="27">
        <f t="shared" si="9"/>
        <v>4.4301694396255923E-3</v>
      </c>
      <c r="AG28" s="27">
        <f t="shared" si="9"/>
        <v>4.5040980436008553E-3</v>
      </c>
      <c r="AH28" s="27">
        <f t="shared" si="9"/>
        <v>4.5574968938879535E-3</v>
      </c>
      <c r="AI28" s="27">
        <f t="shared" si="9"/>
        <v>4.6111863100883922E-3</v>
      </c>
      <c r="AJ28" s="27">
        <f t="shared" si="9"/>
        <v>4.6712172844787037E-3</v>
      </c>
      <c r="AK28" s="27">
        <f t="shared" si="9"/>
        <v>4.7281971529271986E-3</v>
      </c>
      <c r="AL28" s="27">
        <f t="shared" si="9"/>
        <v>4.7885111366995289E-3</v>
      </c>
      <c r="AM28" s="27">
        <f t="shared" si="9"/>
        <v>4.8488762620845097E-3</v>
      </c>
      <c r="AN28" s="27">
        <f t="shared" si="9"/>
        <v>4.9227254913748455E-3</v>
      </c>
      <c r="AO28" s="27">
        <f t="shared" si="9"/>
        <v>4.9927458490609099E-3</v>
      </c>
      <c r="AP28" s="27">
        <f t="shared" si="9"/>
        <v>5.0638022559314124E-3</v>
      </c>
      <c r="AQ28" s="27">
        <f t="shared" si="9"/>
        <v>5.1371515240319849E-3</v>
      </c>
      <c r="AR28" s="27">
        <f t="shared" si="9"/>
        <v>5.2132674563810976E-3</v>
      </c>
      <c r="AS28" s="27">
        <f t="shared" si="9"/>
        <v>5.3054774767517902E-3</v>
      </c>
      <c r="AT28" s="27">
        <f t="shared" si="9"/>
        <v>5.3653290852350754E-3</v>
      </c>
      <c r="AU28" s="27">
        <f t="shared" si="9"/>
        <v>5.4229477307266892E-3</v>
      </c>
      <c r="AV28" s="27">
        <f t="shared" si="9"/>
        <v>5.4817978053370176E-3</v>
      </c>
      <c r="AW28" s="27">
        <f t="shared" si="9"/>
        <v>5.5404187134472614E-3</v>
      </c>
      <c r="AY28" s="79"/>
    </row>
    <row r="29" spans="1:51" x14ac:dyDescent="0.2">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2">
      <c r="A30" s="95" t="str">
        <f t="shared" si="0"/>
        <v>FS Swine MMCH4</v>
      </c>
      <c r="B30" s="95" t="s">
        <v>1004</v>
      </c>
      <c r="C30" s="95" t="s">
        <v>1230</v>
      </c>
      <c r="D30" t="s">
        <v>15</v>
      </c>
      <c r="E30" t="s">
        <v>22</v>
      </c>
      <c r="F30" t="s">
        <v>21</v>
      </c>
      <c r="G30" t="s">
        <v>122</v>
      </c>
      <c r="H30" t="s">
        <v>1227</v>
      </c>
      <c r="I30" t="s">
        <v>121</v>
      </c>
      <c r="J30" t="s">
        <v>286</v>
      </c>
      <c r="K30" s="27">
        <f t="shared" si="7"/>
        <v>23.279067868377396</v>
      </c>
      <c r="L30" s="27">
        <f t="shared" si="9"/>
        <v>23.152530650802607</v>
      </c>
      <c r="M30" s="27">
        <f t="shared" si="9"/>
        <v>23.162916433064311</v>
      </c>
      <c r="N30" s="27">
        <f t="shared" si="9"/>
        <v>22.950263110497293</v>
      </c>
      <c r="O30" s="27">
        <f t="shared" si="9"/>
        <v>22.602951186820608</v>
      </c>
      <c r="P30" s="27">
        <f t="shared" si="9"/>
        <v>22.126532811374954</v>
      </c>
      <c r="Q30" s="27">
        <f t="shared" si="9"/>
        <v>21.780600237355969</v>
      </c>
      <c r="R30" s="27">
        <f t="shared" si="9"/>
        <v>21.465278056857684</v>
      </c>
      <c r="S30" s="27">
        <f t="shared" si="9"/>
        <v>19.125432200749973</v>
      </c>
      <c r="T30" s="27">
        <f t="shared" si="9"/>
        <v>19.424042125834905</v>
      </c>
      <c r="U30" s="27">
        <f t="shared" si="9"/>
        <v>19.550864503199985</v>
      </c>
      <c r="V30" s="27">
        <f t="shared" si="9"/>
        <v>19.634386542439195</v>
      </c>
      <c r="W30" s="27">
        <f t="shared" si="9"/>
        <v>19.789042358153409</v>
      </c>
      <c r="X30" s="27">
        <f t="shared" si="9"/>
        <v>19.904231049540165</v>
      </c>
      <c r="Y30" s="27">
        <f t="shared" si="9"/>
        <v>19.9646517912891</v>
      </c>
      <c r="Z30" s="27">
        <f t="shared" si="9"/>
        <v>20.001671240877961</v>
      </c>
      <c r="AA30" s="27">
        <f t="shared" si="9"/>
        <v>20.006692976737387</v>
      </c>
      <c r="AB30" s="27">
        <f t="shared" si="9"/>
        <v>20.122871452289811</v>
      </c>
      <c r="AC30" s="27">
        <f t="shared" si="9"/>
        <v>20.224352633636123</v>
      </c>
      <c r="AD30" s="27">
        <f t="shared" si="9"/>
        <v>20.37036557025834</v>
      </c>
      <c r="AE30" s="27">
        <f t="shared" si="9"/>
        <v>20.617009015074299</v>
      </c>
      <c r="AF30" s="27">
        <f t="shared" ref="L30:AW38" si="10">AF1405</f>
        <v>20.905842210058196</v>
      </c>
      <c r="AG30" s="27">
        <f t="shared" si="10"/>
        <v>21.296898968491135</v>
      </c>
      <c r="AH30" s="27">
        <f t="shared" si="10"/>
        <v>21.508008395464572</v>
      </c>
      <c r="AI30" s="27">
        <f t="shared" si="10"/>
        <v>21.692391103319341</v>
      </c>
      <c r="AJ30" s="27">
        <f t="shared" si="10"/>
        <v>21.924107330813051</v>
      </c>
      <c r="AK30" s="27">
        <f t="shared" si="10"/>
        <v>22.125286903757015</v>
      </c>
      <c r="AL30" s="27">
        <f t="shared" si="10"/>
        <v>22.347890019958896</v>
      </c>
      <c r="AM30" s="27">
        <f t="shared" si="10"/>
        <v>22.565021886121382</v>
      </c>
      <c r="AN30" s="27">
        <f t="shared" si="10"/>
        <v>22.857354238812295</v>
      </c>
      <c r="AO30" s="27">
        <f t="shared" si="10"/>
        <v>23.111205883073605</v>
      </c>
      <c r="AP30" s="27">
        <f t="shared" si="10"/>
        <v>23.364831927228202</v>
      </c>
      <c r="AQ30" s="27">
        <f t="shared" si="10"/>
        <v>23.627465701341702</v>
      </c>
      <c r="AR30" s="27">
        <f t="shared" si="10"/>
        <v>23.902059465195961</v>
      </c>
      <c r="AS30" s="27">
        <f t="shared" si="10"/>
        <v>24.259909282475949</v>
      </c>
      <c r="AT30" s="27">
        <f t="shared" si="10"/>
        <v>24.370732341378943</v>
      </c>
      <c r="AU30" s="27">
        <f t="shared" si="10"/>
        <v>24.459248352072496</v>
      </c>
      <c r="AV30" s="27">
        <f t="shared" si="10"/>
        <v>24.550534004397402</v>
      </c>
      <c r="AW30" s="27">
        <f t="shared" si="10"/>
        <v>24.634079749927345</v>
      </c>
      <c r="AY30" s="79"/>
    </row>
    <row r="31" spans="1:51" x14ac:dyDescent="0.2">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7.7508449141861155E-2</v>
      </c>
      <c r="M31" s="27">
        <f t="shared" si="10"/>
        <v>7.7543217949140625E-2</v>
      </c>
      <c r="N31" s="27">
        <f t="shared" si="10"/>
        <v>7.6831311787104617E-2</v>
      </c>
      <c r="O31" s="27">
        <f t="shared" si="10"/>
        <v>7.5668604825232064E-2</v>
      </c>
      <c r="P31" s="27">
        <f t="shared" si="10"/>
        <v>7.4073684167079407E-2</v>
      </c>
      <c r="Q31" s="27">
        <f t="shared" si="10"/>
        <v>7.291559489708703E-2</v>
      </c>
      <c r="R31" s="27">
        <f t="shared" si="10"/>
        <v>7.1859980996426695E-2</v>
      </c>
      <c r="S31" s="27">
        <f t="shared" si="10"/>
        <v>6.4026806028504468E-2</v>
      </c>
      <c r="T31" s="27">
        <f t="shared" si="10"/>
        <v>6.5026471790350593E-2</v>
      </c>
      <c r="U31" s="27">
        <f t="shared" si="10"/>
        <v>6.5451039019493229E-2</v>
      </c>
      <c r="V31" s="27">
        <f t="shared" si="10"/>
        <v>6.5730648355864951E-2</v>
      </c>
      <c r="W31" s="27">
        <f t="shared" si="10"/>
        <v>6.6248394454879955E-2</v>
      </c>
      <c r="X31" s="27">
        <f t="shared" si="10"/>
        <v>6.6634015230540536E-2</v>
      </c>
      <c r="Y31" s="27">
        <f t="shared" si="10"/>
        <v>6.6836287632620187E-2</v>
      </c>
      <c r="Z31" s="27">
        <f t="shared" si="10"/>
        <v>6.696021879889287E-2</v>
      </c>
      <c r="AA31" s="27">
        <f t="shared" si="10"/>
        <v>6.6977030220690986E-2</v>
      </c>
      <c r="AB31" s="27">
        <f t="shared" si="10"/>
        <v>6.7365964527680941E-2</v>
      </c>
      <c r="AC31" s="27">
        <f t="shared" si="10"/>
        <v>6.77056962443503E-2</v>
      </c>
      <c r="AD31" s="27">
        <f t="shared" si="10"/>
        <v>6.8194508307399856E-2</v>
      </c>
      <c r="AE31" s="27">
        <f t="shared" si="10"/>
        <v>6.9020204262067689E-2</v>
      </c>
      <c r="AF31" s="27">
        <f t="shared" si="10"/>
        <v>6.9987140159553041E-2</v>
      </c>
      <c r="AG31" s="27">
        <f t="shared" si="10"/>
        <v>7.1296293069432901E-2</v>
      </c>
      <c r="AH31" s="27">
        <f t="shared" si="10"/>
        <v>7.2003030684025804E-2</v>
      </c>
      <c r="AI31" s="27">
        <f t="shared" si="10"/>
        <v>7.262029442724019E-2</v>
      </c>
      <c r="AJ31" s="27">
        <f t="shared" si="10"/>
        <v>7.339601807079868E-2</v>
      </c>
      <c r="AK31" s="27">
        <f t="shared" si="10"/>
        <v>7.4069513203278647E-2</v>
      </c>
      <c r="AL31" s="27">
        <f t="shared" si="10"/>
        <v>7.4814728599866626E-2</v>
      </c>
      <c r="AM31" s="27">
        <f t="shared" si="10"/>
        <v>7.5541627722012866E-2</v>
      </c>
      <c r="AN31" s="27">
        <f t="shared" si="10"/>
        <v>7.6520277858916103E-2</v>
      </c>
      <c r="AO31" s="27">
        <f t="shared" si="10"/>
        <v>7.7370104927739061E-2</v>
      </c>
      <c r="AP31" s="27">
        <f t="shared" si="10"/>
        <v>7.821917674804682E-2</v>
      </c>
      <c r="AQ31" s="27">
        <f t="shared" si="10"/>
        <v>7.9098404026949301E-2</v>
      </c>
      <c r="AR31" s="27">
        <f t="shared" si="10"/>
        <v>8.0017670136618924E-2</v>
      </c>
      <c r="AS31" s="27">
        <f t="shared" si="10"/>
        <v>8.1215655133654599E-2</v>
      </c>
      <c r="AT31" s="27">
        <f t="shared" si="10"/>
        <v>8.1586660945256045E-2</v>
      </c>
      <c r="AU31" s="27">
        <f t="shared" si="10"/>
        <v>8.1882988755660815E-2</v>
      </c>
      <c r="AV31" s="27">
        <f t="shared" si="10"/>
        <v>8.2188588581758509E-2</v>
      </c>
      <c r="AW31" s="27">
        <f t="shared" si="10"/>
        <v>8.2468277280419264E-2</v>
      </c>
      <c r="AY31" s="79"/>
    </row>
    <row r="32" spans="1:51" x14ac:dyDescent="0.2">
      <c r="A32" s="95" t="str">
        <f t="shared" si="0"/>
        <v>FS Poultry MMCH4</v>
      </c>
      <c r="B32" s="95" t="s">
        <v>1004</v>
      </c>
      <c r="C32" s="95" t="s">
        <v>1231</v>
      </c>
      <c r="D32" t="s">
        <v>15</v>
      </c>
      <c r="E32" t="s">
        <v>22</v>
      </c>
      <c r="F32" t="s">
        <v>28</v>
      </c>
      <c r="G32" t="s">
        <v>131</v>
      </c>
      <c r="H32" t="s">
        <v>1227</v>
      </c>
      <c r="I32" t="s">
        <v>121</v>
      </c>
      <c r="J32" t="s">
        <v>286</v>
      </c>
      <c r="K32" s="27">
        <f t="shared" si="7"/>
        <v>0.55586528215230246</v>
      </c>
      <c r="L32" s="27">
        <f t="shared" si="10"/>
        <v>0.56716712532642333</v>
      </c>
      <c r="M32" s="27">
        <f t="shared" si="10"/>
        <v>0.58037790885594753</v>
      </c>
      <c r="N32" s="27">
        <f t="shared" si="10"/>
        <v>0.5905201523722613</v>
      </c>
      <c r="O32" s="27">
        <f t="shared" si="10"/>
        <v>0.59866182774590171</v>
      </c>
      <c r="P32" s="27">
        <f t="shared" si="10"/>
        <v>0.60475451589519702</v>
      </c>
      <c r="Q32" s="27">
        <f t="shared" si="10"/>
        <v>0.61256702388185857</v>
      </c>
      <c r="R32" s="27">
        <f t="shared" si="10"/>
        <v>0.6206898695388976</v>
      </c>
      <c r="S32" s="27">
        <f t="shared" si="10"/>
        <v>0.59586205354866417</v>
      </c>
      <c r="T32" s="27">
        <f t="shared" si="10"/>
        <v>0.61166609228342095</v>
      </c>
      <c r="U32" s="27">
        <f t="shared" si="10"/>
        <v>0.62485299056124621</v>
      </c>
      <c r="V32" s="27">
        <f t="shared" si="10"/>
        <v>0.63746316411560699</v>
      </c>
      <c r="W32" s="27">
        <f t="shared" si="10"/>
        <v>0.65148292230650084</v>
      </c>
      <c r="X32" s="27">
        <f t="shared" si="10"/>
        <v>0.66499795751984347</v>
      </c>
      <c r="Y32" s="27">
        <f t="shared" si="10"/>
        <v>0.67713280709524293</v>
      </c>
      <c r="Z32" s="27">
        <f t="shared" si="10"/>
        <v>0.68896443146114195</v>
      </c>
      <c r="AA32" s="27">
        <f t="shared" si="10"/>
        <v>0.70030539755417098</v>
      </c>
      <c r="AB32" s="27">
        <f t="shared" si="10"/>
        <v>0.71394199916813561</v>
      </c>
      <c r="AC32" s="27">
        <f t="shared" si="10"/>
        <v>0.72748510796814947</v>
      </c>
      <c r="AD32" s="27">
        <f t="shared" si="10"/>
        <v>0.7416801333370433</v>
      </c>
      <c r="AE32" s="27">
        <f t="shared" si="10"/>
        <v>0.75821054657652254</v>
      </c>
      <c r="AF32" s="27">
        <f t="shared" si="10"/>
        <v>0.77596254129215869</v>
      </c>
      <c r="AG32" s="27">
        <f t="shared" si="10"/>
        <v>0.7963033454053372</v>
      </c>
      <c r="AH32" s="27">
        <f t="shared" si="10"/>
        <v>0.81311713883147885</v>
      </c>
      <c r="AI32" s="27">
        <f t="shared" si="10"/>
        <v>0.82920457779762036</v>
      </c>
      <c r="AJ32" s="27">
        <f t="shared" si="10"/>
        <v>0.8466799763081283</v>
      </c>
      <c r="AK32" s="27">
        <f t="shared" si="10"/>
        <v>0.86378648630356591</v>
      </c>
      <c r="AL32" s="27">
        <f t="shared" si="10"/>
        <v>0.8817359545427027</v>
      </c>
      <c r="AM32" s="27">
        <f t="shared" si="10"/>
        <v>0.89991137533731791</v>
      </c>
      <c r="AN32" s="27">
        <f t="shared" si="10"/>
        <v>0.91990012979739244</v>
      </c>
      <c r="AO32" s="27">
        <f t="shared" si="10"/>
        <v>0.93935460788893066</v>
      </c>
      <c r="AP32" s="27">
        <f t="shared" si="10"/>
        <v>0.95921858565138518</v>
      </c>
      <c r="AQ32" s="27">
        <f t="shared" si="10"/>
        <v>0.97974614943757377</v>
      </c>
      <c r="AR32" s="27">
        <f t="shared" si="10"/>
        <v>1.0010418670441812</v>
      </c>
      <c r="AS32" s="27">
        <f t="shared" si="10"/>
        <v>1.024648468705007</v>
      </c>
      <c r="AT32" s="27">
        <f t="shared" si="10"/>
        <v>1.0419667302828659</v>
      </c>
      <c r="AU32" s="27">
        <f t="shared" si="10"/>
        <v>1.0589838516681485</v>
      </c>
      <c r="AV32" s="27">
        <f t="shared" si="10"/>
        <v>1.0763973931983826</v>
      </c>
      <c r="AW32" s="27">
        <f t="shared" si="10"/>
        <v>1.093914171709288</v>
      </c>
      <c r="AY32" s="79"/>
    </row>
    <row r="33" spans="1:51" x14ac:dyDescent="0.2">
      <c r="A33" s="95" t="str">
        <f t="shared" si="0"/>
        <v>FS Poultry MMCH4</v>
      </c>
      <c r="B33" s="95" t="s">
        <v>1004</v>
      </c>
      <c r="C33" s="95" t="s">
        <v>1231</v>
      </c>
      <c r="D33" t="s">
        <v>15</v>
      </c>
      <c r="E33" t="s">
        <v>22</v>
      </c>
      <c r="F33" t="s">
        <v>28</v>
      </c>
      <c r="G33" t="s">
        <v>132</v>
      </c>
      <c r="H33" t="s">
        <v>1227</v>
      </c>
      <c r="I33" t="s">
        <v>121</v>
      </c>
      <c r="J33" t="s">
        <v>286</v>
      </c>
      <c r="K33" s="27">
        <f t="shared" si="7"/>
        <v>2.2100196981344111</v>
      </c>
      <c r="L33" s="27">
        <f t="shared" si="10"/>
        <v>2.239121707445149</v>
      </c>
      <c r="M33" s="27">
        <f t="shared" si="10"/>
        <v>2.2858678822724823</v>
      </c>
      <c r="N33" s="27">
        <f t="shared" si="10"/>
        <v>2.2992900748078591</v>
      </c>
      <c r="O33" s="27">
        <f t="shared" si="10"/>
        <v>2.2910596881616572</v>
      </c>
      <c r="P33" s="27">
        <f t="shared" si="10"/>
        <v>2.2612642885898917</v>
      </c>
      <c r="Q33" s="27">
        <f t="shared" si="10"/>
        <v>2.2487211059946204</v>
      </c>
      <c r="R33" s="27">
        <f t="shared" si="10"/>
        <v>2.2390235702415171</v>
      </c>
      <c r="S33" s="27">
        <f t="shared" si="10"/>
        <v>1.9141242898278399</v>
      </c>
      <c r="T33" s="27">
        <f t="shared" si="10"/>
        <v>1.9984899724616512</v>
      </c>
      <c r="U33" s="27">
        <f t="shared" si="10"/>
        <v>2.0566281324498989</v>
      </c>
      <c r="V33" s="27">
        <f t="shared" si="10"/>
        <v>2.1082245232127885</v>
      </c>
      <c r="W33" s="27">
        <f t="shared" si="10"/>
        <v>2.1717516772979577</v>
      </c>
      <c r="X33" s="27">
        <f t="shared" si="10"/>
        <v>2.2294138068766221</v>
      </c>
      <c r="Y33" s="27">
        <f t="shared" si="10"/>
        <v>2.2803087574477758</v>
      </c>
      <c r="Z33" s="27">
        <f t="shared" si="10"/>
        <v>2.3275959555736767</v>
      </c>
      <c r="AA33" s="27">
        <f t="shared" si="10"/>
        <v>2.3696866416984408</v>
      </c>
      <c r="AB33" s="27">
        <f t="shared" si="10"/>
        <v>2.4313567650804138</v>
      </c>
      <c r="AC33" s="27">
        <f t="shared" si="10"/>
        <v>2.4911768272254537</v>
      </c>
      <c r="AD33" s="27">
        <f t="shared" si="10"/>
        <v>2.5611651092780447</v>
      </c>
      <c r="AE33" s="27">
        <f t="shared" si="10"/>
        <v>2.6503466863676968</v>
      </c>
      <c r="AF33" s="27">
        <f t="shared" si="10"/>
        <v>2.7487492134063758</v>
      </c>
      <c r="AG33" s="27">
        <f t="shared" si="10"/>
        <v>2.8678706867563997</v>
      </c>
      <c r="AH33" s="27">
        <f t="shared" si="10"/>
        <v>2.9554288288988109</v>
      </c>
      <c r="AI33" s="27">
        <f t="shared" si="10"/>
        <v>3.0407668489306769</v>
      </c>
      <c r="AJ33" s="27">
        <f t="shared" si="10"/>
        <v>3.1366479798785045</v>
      </c>
      <c r="AK33" s="27">
        <f t="shared" si="10"/>
        <v>3.228263044676527</v>
      </c>
      <c r="AL33" s="27">
        <f t="shared" si="10"/>
        <v>3.3257213723703618</v>
      </c>
      <c r="AM33" s="27">
        <f t="shared" si="10"/>
        <v>3.4238536012880374</v>
      </c>
      <c r="AN33" s="27">
        <f t="shared" si="10"/>
        <v>3.5403209104075128</v>
      </c>
      <c r="AO33" s="27">
        <f t="shared" si="10"/>
        <v>3.6511369162882397</v>
      </c>
      <c r="AP33" s="27">
        <f t="shared" si="10"/>
        <v>3.7640318136014432</v>
      </c>
      <c r="AQ33" s="27">
        <f t="shared" si="10"/>
        <v>3.8810201496437728</v>
      </c>
      <c r="AR33" s="27">
        <f t="shared" si="10"/>
        <v>4.0028778541582692</v>
      </c>
      <c r="AS33" s="27">
        <f t="shared" si="10"/>
        <v>4.1464729012292834</v>
      </c>
      <c r="AT33" s="27">
        <f t="shared" si="10"/>
        <v>4.2389508928341062</v>
      </c>
      <c r="AU33" s="27">
        <f t="shared" si="10"/>
        <v>4.3281678617131494</v>
      </c>
      <c r="AV33" s="27">
        <f t="shared" si="10"/>
        <v>4.4196303430169497</v>
      </c>
      <c r="AW33" s="27">
        <f t="shared" si="10"/>
        <v>4.5110296667808401</v>
      </c>
      <c r="AY33" s="79"/>
    </row>
    <row r="34" spans="1:51" x14ac:dyDescent="0.2">
      <c r="A34" s="95" t="str">
        <f t="shared" si="0"/>
        <v>FS Poultry MMCH4</v>
      </c>
      <c r="B34" s="95" t="s">
        <v>1004</v>
      </c>
      <c r="C34" s="95" t="s">
        <v>1231</v>
      </c>
      <c r="D34" t="s">
        <v>15</v>
      </c>
      <c r="E34" t="s">
        <v>22</v>
      </c>
      <c r="F34" t="s">
        <v>28</v>
      </c>
      <c r="G34" t="s">
        <v>134</v>
      </c>
      <c r="H34" t="s">
        <v>1227</v>
      </c>
      <c r="I34" t="s">
        <v>121</v>
      </c>
      <c r="J34" t="s">
        <v>286</v>
      </c>
      <c r="K34" s="27">
        <f t="shared" si="7"/>
        <v>2.3161053423012622E-2</v>
      </c>
      <c r="L34" s="27">
        <f t="shared" si="10"/>
        <v>2.3631963555267661E-2</v>
      </c>
      <c r="M34" s="27">
        <f t="shared" si="10"/>
        <v>2.4182412868997839E-2</v>
      </c>
      <c r="N34" s="27">
        <f t="shared" si="10"/>
        <v>2.460500634884424E-2</v>
      </c>
      <c r="O34" s="27">
        <f t="shared" si="10"/>
        <v>2.4944242822745932E-2</v>
      </c>
      <c r="P34" s="27">
        <f t="shared" si="10"/>
        <v>2.5198104828966564E-2</v>
      </c>
      <c r="Q34" s="27">
        <f t="shared" si="10"/>
        <v>2.5523625995077459E-2</v>
      </c>
      <c r="R34" s="27">
        <f t="shared" si="10"/>
        <v>2.5862077897454098E-2</v>
      </c>
      <c r="S34" s="27">
        <f t="shared" si="10"/>
        <v>2.4827585564527698E-2</v>
      </c>
      <c r="T34" s="27">
        <f t="shared" si="10"/>
        <v>2.5486087178475895E-2</v>
      </c>
      <c r="U34" s="27">
        <f t="shared" si="10"/>
        <v>2.6035541273385285E-2</v>
      </c>
      <c r="V34" s="27">
        <f t="shared" si="10"/>
        <v>2.6560965171483649E-2</v>
      </c>
      <c r="W34" s="27">
        <f t="shared" si="10"/>
        <v>2.7145121762770889E-2</v>
      </c>
      <c r="X34" s="27">
        <f t="shared" si="10"/>
        <v>2.7708248229993501E-2</v>
      </c>
      <c r="Y34" s="27">
        <f t="shared" si="10"/>
        <v>2.8213866962301819E-2</v>
      </c>
      <c r="Z34" s="27">
        <f t="shared" si="10"/>
        <v>2.8706851310880941E-2</v>
      </c>
      <c r="AA34" s="27">
        <f t="shared" si="10"/>
        <v>2.9179391564757153E-2</v>
      </c>
      <c r="AB34" s="27">
        <f t="shared" si="10"/>
        <v>2.9747583298672345E-2</v>
      </c>
      <c r="AC34" s="27">
        <f t="shared" si="10"/>
        <v>3.0311879498672922E-2</v>
      </c>
      <c r="AD34" s="27">
        <f t="shared" si="10"/>
        <v>3.0903338889043501E-2</v>
      </c>
      <c r="AE34" s="27">
        <f t="shared" si="10"/>
        <v>3.1592106107355133E-2</v>
      </c>
      <c r="AF34" s="27">
        <f t="shared" si="10"/>
        <v>3.2331772553839976E-2</v>
      </c>
      <c r="AG34" s="27">
        <f t="shared" si="10"/>
        <v>3.3179306058555749E-2</v>
      </c>
      <c r="AH34" s="27">
        <f t="shared" si="10"/>
        <v>3.3879880784644982E-2</v>
      </c>
      <c r="AI34" s="27">
        <f t="shared" si="10"/>
        <v>3.4550190741567552E-2</v>
      </c>
      <c r="AJ34" s="27">
        <f t="shared" si="10"/>
        <v>3.5278332346172038E-2</v>
      </c>
      <c r="AK34" s="27">
        <f t="shared" si="10"/>
        <v>3.5991103595981948E-2</v>
      </c>
      <c r="AL34" s="27">
        <f t="shared" si="10"/>
        <v>3.6738998105945983E-2</v>
      </c>
      <c r="AM34" s="27">
        <f t="shared" si="10"/>
        <v>3.7496307305721614E-2</v>
      </c>
      <c r="AN34" s="27">
        <f t="shared" si="10"/>
        <v>3.8329172074891393E-2</v>
      </c>
      <c r="AO34" s="27">
        <f t="shared" si="10"/>
        <v>3.9139775328705488E-2</v>
      </c>
      <c r="AP34" s="27">
        <f t="shared" si="10"/>
        <v>3.9967441068807751E-2</v>
      </c>
      <c r="AQ34" s="27">
        <f t="shared" si="10"/>
        <v>4.0822756226565615E-2</v>
      </c>
      <c r="AR34" s="27">
        <f t="shared" si="10"/>
        <v>4.1710077793507598E-2</v>
      </c>
      <c r="AS34" s="27">
        <f t="shared" si="10"/>
        <v>4.2693686196041997E-2</v>
      </c>
      <c r="AT34" s="27">
        <f t="shared" si="10"/>
        <v>4.3415280428452788E-2</v>
      </c>
      <c r="AU34" s="27">
        <f t="shared" si="10"/>
        <v>4.4124327152839558E-2</v>
      </c>
      <c r="AV34" s="27">
        <f t="shared" si="10"/>
        <v>4.4849891383265984E-2</v>
      </c>
      <c r="AW34" s="27">
        <f t="shared" si="10"/>
        <v>4.5579757154553702E-2</v>
      </c>
      <c r="AY34" s="79"/>
    </row>
    <row r="35" spans="1:51" x14ac:dyDescent="0.2">
      <c r="A35" s="95" t="str">
        <f t="shared" si="0"/>
        <v>FS Poultry MMCH4</v>
      </c>
      <c r="B35" s="95" t="s">
        <v>1004</v>
      </c>
      <c r="C35" s="95" t="s">
        <v>1231</v>
      </c>
      <c r="D35" t="s">
        <v>15</v>
      </c>
      <c r="E35" t="s">
        <v>22</v>
      </c>
      <c r="F35" t="s">
        <v>28</v>
      </c>
      <c r="G35" t="s">
        <v>133</v>
      </c>
      <c r="H35" t="s">
        <v>1227</v>
      </c>
      <c r="I35" t="s">
        <v>121</v>
      </c>
      <c r="J35" t="s">
        <v>286</v>
      </c>
      <c r="K35" s="27">
        <f t="shared" si="7"/>
        <v>9.2084154088933862E-2</v>
      </c>
      <c r="L35" s="27">
        <f t="shared" si="10"/>
        <v>9.3296737810214622E-2</v>
      </c>
      <c r="M35" s="27">
        <f t="shared" si="10"/>
        <v>9.5244495094686854E-2</v>
      </c>
      <c r="N35" s="27">
        <f t="shared" si="10"/>
        <v>9.5803753116994225E-2</v>
      </c>
      <c r="O35" s="27">
        <f t="shared" si="10"/>
        <v>9.5460820340069155E-2</v>
      </c>
      <c r="P35" s="27">
        <f t="shared" si="10"/>
        <v>9.4219345357912251E-2</v>
      </c>
      <c r="Q35" s="27">
        <f t="shared" si="10"/>
        <v>9.3696712749775937E-2</v>
      </c>
      <c r="R35" s="27">
        <f t="shared" si="10"/>
        <v>9.3292648760063296E-2</v>
      </c>
      <c r="S35" s="27">
        <f t="shared" si="10"/>
        <v>7.9755178742826727E-2</v>
      </c>
      <c r="T35" s="27">
        <f t="shared" si="10"/>
        <v>8.3270415519235544E-2</v>
      </c>
      <c r="U35" s="27">
        <f t="shared" si="10"/>
        <v>8.5692838852079192E-2</v>
      </c>
      <c r="V35" s="27">
        <f t="shared" si="10"/>
        <v>8.7842688467199587E-2</v>
      </c>
      <c r="W35" s="27">
        <f t="shared" si="10"/>
        <v>9.0489653220748326E-2</v>
      </c>
      <c r="X35" s="27">
        <f t="shared" si="10"/>
        <v>9.289224195319265E-2</v>
      </c>
      <c r="Y35" s="27">
        <f t="shared" si="10"/>
        <v>9.5012864893657414E-2</v>
      </c>
      <c r="Z35" s="27">
        <f t="shared" si="10"/>
        <v>9.6983164815569928E-2</v>
      </c>
      <c r="AA35" s="27">
        <f t="shared" si="10"/>
        <v>9.8736943404101787E-2</v>
      </c>
      <c r="AB35" s="27">
        <f t="shared" si="10"/>
        <v>0.10130653187835065</v>
      </c>
      <c r="AC35" s="27">
        <f t="shared" si="10"/>
        <v>0.10379903446772733</v>
      </c>
      <c r="AD35" s="27">
        <f t="shared" si="10"/>
        <v>0.1067152128865853</v>
      </c>
      <c r="AE35" s="27">
        <f t="shared" si="10"/>
        <v>0.11043111193198749</v>
      </c>
      <c r="AF35" s="27">
        <f t="shared" si="10"/>
        <v>0.11453121722526576</v>
      </c>
      <c r="AG35" s="27">
        <f t="shared" si="10"/>
        <v>0.11949461194818344</v>
      </c>
      <c r="AH35" s="27">
        <f t="shared" si="10"/>
        <v>0.12314286787078389</v>
      </c>
      <c r="AI35" s="27">
        <f t="shared" si="10"/>
        <v>0.12669861870544499</v>
      </c>
      <c r="AJ35" s="27">
        <f t="shared" si="10"/>
        <v>0.13069366582827113</v>
      </c>
      <c r="AK35" s="27">
        <f t="shared" si="10"/>
        <v>0.13451096019485542</v>
      </c>
      <c r="AL35" s="27">
        <f t="shared" si="10"/>
        <v>0.13857172384876518</v>
      </c>
      <c r="AM35" s="27">
        <f t="shared" si="10"/>
        <v>0.14266056672033503</v>
      </c>
      <c r="AN35" s="27">
        <f t="shared" si="10"/>
        <v>0.14751337126697986</v>
      </c>
      <c r="AO35" s="27">
        <f t="shared" si="10"/>
        <v>0.15213070484534344</v>
      </c>
      <c r="AP35" s="27">
        <f t="shared" si="10"/>
        <v>0.15683465890006026</v>
      </c>
      <c r="AQ35" s="27">
        <f t="shared" si="10"/>
        <v>0.16170917290182402</v>
      </c>
      <c r="AR35" s="27">
        <f t="shared" si="10"/>
        <v>0.16678657725659471</v>
      </c>
      <c r="AS35" s="27">
        <f t="shared" si="10"/>
        <v>0.17276970421788695</v>
      </c>
      <c r="AT35" s="27">
        <f t="shared" si="10"/>
        <v>0.17662295386808796</v>
      </c>
      <c r="AU35" s="27">
        <f t="shared" si="10"/>
        <v>0.18034032757138141</v>
      </c>
      <c r="AV35" s="27">
        <f t="shared" si="10"/>
        <v>0.18415126429237305</v>
      </c>
      <c r="AW35" s="27">
        <f t="shared" si="10"/>
        <v>0.18795956944920184</v>
      </c>
      <c r="AY35" s="79"/>
    </row>
    <row r="36" spans="1:51" x14ac:dyDescent="0.2">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5.9806569587962537E-2</v>
      </c>
      <c r="M36" s="27">
        <f t="shared" si="11"/>
        <v>6.0278316688762053E-2</v>
      </c>
      <c r="N36" s="27">
        <f t="shared" si="11"/>
        <v>6.0581464452445992E-2</v>
      </c>
      <c r="O36" s="27">
        <f t="shared" si="11"/>
        <v>6.0782907527895308E-2</v>
      </c>
      <c r="P36" s="27">
        <f t="shared" si="11"/>
        <v>6.0880663265441157E-2</v>
      </c>
      <c r="Q36" s="27">
        <f t="shared" si="11"/>
        <v>6.1096642070638009E-2</v>
      </c>
      <c r="R36" s="27">
        <f t="shared" si="11"/>
        <v>6.1344406036983767E-2</v>
      </c>
      <c r="S36" s="27">
        <f t="shared" si="11"/>
        <v>5.9665089567979834E-2</v>
      </c>
      <c r="T36" s="27">
        <f t="shared" si="11"/>
        <v>6.0350771242359769E-2</v>
      </c>
      <c r="U36" s="27">
        <f t="shared" si="11"/>
        <v>6.0888075169397142E-2</v>
      </c>
      <c r="V36" s="27">
        <f t="shared" si="11"/>
        <v>6.139711160102531E-2</v>
      </c>
      <c r="W36" s="27">
        <f t="shared" si="11"/>
        <v>6.1992224918562065E-2</v>
      </c>
      <c r="X36" s="27">
        <f t="shared" si="11"/>
        <v>6.2562148930794551E-2</v>
      </c>
      <c r="Y36" s="27">
        <f t="shared" si="11"/>
        <v>6.3040140287419597E-2</v>
      </c>
      <c r="Z36" s="27">
        <f t="shared" si="11"/>
        <v>6.3504855616237185E-2</v>
      </c>
      <c r="AA36" s="27">
        <f t="shared" si="11"/>
        <v>6.3945644322408624E-2</v>
      </c>
      <c r="AB36" s="27">
        <f t="shared" si="11"/>
        <v>6.4519032075900526E-2</v>
      </c>
      <c r="AC36" s="27">
        <f t="shared" si="11"/>
        <v>6.5089471381032354E-2</v>
      </c>
      <c r="AD36" s="27">
        <f t="shared" si="11"/>
        <v>6.5684604542898692E-2</v>
      </c>
      <c r="AE36" s="27">
        <f t="shared" si="11"/>
        <v>6.6410653636350389E-2</v>
      </c>
      <c r="AF36" s="27">
        <f t="shared" si="11"/>
        <v>6.7204391254708923E-2</v>
      </c>
      <c r="AG36" s="27">
        <f t="shared" si="11"/>
        <v>6.8140044673053207E-2</v>
      </c>
      <c r="AH36" s="27">
        <f t="shared" si="11"/>
        <v>6.888108453498494E-2</v>
      </c>
      <c r="AI36" s="27">
        <f t="shared" si="11"/>
        <v>6.9569502535986497E-2</v>
      </c>
      <c r="AJ36" s="27">
        <f t="shared" si="11"/>
        <v>7.0333394582188791E-2</v>
      </c>
      <c r="AK36" s="27">
        <f t="shared" si="11"/>
        <v>7.1076775459671046E-2</v>
      </c>
      <c r="AL36" s="27">
        <f t="shared" si="11"/>
        <v>7.1865166896586383E-2</v>
      </c>
      <c r="AM36" s="27">
        <f t="shared" si="11"/>
        <v>7.2664891568343645E-2</v>
      </c>
      <c r="AN36" s="27">
        <f t="shared" si="11"/>
        <v>7.3548705139755158E-2</v>
      </c>
      <c r="AO36" s="27">
        <f t="shared" si="11"/>
        <v>7.4402331665901211E-2</v>
      </c>
      <c r="AP36" s="27">
        <f t="shared" si="11"/>
        <v>7.5276250928073038E-2</v>
      </c>
      <c r="AQ36" s="27">
        <f t="shared" si="11"/>
        <v>7.6183713879707002E-2</v>
      </c>
      <c r="AR36" s="27">
        <f t="shared" si="11"/>
        <v>7.7129908476892481E-2</v>
      </c>
      <c r="AS36" s="27">
        <f t="shared" si="11"/>
        <v>7.8183489117849933E-2</v>
      </c>
      <c r="AT36" s="27">
        <f t="shared" si="11"/>
        <v>7.890407273633461E-2</v>
      </c>
      <c r="AU36" s="27">
        <f t="shared" si="11"/>
        <v>7.960808386314952E-2</v>
      </c>
      <c r="AV36" s="27">
        <f t="shared" si="11"/>
        <v>8.0332044119121343E-2</v>
      </c>
      <c r="AW36" s="27">
        <f t="shared" si="11"/>
        <v>8.1060500675567429E-2</v>
      </c>
      <c r="AY36" s="79"/>
    </row>
    <row r="37" spans="1:51" x14ac:dyDescent="0.2">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0.26187096745907495</v>
      </c>
      <c r="M37" s="27">
        <f t="shared" si="10"/>
        <v>0.26393657447404822</v>
      </c>
      <c r="N37" s="27">
        <f t="shared" si="10"/>
        <v>0.26526394701365208</v>
      </c>
      <c r="O37" s="27">
        <f t="shared" si="10"/>
        <v>0.26614599213711054</v>
      </c>
      <c r="P37" s="27">
        <f t="shared" si="10"/>
        <v>0.26657402855087203</v>
      </c>
      <c r="Q37" s="27">
        <f t="shared" si="10"/>
        <v>0.26751972028770321</v>
      </c>
      <c r="R37" s="27">
        <f t="shared" si="10"/>
        <v>0.26860458755254496</v>
      </c>
      <c r="S37" s="27">
        <f t="shared" si="10"/>
        <v>0.26125147849717245</v>
      </c>
      <c r="T37" s="27">
        <f t="shared" si="10"/>
        <v>0.26425382631073058</v>
      </c>
      <c r="U37" s="27">
        <f t="shared" si="10"/>
        <v>0.26660648255171249</v>
      </c>
      <c r="V37" s="27">
        <f t="shared" si="10"/>
        <v>0.26883536582893036</v>
      </c>
      <c r="W37" s="27">
        <f t="shared" si="10"/>
        <v>0.27144114812483544</v>
      </c>
      <c r="X37" s="27">
        <f t="shared" si="10"/>
        <v>0.27393663571908672</v>
      </c>
      <c r="Y37" s="27">
        <f t="shared" si="10"/>
        <v>0.27602958403327432</v>
      </c>
      <c r="Z37" s="27">
        <f t="shared" si="10"/>
        <v>0.27806440150548434</v>
      </c>
      <c r="AA37" s="27">
        <f t="shared" si="10"/>
        <v>0.27999445309890292</v>
      </c>
      <c r="AB37" s="27">
        <f t="shared" si="10"/>
        <v>0.28250510714193849</v>
      </c>
      <c r="AC37" s="27">
        <f t="shared" si="10"/>
        <v>0.2850028510142375</v>
      </c>
      <c r="AD37" s="27">
        <f t="shared" si="10"/>
        <v>0.2876087202011619</v>
      </c>
      <c r="AE37" s="27">
        <f t="shared" si="10"/>
        <v>0.29078782209305915</v>
      </c>
      <c r="AF37" s="27">
        <f t="shared" si="10"/>
        <v>0.29426330713525839</v>
      </c>
      <c r="AG37" s="27">
        <f t="shared" si="10"/>
        <v>0.29836018925968516</v>
      </c>
      <c r="AH37" s="27">
        <f t="shared" si="10"/>
        <v>0.30160493021217166</v>
      </c>
      <c r="AI37" s="27">
        <f t="shared" si="10"/>
        <v>0.30461925939340617</v>
      </c>
      <c r="AJ37" s="27">
        <f t="shared" si="10"/>
        <v>0.30796406165428591</v>
      </c>
      <c r="AK37" s="27">
        <f t="shared" si="10"/>
        <v>0.31121905305268976</v>
      </c>
      <c r="AL37" s="27">
        <f t="shared" si="10"/>
        <v>0.31467112913302436</v>
      </c>
      <c r="AM37" s="27">
        <f t="shared" si="10"/>
        <v>0.31817282927962681</v>
      </c>
      <c r="AN37" s="27">
        <f t="shared" si="10"/>
        <v>0.32204272378442023</v>
      </c>
      <c r="AO37" s="27">
        <f t="shared" si="10"/>
        <v>0.32578044032276504</v>
      </c>
      <c r="AP37" s="27">
        <f t="shared" si="10"/>
        <v>0.32960701128717151</v>
      </c>
      <c r="AQ37" s="27">
        <f t="shared" si="10"/>
        <v>0.33358045772817063</v>
      </c>
      <c r="AR37" s="27">
        <f t="shared" si="10"/>
        <v>0.33772349579700817</v>
      </c>
      <c r="AS37" s="27">
        <f t="shared" si="10"/>
        <v>0.34233673784791513</v>
      </c>
      <c r="AT37" s="27">
        <f t="shared" si="10"/>
        <v>0.34549190843549077</v>
      </c>
      <c r="AU37" s="27">
        <f t="shared" si="10"/>
        <v>0.34857451417849072</v>
      </c>
      <c r="AV37" s="27">
        <f t="shared" si="10"/>
        <v>0.35174446981947466</v>
      </c>
      <c r="AW37" s="27">
        <f t="shared" si="10"/>
        <v>0.3549341131062021</v>
      </c>
      <c r="AY37" s="79"/>
    </row>
    <row r="38" spans="1:51" x14ac:dyDescent="0.2">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1.1651711689683767E-2</v>
      </c>
      <c r="M38" s="27">
        <f t="shared" si="10"/>
        <v>1.1743619004328788E-2</v>
      </c>
      <c r="N38" s="27">
        <f t="shared" si="10"/>
        <v>1.1802679244134426E-2</v>
      </c>
      <c r="O38" s="27">
        <f t="shared" si="10"/>
        <v>1.1841925043604104E-2</v>
      </c>
      <c r="P38" s="27">
        <f t="shared" si="10"/>
        <v>1.1860970136438286E-2</v>
      </c>
      <c r="Q38" s="27">
        <f t="shared" si="10"/>
        <v>1.1903047834366352E-2</v>
      </c>
      <c r="R38" s="27">
        <f t="shared" si="10"/>
        <v>1.1951318021451857E-2</v>
      </c>
      <c r="S38" s="27">
        <f t="shared" si="10"/>
        <v>1.1624148088994974E-2</v>
      </c>
      <c r="T38" s="27">
        <f t="shared" si="10"/>
        <v>1.1757734837671872E-2</v>
      </c>
      <c r="U38" s="27">
        <f t="shared" ref="L38:AW44" si="12">U1413</f>
        <v>1.1862414147833051E-2</v>
      </c>
      <c r="V38" s="27">
        <f t="shared" si="12"/>
        <v>1.1961586291992786E-2</v>
      </c>
      <c r="W38" s="27">
        <f t="shared" si="12"/>
        <v>1.2077528216874986E-2</v>
      </c>
      <c r="X38" s="27">
        <f t="shared" si="12"/>
        <v>1.218856267882977E-2</v>
      </c>
      <c r="Y38" s="27">
        <f t="shared" si="12"/>
        <v>1.2281686519837978E-2</v>
      </c>
      <c r="Z38" s="27">
        <f t="shared" si="12"/>
        <v>1.2372223881643949E-2</v>
      </c>
      <c r="AA38" s="27">
        <f t="shared" si="12"/>
        <v>1.2458099780491892E-2</v>
      </c>
      <c r="AB38" s="27">
        <f t="shared" si="12"/>
        <v>1.256980905985888E-2</v>
      </c>
      <c r="AC38" s="27">
        <f t="shared" si="12"/>
        <v>1.2680943912863346E-2</v>
      </c>
      <c r="AD38" s="27">
        <f t="shared" si="12"/>
        <v>1.2796889703882807E-2</v>
      </c>
      <c r="AE38" s="27">
        <f t="shared" si="12"/>
        <v>1.2938340965303392E-2</v>
      </c>
      <c r="AF38" s="27">
        <f t="shared" si="12"/>
        <v>1.3092979526753859E-2</v>
      </c>
      <c r="AG38" s="27">
        <f t="shared" si="12"/>
        <v>1.3275266588980031E-2</v>
      </c>
      <c r="AH38" s="27">
        <f t="shared" si="12"/>
        <v>1.3419638400994631E-2</v>
      </c>
      <c r="AI38" s="27">
        <f t="shared" si="12"/>
        <v>1.3553758249782499E-2</v>
      </c>
      <c r="AJ38" s="27">
        <f t="shared" si="12"/>
        <v>1.3702582199153161E-2</v>
      </c>
      <c r="AK38" s="27">
        <f t="shared" si="12"/>
        <v>1.3847410095481636E-2</v>
      </c>
      <c r="AL38" s="27">
        <f t="shared" si="12"/>
        <v>1.4001007096360315E-2</v>
      </c>
      <c r="AM38" s="27">
        <f t="shared" si="12"/>
        <v>1.4156812075155119E-2</v>
      </c>
      <c r="AN38" s="27">
        <f t="shared" si="12"/>
        <v>1.432899952868179E-2</v>
      </c>
      <c r="AO38" s="27">
        <f t="shared" si="12"/>
        <v>1.4495305843219548E-2</v>
      </c>
      <c r="AP38" s="27">
        <f t="shared" si="12"/>
        <v>1.4665565655026861E-2</v>
      </c>
      <c r="AQ38" s="27">
        <f t="shared" si="12"/>
        <v>1.4842360558234895E-2</v>
      </c>
      <c r="AR38" s="27">
        <f t="shared" si="12"/>
        <v>1.5026701287433988E-2</v>
      </c>
      <c r="AS38" s="27">
        <f t="shared" si="12"/>
        <v>1.5231963317255199E-2</v>
      </c>
      <c r="AT38" s="27">
        <f t="shared" si="12"/>
        <v>1.5372349776949124E-2</v>
      </c>
      <c r="AU38" s="27">
        <f t="shared" si="12"/>
        <v>1.550950752955876E-2</v>
      </c>
      <c r="AV38" s="27">
        <f t="shared" si="12"/>
        <v>1.5650551836822808E-2</v>
      </c>
      <c r="AW38" s="27">
        <f t="shared" si="12"/>
        <v>1.5792472128065831E-2</v>
      </c>
      <c r="AY38" s="79"/>
    </row>
    <row r="39" spans="1:51" x14ac:dyDescent="0.2">
      <c r="A39" s="95" t="str">
        <f t="shared" si="0"/>
        <v>FS Cattle MMN2O</v>
      </c>
      <c r="B39" s="95" t="s">
        <v>1004</v>
      </c>
      <c r="C39" s="95" t="s">
        <v>1232</v>
      </c>
      <c r="D39" t="s">
        <v>15</v>
      </c>
      <c r="E39" t="s">
        <v>657</v>
      </c>
      <c r="F39" t="s">
        <v>67</v>
      </c>
      <c r="G39" t="s">
        <v>122</v>
      </c>
      <c r="H39" t="s">
        <v>1227</v>
      </c>
      <c r="I39" t="s">
        <v>139</v>
      </c>
      <c r="J39" t="s">
        <v>287</v>
      </c>
      <c r="K39" s="27">
        <f t="shared" si="7"/>
        <v>0.52525224947331306</v>
      </c>
      <c r="L39" s="27">
        <f t="shared" si="12"/>
        <v>0.5206969044571037</v>
      </c>
      <c r="M39" s="27">
        <f t="shared" si="12"/>
        <v>0.51896282251134873</v>
      </c>
      <c r="N39" s="27">
        <f t="shared" si="12"/>
        <v>0.51203275332440912</v>
      </c>
      <c r="O39" s="27">
        <f t="shared" si="12"/>
        <v>0.50197358865556707</v>
      </c>
      <c r="P39" s="27">
        <f t="shared" si="12"/>
        <v>0.48899333628247271</v>
      </c>
      <c r="Q39" s="27">
        <f t="shared" si="12"/>
        <v>0.47875543160314177</v>
      </c>
      <c r="R39" s="27">
        <f t="shared" si="12"/>
        <v>0.46906920988966794</v>
      </c>
      <c r="S39" s="27">
        <f t="shared" si="12"/>
        <v>0.41630918721469751</v>
      </c>
      <c r="T39" s="27">
        <f t="shared" si="12"/>
        <v>0.4242723493279994</v>
      </c>
      <c r="U39" s="27">
        <f t="shared" si="12"/>
        <v>0.42852994772024217</v>
      </c>
      <c r="V39" s="27">
        <f t="shared" si="12"/>
        <v>0.43180740758836011</v>
      </c>
      <c r="W39" s="27">
        <f t="shared" si="12"/>
        <v>0.43654938286292333</v>
      </c>
      <c r="X39" s="27">
        <f t="shared" si="12"/>
        <v>0.44039774902333312</v>
      </c>
      <c r="Y39" s="27">
        <f t="shared" si="12"/>
        <v>0.44287861979972809</v>
      </c>
      <c r="Z39" s="27">
        <f t="shared" si="12"/>
        <v>0.44480979206932508</v>
      </c>
      <c r="AA39" s="27">
        <f t="shared" si="12"/>
        <v>0.44600669694391831</v>
      </c>
      <c r="AB39" s="27">
        <f t="shared" si="12"/>
        <v>0.44955000580259225</v>
      </c>
      <c r="AC39" s="27">
        <f t="shared" si="12"/>
        <v>0.45273812820401932</v>
      </c>
      <c r="AD39" s="27">
        <f t="shared" si="12"/>
        <v>0.45290255961235854</v>
      </c>
      <c r="AE39" s="27">
        <f t="shared" si="12"/>
        <v>0.45503830808408913</v>
      </c>
      <c r="AF39" s="27">
        <f t="shared" si="12"/>
        <v>0.45786255495032313</v>
      </c>
      <c r="AG39" s="27">
        <f t="shared" si="12"/>
        <v>0.46260418192872943</v>
      </c>
      <c r="AH39" s="27">
        <f t="shared" si="12"/>
        <v>0.46336149545626742</v>
      </c>
      <c r="AI39" s="27">
        <f t="shared" si="12"/>
        <v>0.46328199946784754</v>
      </c>
      <c r="AJ39" s="27">
        <f t="shared" si="12"/>
        <v>0.46397768547065105</v>
      </c>
      <c r="AK39" s="27">
        <f t="shared" si="12"/>
        <v>0.46384928130278269</v>
      </c>
      <c r="AL39" s="27">
        <f t="shared" si="12"/>
        <v>0.46394752613960677</v>
      </c>
      <c r="AM39" s="27">
        <f t="shared" si="12"/>
        <v>0.46372456195327277</v>
      </c>
      <c r="AN39" s="27">
        <f t="shared" si="12"/>
        <v>0.46705287296965353</v>
      </c>
      <c r="AO39" s="27">
        <f t="shared" si="12"/>
        <v>0.46948772142871509</v>
      </c>
      <c r="AP39" s="27">
        <f t="shared" si="12"/>
        <v>0.47178208531317378</v>
      </c>
      <c r="AQ39" s="27">
        <f t="shared" si="12"/>
        <v>0.47411151157933035</v>
      </c>
      <c r="AR39" s="27">
        <f t="shared" si="12"/>
        <v>0.47652651600833112</v>
      </c>
      <c r="AS39" s="27">
        <f t="shared" si="12"/>
        <v>0.48031110501678759</v>
      </c>
      <c r="AT39" s="27">
        <f t="shared" si="12"/>
        <v>0.47924514012499747</v>
      </c>
      <c r="AU39" s="27">
        <f t="shared" si="12"/>
        <v>0.47764693105288908</v>
      </c>
      <c r="AV39" s="27">
        <f t="shared" si="12"/>
        <v>0.47599161993934092</v>
      </c>
      <c r="AW39" s="27">
        <f t="shared" si="12"/>
        <v>0.4740811431084902</v>
      </c>
      <c r="AY39" s="79"/>
    </row>
    <row r="40" spans="1:51" x14ac:dyDescent="0.2">
      <c r="A40" s="95" t="str">
        <f t="shared" si="0"/>
        <v>FS Cattle MMN2O</v>
      </c>
      <c r="B40" s="95" t="s">
        <v>1004</v>
      </c>
      <c r="C40" s="95" t="s">
        <v>1232</v>
      </c>
      <c r="D40" t="s">
        <v>15</v>
      </c>
      <c r="E40" t="s">
        <v>657</v>
      </c>
      <c r="F40" t="s">
        <v>67</v>
      </c>
      <c r="G40" t="s">
        <v>123</v>
      </c>
      <c r="H40" t="s">
        <v>1227</v>
      </c>
      <c r="I40" t="s">
        <v>139</v>
      </c>
      <c r="J40" t="s">
        <v>287</v>
      </c>
      <c r="K40" s="27">
        <f t="shared" si="7"/>
        <v>0.80452586370517887</v>
      </c>
      <c r="L40" s="27">
        <f t="shared" si="12"/>
        <v>0.79754846782098077</v>
      </c>
      <c r="M40" s="27">
        <f t="shared" si="12"/>
        <v>0.79489238443144172</v>
      </c>
      <c r="N40" s="27">
        <f t="shared" si="12"/>
        <v>0.78427763712907439</v>
      </c>
      <c r="O40" s="27">
        <f t="shared" si="12"/>
        <v>0.76887007218962333</v>
      </c>
      <c r="P40" s="27">
        <f t="shared" si="12"/>
        <v>0.74898829393537225</v>
      </c>
      <c r="Q40" s="27">
        <f t="shared" si="12"/>
        <v>0.73330695394505496</v>
      </c>
      <c r="R40" s="27">
        <f t="shared" si="12"/>
        <v>0.71847062359542491</v>
      </c>
      <c r="S40" s="27">
        <f t="shared" si="12"/>
        <v>0.63765839888958464</v>
      </c>
      <c r="T40" s="27">
        <f t="shared" si="12"/>
        <v>0.64985552871330754</v>
      </c>
      <c r="U40" s="27">
        <f t="shared" si="12"/>
        <v>0.65637686779803062</v>
      </c>
      <c r="V40" s="27">
        <f t="shared" si="12"/>
        <v>0.66139693431616664</v>
      </c>
      <c r="W40" s="27">
        <f t="shared" si="12"/>
        <v>0.66866019069871818</v>
      </c>
      <c r="X40" s="27">
        <f t="shared" si="12"/>
        <v>0.67455471111659759</v>
      </c>
      <c r="Y40" s="27">
        <f t="shared" si="12"/>
        <v>0.67835464668302581</v>
      </c>
      <c r="Z40" s="27">
        <f t="shared" si="12"/>
        <v>0.68131261219334738</v>
      </c>
      <c r="AA40" s="27">
        <f t="shared" si="12"/>
        <v>0.68314590453806523</v>
      </c>
      <c r="AB40" s="27">
        <f t="shared" si="12"/>
        <v>0.68857317043317978</v>
      </c>
      <c r="AC40" s="27">
        <f t="shared" si="12"/>
        <v>0.69345639926499891</v>
      </c>
      <c r="AD40" s="27">
        <f t="shared" si="12"/>
        <v>0.69370825791186275</v>
      </c>
      <c r="AE40" s="27">
        <f t="shared" si="12"/>
        <v>0.69697957161989321</v>
      </c>
      <c r="AF40" s="27">
        <f t="shared" si="12"/>
        <v>0.70130545437746739</v>
      </c>
      <c r="AG40" s="27">
        <f t="shared" si="12"/>
        <v>0.70856817727678933</v>
      </c>
      <c r="AH40" s="27">
        <f t="shared" si="12"/>
        <v>0.70972815007166834</v>
      </c>
      <c r="AI40" s="27">
        <f t="shared" si="12"/>
        <v>0.70960638652128127</v>
      </c>
      <c r="AJ40" s="27">
        <f t="shared" si="12"/>
        <v>0.71067196478931216</v>
      </c>
      <c r="AK40" s="27">
        <f t="shared" si="12"/>
        <v>0.71047528886043954</v>
      </c>
      <c r="AL40" s="27">
        <f t="shared" si="12"/>
        <v>0.71062576991459914</v>
      </c>
      <c r="AM40" s="27">
        <f t="shared" si="12"/>
        <v>0.71028425694675268</v>
      </c>
      <c r="AN40" s="27">
        <f t="shared" si="12"/>
        <v>0.71538221187758488</v>
      </c>
      <c r="AO40" s="27">
        <f t="shared" si="12"/>
        <v>0.71911165532400878</v>
      </c>
      <c r="AP40" s="27">
        <f t="shared" si="12"/>
        <v>0.7226259193517196</v>
      </c>
      <c r="AQ40" s="27">
        <f t="shared" si="12"/>
        <v>0.72619388822876152</v>
      </c>
      <c r="AR40" s="27">
        <f t="shared" si="12"/>
        <v>0.72989293668793909</v>
      </c>
      <c r="AS40" s="27">
        <f t="shared" si="12"/>
        <v>0.73568977000726443</v>
      </c>
      <c r="AT40" s="27">
        <f t="shared" si="12"/>
        <v>0.73405703768463881</v>
      </c>
      <c r="AU40" s="27">
        <f t="shared" si="12"/>
        <v>0.73160906999785846</v>
      </c>
      <c r="AV40" s="27">
        <f t="shared" si="12"/>
        <v>0.72907363944108583</v>
      </c>
      <c r="AW40" s="27">
        <f t="shared" si="12"/>
        <v>0.72614737301582033</v>
      </c>
      <c r="AY40" s="79"/>
    </row>
    <row r="41" spans="1:51" x14ac:dyDescent="0.2">
      <c r="A41" s="95" t="str">
        <f t="shared" si="0"/>
        <v>FS Cattle MMN2O</v>
      </c>
      <c r="B41" s="95" t="s">
        <v>1004</v>
      </c>
      <c r="C41" s="95" t="s">
        <v>1232</v>
      </c>
      <c r="D41" t="s">
        <v>15</v>
      </c>
      <c r="E41" t="s">
        <v>657</v>
      </c>
      <c r="F41" t="s">
        <v>67</v>
      </c>
      <c r="G41" t="s">
        <v>135</v>
      </c>
      <c r="H41" t="s">
        <v>1227</v>
      </c>
      <c r="I41" t="s">
        <v>139</v>
      </c>
      <c r="J41" t="s">
        <v>287</v>
      </c>
      <c r="K41" s="27">
        <f t="shared" si="7"/>
        <v>0.97926119892671493</v>
      </c>
      <c r="L41" s="27">
        <f t="shared" si="12"/>
        <v>1.0122801448609147</v>
      </c>
      <c r="M41" s="27">
        <f t="shared" si="12"/>
        <v>1.0514701788925804</v>
      </c>
      <c r="N41" s="27">
        <f t="shared" si="12"/>
        <v>1.0806972456941153</v>
      </c>
      <c r="O41" s="27">
        <f t="shared" si="12"/>
        <v>1.1032367943433716</v>
      </c>
      <c r="P41" s="27">
        <f t="shared" si="12"/>
        <v>1.1187666946803865</v>
      </c>
      <c r="Q41" s="27">
        <f t="shared" si="12"/>
        <v>1.1399714801203362</v>
      </c>
      <c r="R41" s="27">
        <f t="shared" si="12"/>
        <v>1.1622002864669057</v>
      </c>
      <c r="S41" s="27">
        <f t="shared" si="12"/>
        <v>1.0731659766272925</v>
      </c>
      <c r="T41" s="27">
        <f t="shared" si="12"/>
        <v>1.1200435177813</v>
      </c>
      <c r="U41" s="27">
        <f t="shared" si="12"/>
        <v>1.1581646088835691</v>
      </c>
      <c r="V41" s="27">
        <f t="shared" si="12"/>
        <v>1.1944005912440496</v>
      </c>
      <c r="W41" s="27">
        <f t="shared" si="12"/>
        <v>1.2355118571945767</v>
      </c>
      <c r="X41" s="27">
        <f t="shared" si="12"/>
        <v>1.2749845608108272</v>
      </c>
      <c r="Y41" s="27">
        <f t="shared" si="12"/>
        <v>1.3112710404440306</v>
      </c>
      <c r="Z41" s="27">
        <f t="shared" si="12"/>
        <v>1.3466036234744594</v>
      </c>
      <c r="AA41" s="27">
        <f t="shared" si="12"/>
        <v>1.3803261318564077</v>
      </c>
      <c r="AB41" s="27">
        <f t="shared" si="12"/>
        <v>1.4220578435636848</v>
      </c>
      <c r="AC41" s="27">
        <f t="shared" si="12"/>
        <v>1.4635769863229917</v>
      </c>
      <c r="AD41" s="27">
        <f t="shared" si="12"/>
        <v>1.5126623536535566</v>
      </c>
      <c r="AE41" s="27">
        <f t="shared" si="12"/>
        <v>1.5702927620533913</v>
      </c>
      <c r="AF41" s="27">
        <f t="shared" si="12"/>
        <v>1.6326718662100064</v>
      </c>
      <c r="AG41" s="27">
        <f t="shared" si="12"/>
        <v>1.7047038536562504</v>
      </c>
      <c r="AH41" s="27">
        <f t="shared" si="12"/>
        <v>1.7647703233064436</v>
      </c>
      <c r="AI41" s="27">
        <f t="shared" si="12"/>
        <v>1.823914760279997</v>
      </c>
      <c r="AJ41" s="27">
        <f t="shared" si="12"/>
        <v>1.8885037105241573</v>
      </c>
      <c r="AK41" s="27">
        <f t="shared" si="12"/>
        <v>1.9522655918668117</v>
      </c>
      <c r="AL41" s="27">
        <f t="shared" si="12"/>
        <v>2.0195785012565346</v>
      </c>
      <c r="AM41" s="27">
        <f t="shared" si="12"/>
        <v>2.0882359976906724</v>
      </c>
      <c r="AN41" s="27">
        <f t="shared" si="12"/>
        <v>2.1625669468600144</v>
      </c>
      <c r="AO41" s="27">
        <f t="shared" si="12"/>
        <v>2.2353883436386872</v>
      </c>
      <c r="AP41" s="27">
        <f t="shared" si="12"/>
        <v>2.310159637098629</v>
      </c>
      <c r="AQ41" s="27">
        <f t="shared" si="12"/>
        <v>2.387837748545981</v>
      </c>
      <c r="AR41" s="27">
        <f t="shared" si="12"/>
        <v>2.4688377318111754</v>
      </c>
      <c r="AS41" s="27">
        <f t="shared" si="12"/>
        <v>2.5601896833945608</v>
      </c>
      <c r="AT41" s="27">
        <f t="shared" si="12"/>
        <v>2.6285710200523447</v>
      </c>
      <c r="AU41" s="27">
        <f t="shared" si="12"/>
        <v>2.6962215322627681</v>
      </c>
      <c r="AV41" s="27">
        <f t="shared" si="12"/>
        <v>2.7657590792696469</v>
      </c>
      <c r="AW41" s="27">
        <f t="shared" si="12"/>
        <v>2.8360897430204677</v>
      </c>
      <c r="AY41" s="79"/>
    </row>
    <row r="42" spans="1:51" x14ac:dyDescent="0.2">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0.1195503235691774</v>
      </c>
      <c r="T42" s="27">
        <f t="shared" si="12"/>
        <v>0.11973238900774033</v>
      </c>
      <c r="U42" s="27">
        <f t="shared" si="12"/>
        <v>0.11993816652481025</v>
      </c>
      <c r="V42" s="27">
        <f t="shared" si="12"/>
        <v>0.12017030175701968</v>
      </c>
      <c r="W42" s="27">
        <f t="shared" si="12"/>
        <v>0.12043143682964785</v>
      </c>
      <c r="X42" s="27">
        <f t="shared" si="12"/>
        <v>0.12071612652319091</v>
      </c>
      <c r="Y42" s="27">
        <f t="shared" si="12"/>
        <v>0.12088927246048492</v>
      </c>
      <c r="Z42" s="27">
        <f t="shared" si="12"/>
        <v>0.12108266651499933</v>
      </c>
      <c r="AA42" s="27">
        <f t="shared" si="12"/>
        <v>0.12129489002398719</v>
      </c>
      <c r="AB42" s="27">
        <f t="shared" si="12"/>
        <v>0.12153074787723062</v>
      </c>
      <c r="AC42" s="27">
        <f t="shared" si="12"/>
        <v>0.12178444503760315</v>
      </c>
      <c r="AD42" s="27">
        <f t="shared" si="12"/>
        <v>0.12195021859922818</v>
      </c>
      <c r="AE42" s="27">
        <f t="shared" si="12"/>
        <v>0.12213630016303641</v>
      </c>
      <c r="AF42" s="27">
        <f t="shared" si="12"/>
        <v>0.12233971704233786</v>
      </c>
      <c r="AG42" s="27">
        <f t="shared" si="12"/>
        <v>0.12256258176640643</v>
      </c>
      <c r="AH42" s="27">
        <f t="shared" si="12"/>
        <v>0.12279204268449652</v>
      </c>
      <c r="AI42" s="27">
        <f t="shared" si="12"/>
        <v>0.12293267358180958</v>
      </c>
      <c r="AJ42" s="27">
        <f t="shared" si="12"/>
        <v>0.1230880284078129</v>
      </c>
      <c r="AK42" s="27">
        <f t="shared" si="12"/>
        <v>0.12325414703713089</v>
      </c>
      <c r="AL42" s="27">
        <f t="shared" si="12"/>
        <v>0.12343300581478904</v>
      </c>
      <c r="AM42" s="27">
        <f t="shared" si="12"/>
        <v>0.12362298848343736</v>
      </c>
      <c r="AN42" s="27">
        <f t="shared" si="12"/>
        <v>0.12373316293630814</v>
      </c>
      <c r="AO42" s="27">
        <f t="shared" si="12"/>
        <v>0.12385166980530417</v>
      </c>
      <c r="AP42" s="27">
        <f t="shared" si="12"/>
        <v>0.12398002361906417</v>
      </c>
      <c r="AQ42" s="27">
        <f t="shared" si="12"/>
        <v>0.12411840156820916</v>
      </c>
      <c r="AR42" s="27">
        <f t="shared" si="12"/>
        <v>0.12426670691930036</v>
      </c>
      <c r="AS42" s="27">
        <f t="shared" si="12"/>
        <v>0.12433302167931155</v>
      </c>
      <c r="AT42" s="27">
        <f t="shared" si="12"/>
        <v>0.12439474489368146</v>
      </c>
      <c r="AU42" s="27">
        <f t="shared" si="12"/>
        <v>0.1244631713501356</v>
      </c>
      <c r="AV42" s="27">
        <f t="shared" si="12"/>
        <v>0.12453939785824997</v>
      </c>
      <c r="AW42" s="27">
        <f t="shared" si="12"/>
        <v>0.12462263971956801</v>
      </c>
      <c r="AY42" s="79"/>
    </row>
    <row r="43" spans="1:51" x14ac:dyDescent="0.2">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6.3928512589691663E-2</v>
      </c>
      <c r="T43" s="27">
        <f t="shared" si="12"/>
        <v>6.4025870525110232E-2</v>
      </c>
      <c r="U43" s="27">
        <f t="shared" si="12"/>
        <v>6.4135908291616708E-2</v>
      </c>
      <c r="V43" s="27">
        <f t="shared" si="12"/>
        <v>6.4260040620762821E-2</v>
      </c>
      <c r="W43" s="27">
        <f t="shared" si="12"/>
        <v>6.4399680366434092E-2</v>
      </c>
      <c r="X43" s="27">
        <f t="shared" si="12"/>
        <v>6.4551915744093219E-2</v>
      </c>
      <c r="Y43" s="27">
        <f t="shared" si="12"/>
        <v>6.4644504052528431E-2</v>
      </c>
      <c r="Z43" s="27">
        <f t="shared" si="12"/>
        <v>6.4747919868393122E-2</v>
      </c>
      <c r="AA43" s="27">
        <f t="shared" si="12"/>
        <v>6.4861404573922254E-2</v>
      </c>
      <c r="AB43" s="27">
        <f t="shared" si="12"/>
        <v>6.4987527542813464E-2</v>
      </c>
      <c r="AC43" s="27">
        <f t="shared" si="12"/>
        <v>6.5123189928548972E-2</v>
      </c>
      <c r="AD43" s="27">
        <f t="shared" si="12"/>
        <v>6.5211835922177344E-2</v>
      </c>
      <c r="AE43" s="27">
        <f t="shared" si="12"/>
        <v>6.5311341446206636E-2</v>
      </c>
      <c r="AF43" s="27">
        <f t="shared" si="12"/>
        <v>6.5420116881865359E-2</v>
      </c>
      <c r="AG43" s="27">
        <f t="shared" si="12"/>
        <v>6.5539291886106743E-2</v>
      </c>
      <c r="AH43" s="27">
        <f t="shared" si="12"/>
        <v>6.5661994148660446E-2</v>
      </c>
      <c r="AI43" s="27">
        <f t="shared" si="12"/>
        <v>6.5737195317682587E-2</v>
      </c>
      <c r="AJ43" s="27">
        <f t="shared" si="12"/>
        <v>6.5820269981585744E-2</v>
      </c>
      <c r="AK43" s="27">
        <f t="shared" si="12"/>
        <v>6.5909100497210327E-2</v>
      </c>
      <c r="AL43" s="27">
        <f t="shared" si="12"/>
        <v>6.6004743698148058E-2</v>
      </c>
      <c r="AM43" s="27">
        <f t="shared" si="12"/>
        <v>6.6106335304610589E-2</v>
      </c>
      <c r="AN43" s="27">
        <f t="shared" si="12"/>
        <v>6.6165250150569468E-2</v>
      </c>
      <c r="AO43" s="27">
        <f t="shared" si="12"/>
        <v>6.6228620684754519E-2</v>
      </c>
      <c r="AP43" s="27">
        <f t="shared" si="12"/>
        <v>6.6297256788396222E-2</v>
      </c>
      <c r="AQ43" s="27">
        <f t="shared" si="12"/>
        <v>6.6371253212662962E-2</v>
      </c>
      <c r="AR43" s="27">
        <f t="shared" si="12"/>
        <v>6.6450558230176079E-2</v>
      </c>
      <c r="AS43" s="27">
        <f t="shared" si="12"/>
        <v>6.6486019480666153E-2</v>
      </c>
      <c r="AT43" s="27">
        <f t="shared" si="12"/>
        <v>6.6519025441412388E-2</v>
      </c>
      <c r="AU43" s="27">
        <f t="shared" si="12"/>
        <v>6.6555615903506504E-2</v>
      </c>
      <c r="AV43" s="27">
        <f t="shared" si="12"/>
        <v>6.6596377376484356E-2</v>
      </c>
      <c r="AW43" s="27">
        <f t="shared" si="12"/>
        <v>6.6640890249560589E-2</v>
      </c>
      <c r="AY43" s="79"/>
    </row>
    <row r="44" spans="1:51" x14ac:dyDescent="0.2">
      <c r="A44" s="95" t="str">
        <f t="shared" si="0"/>
        <v>FS Goats MMN2O</v>
      </c>
      <c r="B44" s="95" t="s">
        <v>1004</v>
      </c>
      <c r="C44" s="95" t="s">
        <v>1329</v>
      </c>
      <c r="D44" t="s">
        <v>15</v>
      </c>
      <c r="E44" t="s">
        <v>657</v>
      </c>
      <c r="F44" t="s">
        <v>19</v>
      </c>
      <c r="G44" t="s">
        <v>122</v>
      </c>
      <c r="H44" t="s">
        <v>1227</v>
      </c>
      <c r="I44" t="s">
        <v>139</v>
      </c>
      <c r="J44" t="s">
        <v>287</v>
      </c>
      <c r="K44" s="27">
        <f t="shared" si="7"/>
        <v>1.4486129996083083E-2</v>
      </c>
      <c r="L44" s="27">
        <f t="shared" si="12"/>
        <v>1.4523786941695514E-2</v>
      </c>
      <c r="M44" s="27">
        <f t="shared" si="12"/>
        <v>1.457573336741831E-2</v>
      </c>
      <c r="N44" s="27">
        <f t="shared" si="12"/>
        <v>1.4639017833045652E-2</v>
      </c>
      <c r="O44" s="27">
        <f t="shared" si="12"/>
        <v>1.4713550078172181E-2</v>
      </c>
      <c r="P44" s="27">
        <f t="shared" si="12"/>
        <v>1.4798876460462532E-2</v>
      </c>
      <c r="Q44" s="27">
        <f t="shared" si="12"/>
        <v>1.4890706011157254E-2</v>
      </c>
      <c r="R44" s="27">
        <f t="shared" si="12"/>
        <v>1.4988675221399694E-2</v>
      </c>
      <c r="S44" s="27">
        <f t="shared" si="12"/>
        <v>1.5078679643027025E-2</v>
      </c>
      <c r="T44" s="27">
        <f t="shared" si="12"/>
        <v>1.5122495296339114E-2</v>
      </c>
      <c r="U44" s="27">
        <f t="shared" si="12"/>
        <v>1.516958973789732E-2</v>
      </c>
      <c r="V44" s="27">
        <f t="shared" si="12"/>
        <v>1.5220538890996555E-2</v>
      </c>
      <c r="W44" s="27">
        <f t="shared" si="12"/>
        <v>1.5275902163367263E-2</v>
      </c>
      <c r="X44" s="27">
        <f t="shared" si="12"/>
        <v>1.5334694454120529E-2</v>
      </c>
      <c r="Y44" s="27">
        <f t="shared" si="12"/>
        <v>1.5371448915304845E-2</v>
      </c>
      <c r="Z44" s="27">
        <f t="shared" si="12"/>
        <v>1.5411207509365298E-2</v>
      </c>
      <c r="AA44" s="27">
        <f t="shared" si="12"/>
        <v>1.545373639870192E-2</v>
      </c>
      <c r="AB44" s="27">
        <f t="shared" si="12"/>
        <v>1.5499966763922934E-2</v>
      </c>
      <c r="AC44" s="27">
        <f t="shared" si="12"/>
        <v>1.5548833641447303E-2</v>
      </c>
      <c r="AD44" s="27">
        <f t="shared" si="12"/>
        <v>1.5580602349578561E-2</v>
      </c>
      <c r="AE44" s="27">
        <f t="shared" si="12"/>
        <v>1.5615591404277505E-2</v>
      </c>
      <c r="AF44" s="27">
        <f t="shared" si="12"/>
        <v>1.5653259744642323E-2</v>
      </c>
      <c r="AG44" s="27">
        <f t="shared" si="12"/>
        <v>1.5694012741398929E-2</v>
      </c>
      <c r="AH44" s="27">
        <f t="shared" si="12"/>
        <v>1.5735477279761712E-2</v>
      </c>
      <c r="AI44" s="27">
        <f t="shared" si="12"/>
        <v>1.5760021720349279E-2</v>
      </c>
      <c r="AJ44" s="27">
        <f t="shared" si="12"/>
        <v>1.5786883711006117E-2</v>
      </c>
      <c r="AK44" s="27">
        <f t="shared" si="12"/>
        <v>1.5815340273420818E-2</v>
      </c>
      <c r="AL44" s="27">
        <f t="shared" si="12"/>
        <v>1.5845764593107773E-2</v>
      </c>
      <c r="AM44" s="27">
        <f t="shared" si="12"/>
        <v>1.5877866318833773E-2</v>
      </c>
      <c r="AN44" s="27">
        <f t="shared" si="12"/>
        <v>1.5894983838021428E-2</v>
      </c>
      <c r="AO44" s="27">
        <f t="shared" si="12"/>
        <v>1.5913339031971951E-2</v>
      </c>
      <c r="AP44" s="27">
        <f t="shared" si="12"/>
        <v>1.593321505910849E-2</v>
      </c>
      <c r="AQ44" s="27">
        <f t="shared" si="12"/>
        <v>1.5954648527995344E-2</v>
      </c>
      <c r="AR44" s="27">
        <f t="shared" si="12"/>
        <v>1.597762528830339E-2</v>
      </c>
      <c r="AS44" s="27">
        <f t="shared" si="12"/>
        <v>1.598544144020398E-2</v>
      </c>
      <c r="AT44" s="27">
        <f t="shared" si="12"/>
        <v>1.5992226212116378E-2</v>
      </c>
      <c r="AU44" s="27">
        <f t="shared" si="12"/>
        <v>1.600003943689176E-2</v>
      </c>
      <c r="AV44" s="27">
        <f t="shared" ref="L44:AW51" si="13">AV1419</f>
        <v>1.6009082551352239E-2</v>
      </c>
      <c r="AW44" s="27">
        <f t="shared" si="13"/>
        <v>1.6019215529788255E-2</v>
      </c>
      <c r="AY44" s="79"/>
    </row>
    <row r="45" spans="1:51" x14ac:dyDescent="0.2">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0.11605647283191661</v>
      </c>
      <c r="O45" s="27">
        <f t="shared" si="13"/>
        <v>0.11664735601685972</v>
      </c>
      <c r="P45" s="27">
        <f t="shared" si="13"/>
        <v>0.11732381389682567</v>
      </c>
      <c r="Q45" s="27">
        <f t="shared" si="13"/>
        <v>0.11805182815822723</v>
      </c>
      <c r="R45" s="27">
        <f t="shared" si="13"/>
        <v>0.11882851694408277</v>
      </c>
      <c r="S45" s="27">
        <f t="shared" si="13"/>
        <v>0.11954206178926803</v>
      </c>
      <c r="T45" s="27">
        <f t="shared" si="13"/>
        <v>0.11988942731858297</v>
      </c>
      <c r="U45" s="27">
        <f t="shared" si="13"/>
        <v>0.12026278670919023</v>
      </c>
      <c r="V45" s="27">
        <f t="shared" si="13"/>
        <v>0.12066670581564304</v>
      </c>
      <c r="W45" s="27">
        <f t="shared" si="13"/>
        <v>0.12110561955897305</v>
      </c>
      <c r="X45" s="27">
        <f t="shared" si="13"/>
        <v>0.121571718171076</v>
      </c>
      <c r="Y45" s="27">
        <f t="shared" si="13"/>
        <v>0.12186310337017453</v>
      </c>
      <c r="Z45" s="27">
        <f t="shared" si="13"/>
        <v>0.12217830499394715</v>
      </c>
      <c r="AA45" s="27">
        <f t="shared" si="13"/>
        <v>0.12251546920442616</v>
      </c>
      <c r="AB45" s="27">
        <f t="shared" si="13"/>
        <v>0.12288197829584693</v>
      </c>
      <c r="AC45" s="27">
        <f t="shared" si="13"/>
        <v>0.12326938935774111</v>
      </c>
      <c r="AD45" s="27">
        <f t="shared" si="13"/>
        <v>0.12352124807218419</v>
      </c>
      <c r="AE45" s="27">
        <f t="shared" si="13"/>
        <v>0.12379863732892218</v>
      </c>
      <c r="AF45" s="27">
        <f t="shared" si="13"/>
        <v>0.12409726765849963</v>
      </c>
      <c r="AG45" s="27">
        <f t="shared" si="13"/>
        <v>0.12442035279404921</v>
      </c>
      <c r="AH45" s="27">
        <f t="shared" si="13"/>
        <v>0.12474907895074024</v>
      </c>
      <c r="AI45" s="27">
        <f t="shared" si="13"/>
        <v>0.12494366449156763</v>
      </c>
      <c r="AJ45" s="27">
        <f t="shared" si="13"/>
        <v>0.12515662330645747</v>
      </c>
      <c r="AK45" s="27">
        <f t="shared" si="13"/>
        <v>0.12538222370536653</v>
      </c>
      <c r="AL45" s="27">
        <f t="shared" si="13"/>
        <v>0.12562342426072123</v>
      </c>
      <c r="AM45" s="27">
        <f t="shared" si="13"/>
        <v>0.12587792310088028</v>
      </c>
      <c r="AN45" s="27">
        <f t="shared" si="13"/>
        <v>0.12601362885130757</v>
      </c>
      <c r="AO45" s="27">
        <f t="shared" si="13"/>
        <v>0.12615914674686166</v>
      </c>
      <c r="AP45" s="27">
        <f t="shared" si="13"/>
        <v>0.1263167216354017</v>
      </c>
      <c r="AQ45" s="27">
        <f t="shared" si="13"/>
        <v>0.12648664374547289</v>
      </c>
      <c r="AR45" s="27">
        <f t="shared" si="13"/>
        <v>0.12666880089487106</v>
      </c>
      <c r="AS45" s="27">
        <f t="shared" si="13"/>
        <v>0.12673076646052897</v>
      </c>
      <c r="AT45" s="27">
        <f t="shared" si="13"/>
        <v>0.12678455536263306</v>
      </c>
      <c r="AU45" s="27">
        <f t="shared" si="13"/>
        <v>0.1268464977223743</v>
      </c>
      <c r="AV45" s="27">
        <f t="shared" si="13"/>
        <v>0.12691819050802894</v>
      </c>
      <c r="AW45" s="27">
        <f t="shared" si="13"/>
        <v>0.12699852361165501</v>
      </c>
      <c r="AY45" s="79"/>
    </row>
    <row r="46" spans="1:51" x14ac:dyDescent="0.2">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2">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2">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9.6937181363551561E-2</v>
      </c>
      <c r="M48" s="27">
        <f t="shared" si="13"/>
        <v>9.6980665528366608E-2</v>
      </c>
      <c r="N48" s="27">
        <f t="shared" si="13"/>
        <v>9.6090308702663593E-2</v>
      </c>
      <c r="O48" s="27">
        <f t="shared" si="13"/>
        <v>9.4636150647850539E-2</v>
      </c>
      <c r="P48" s="27">
        <f t="shared" si="13"/>
        <v>9.2641437622218353E-2</v>
      </c>
      <c r="Q48" s="27">
        <f t="shared" si="13"/>
        <v>9.1193054757597203E-2</v>
      </c>
      <c r="R48" s="27">
        <f t="shared" si="13"/>
        <v>8.9872834352323586E-2</v>
      </c>
      <c r="S48" s="27">
        <f t="shared" si="13"/>
        <v>8.007614881771638E-2</v>
      </c>
      <c r="T48" s="27">
        <f t="shared" si="13"/>
        <v>8.1326396788510474E-2</v>
      </c>
      <c r="U48" s="27">
        <f t="shared" si="13"/>
        <v>8.1857388582928847E-2</v>
      </c>
      <c r="V48" s="27">
        <f t="shared" si="13"/>
        <v>8.2207086470719101E-2</v>
      </c>
      <c r="W48" s="27">
        <f t="shared" si="13"/>
        <v>8.285461390877466E-2</v>
      </c>
      <c r="X48" s="27">
        <f t="shared" si="13"/>
        <v>8.333689669834958E-2</v>
      </c>
      <c r="Y48" s="27">
        <f t="shared" si="13"/>
        <v>8.3589871912565908E-2</v>
      </c>
      <c r="Z48" s="27">
        <f t="shared" si="13"/>
        <v>8.3744868407458789E-2</v>
      </c>
      <c r="AA48" s="27">
        <f t="shared" si="13"/>
        <v>8.3765893880963477E-2</v>
      </c>
      <c r="AB48" s="27">
        <f t="shared" si="13"/>
        <v>8.4252320791482468E-2</v>
      </c>
      <c r="AC48" s="27">
        <f t="shared" si="13"/>
        <v>8.467721169561411E-2</v>
      </c>
      <c r="AD48" s="27">
        <f t="shared" si="13"/>
        <v>8.5288552318902811E-2</v>
      </c>
      <c r="AE48" s="27">
        <f t="shared" si="13"/>
        <v>8.6321222168383255E-2</v>
      </c>
      <c r="AF48" s="27">
        <f t="shared" si="13"/>
        <v>8.7530536010928472E-2</v>
      </c>
      <c r="AG48" s="27">
        <f t="shared" si="13"/>
        <v>8.9167849032446608E-2</v>
      </c>
      <c r="AH48" s="27">
        <f t="shared" si="13"/>
        <v>9.0051741731639295E-2</v>
      </c>
      <c r="AI48" s="27">
        <f t="shared" si="13"/>
        <v>9.0823732502808008E-2</v>
      </c>
      <c r="AJ48" s="27">
        <f t="shared" si="13"/>
        <v>9.1793903682288E-2</v>
      </c>
      <c r="AK48" s="27">
        <f t="shared" si="13"/>
        <v>9.2636221139642705E-2</v>
      </c>
      <c r="AL48" s="27">
        <f t="shared" si="13"/>
        <v>9.3568236692189041E-2</v>
      </c>
      <c r="AM48" s="27">
        <f t="shared" si="13"/>
        <v>9.4477344703207677E-2</v>
      </c>
      <c r="AN48" s="27">
        <f t="shared" si="13"/>
        <v>9.5701309146604296E-2</v>
      </c>
      <c r="AO48" s="27">
        <f t="shared" si="13"/>
        <v>9.6764158959885563E-2</v>
      </c>
      <c r="AP48" s="27">
        <f t="shared" si="13"/>
        <v>9.7826064209534019E-2</v>
      </c>
      <c r="AQ48" s="27">
        <f t="shared" si="13"/>
        <v>9.8925683865692504E-2</v>
      </c>
      <c r="AR48" s="27">
        <f t="shared" si="13"/>
        <v>0.1000753787258143</v>
      </c>
      <c r="AS48" s="27">
        <f t="shared" si="13"/>
        <v>0.10157365781943821</v>
      </c>
      <c r="AT48" s="27">
        <f t="shared" si="13"/>
        <v>0.10203766217050345</v>
      </c>
      <c r="AU48" s="27">
        <f t="shared" si="13"/>
        <v>0.10240826928518969</v>
      </c>
      <c r="AV48" s="27">
        <f t="shared" si="13"/>
        <v>0.10279047259457187</v>
      </c>
      <c r="AW48" s="27">
        <f t="shared" si="13"/>
        <v>0.10314026973807801</v>
      </c>
      <c r="AY48" s="79"/>
    </row>
    <row r="49" spans="1:51" x14ac:dyDescent="0.2">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3.7923788015899976E-2</v>
      </c>
      <c r="M49" s="27">
        <f t="shared" si="13"/>
        <v>3.7940799901590251E-2</v>
      </c>
      <c r="N49" s="27">
        <f t="shared" si="13"/>
        <v>3.759247428451009E-2</v>
      </c>
      <c r="O49" s="27">
        <f t="shared" si="13"/>
        <v>3.7023578211438583E-2</v>
      </c>
      <c r="P49" s="27">
        <f t="shared" si="13"/>
        <v>3.6243206089281214E-2</v>
      </c>
      <c r="Q49" s="27">
        <f t="shared" si="13"/>
        <v>3.5676569387541844E-2</v>
      </c>
      <c r="R49" s="27">
        <f t="shared" si="13"/>
        <v>3.5160072434777256E-2</v>
      </c>
      <c r="S49" s="27">
        <f t="shared" si="13"/>
        <v>3.132741070223205E-2</v>
      </c>
      <c r="T49" s="27">
        <f t="shared" si="13"/>
        <v>3.1816533021911265E-2</v>
      </c>
      <c r="U49" s="27">
        <f t="shared" si="13"/>
        <v>3.2024267762765575E-2</v>
      </c>
      <c r="V49" s="27">
        <f t="shared" si="13"/>
        <v>3.2161076656727829E-2</v>
      </c>
      <c r="W49" s="27">
        <f t="shared" si="13"/>
        <v>3.2414402500845374E-2</v>
      </c>
      <c r="X49" s="27">
        <f t="shared" si="13"/>
        <v>3.2603081292804072E-2</v>
      </c>
      <c r="Y49" s="27">
        <f t="shared" si="13"/>
        <v>3.2702050318540822E-2</v>
      </c>
      <c r="Z49" s="27">
        <f t="shared" si="13"/>
        <v>3.2762688085523954E-2</v>
      </c>
      <c r="AA49" s="27">
        <f t="shared" si="13"/>
        <v>3.2770913676457285E-2</v>
      </c>
      <c r="AB49" s="27">
        <f t="shared" si="13"/>
        <v>3.2961213732434436E-2</v>
      </c>
      <c r="AC49" s="27">
        <f t="shared" si="13"/>
        <v>3.3127439656806437E-2</v>
      </c>
      <c r="AD49" s="27">
        <f t="shared" si="13"/>
        <v>3.3366608486320448E-2</v>
      </c>
      <c r="AE49" s="27">
        <f t="shared" si="13"/>
        <v>3.377060983968385E-2</v>
      </c>
      <c r="AF49" s="27">
        <f t="shared" si="13"/>
        <v>3.4243717899607513E-2</v>
      </c>
      <c r="AG49" s="27">
        <f t="shared" si="13"/>
        <v>3.4884267903953659E-2</v>
      </c>
      <c r="AH49" s="27">
        <f t="shared" si="13"/>
        <v>3.523006462386518E-2</v>
      </c>
      <c r="AI49" s="27">
        <f t="shared" si="13"/>
        <v>3.5532083043879219E-2</v>
      </c>
      <c r="AJ49" s="27">
        <f t="shared" si="13"/>
        <v>3.5911633652141173E-2</v>
      </c>
      <c r="AK49" s="27">
        <f t="shared" si="13"/>
        <v>3.6241165295680604E-2</v>
      </c>
      <c r="AL49" s="27">
        <f t="shared" si="13"/>
        <v>3.6605788650157255E-2</v>
      </c>
      <c r="AM49" s="27">
        <f t="shared" si="13"/>
        <v>3.6961450110584139E-2</v>
      </c>
      <c r="AN49" s="27">
        <f t="shared" si="13"/>
        <v>3.7440289782188468E-2</v>
      </c>
      <c r="AO49" s="27">
        <f t="shared" si="13"/>
        <v>3.7856098148438051E-2</v>
      </c>
      <c r="AP49" s="27">
        <f t="shared" si="13"/>
        <v>3.82715369822701E-2</v>
      </c>
      <c r="AQ49" s="27">
        <f t="shared" si="13"/>
        <v>3.8701730455524434E-2</v>
      </c>
      <c r="AR49" s="27">
        <f t="shared" si="13"/>
        <v>3.9151514362431208E-2</v>
      </c>
      <c r="AS49" s="27">
        <f t="shared" si="13"/>
        <v>3.973767147919479E-2</v>
      </c>
      <c r="AT49" s="27">
        <f t="shared" si="13"/>
        <v>3.9919199375928846E-2</v>
      </c>
      <c r="AU49" s="27">
        <f t="shared" si="13"/>
        <v>4.0064188382797468E-2</v>
      </c>
      <c r="AV49" s="27">
        <f t="shared" si="13"/>
        <v>4.0213714055816842E-2</v>
      </c>
      <c r="AW49" s="27">
        <f t="shared" si="13"/>
        <v>4.0350561780624759E-2</v>
      </c>
      <c r="AY49" s="79"/>
    </row>
    <row r="50" spans="1:51" x14ac:dyDescent="0.2">
      <c r="A50" s="95" t="str">
        <f t="shared" si="0"/>
        <v>FS Poultry MMN2O</v>
      </c>
      <c r="B50" s="95" t="s">
        <v>1004</v>
      </c>
      <c r="C50" s="95" t="s">
        <v>1234</v>
      </c>
      <c r="D50" t="s">
        <v>15</v>
      </c>
      <c r="E50" t="s">
        <v>657</v>
      </c>
      <c r="F50" t="s">
        <v>28</v>
      </c>
      <c r="G50" t="s">
        <v>131</v>
      </c>
      <c r="H50" t="s">
        <v>1227</v>
      </c>
      <c r="I50" t="s">
        <v>139</v>
      </c>
      <c r="J50" t="s">
        <v>287</v>
      </c>
      <c r="K50" s="27">
        <f t="shared" si="7"/>
        <v>0.32784224726088984</v>
      </c>
      <c r="L50" s="27">
        <f t="shared" si="13"/>
        <v>0.33450793008613738</v>
      </c>
      <c r="M50" s="27">
        <f t="shared" si="13"/>
        <v>0.34229948156355033</v>
      </c>
      <c r="N50" s="27">
        <f t="shared" si="13"/>
        <v>0.34828124731402299</v>
      </c>
      <c r="O50" s="27">
        <f t="shared" si="13"/>
        <v>0.35308310351311484</v>
      </c>
      <c r="P50" s="27">
        <f t="shared" si="13"/>
        <v>0.35667649320457151</v>
      </c>
      <c r="Q50" s="27">
        <f t="shared" si="13"/>
        <v>0.36128421068096001</v>
      </c>
      <c r="R50" s="27">
        <f t="shared" si="13"/>
        <v>0.36607496135357964</v>
      </c>
      <c r="S50" s="27">
        <f t="shared" si="13"/>
        <v>0.35143183243338239</v>
      </c>
      <c r="T50" s="27">
        <f t="shared" si="13"/>
        <v>0.36075285272545593</v>
      </c>
      <c r="U50" s="27">
        <f t="shared" si="13"/>
        <v>0.36853031698633509</v>
      </c>
      <c r="V50" s="27">
        <f t="shared" si="13"/>
        <v>0.37596763636775804</v>
      </c>
      <c r="W50" s="27">
        <f t="shared" si="13"/>
        <v>0.38423631077311071</v>
      </c>
      <c r="X50" s="27">
        <f t="shared" si="13"/>
        <v>0.39220730600957571</v>
      </c>
      <c r="Y50" s="27">
        <f t="shared" si="13"/>
        <v>0.39936428537617313</v>
      </c>
      <c r="Z50" s="27">
        <f t="shared" si="13"/>
        <v>0.40634242638516721</v>
      </c>
      <c r="AA50" s="27">
        <f t="shared" si="13"/>
        <v>0.41303118340854511</v>
      </c>
      <c r="AB50" s="27">
        <f t="shared" si="13"/>
        <v>0.42107387695618559</v>
      </c>
      <c r="AC50" s="27">
        <f t="shared" si="13"/>
        <v>0.42906142963568294</v>
      </c>
      <c r="AD50" s="27">
        <f t="shared" si="13"/>
        <v>0.43743347438516689</v>
      </c>
      <c r="AE50" s="27">
        <f t="shared" si="13"/>
        <v>0.44718290108725961</v>
      </c>
      <c r="AF50" s="27">
        <f t="shared" si="13"/>
        <v>0.45765280094933275</v>
      </c>
      <c r="AG50" s="27">
        <f t="shared" si="13"/>
        <v>0.46964954754544574</v>
      </c>
      <c r="AH50" s="27">
        <f t="shared" si="13"/>
        <v>0.47956610826401264</v>
      </c>
      <c r="AI50" s="27">
        <f t="shared" si="13"/>
        <v>0.48905427439468169</v>
      </c>
      <c r="AJ50" s="27">
        <f t="shared" si="13"/>
        <v>0.49936104134598547</v>
      </c>
      <c r="AK50" s="27">
        <f t="shared" si="13"/>
        <v>0.5094502425603159</v>
      </c>
      <c r="AL50" s="27">
        <f t="shared" si="13"/>
        <v>0.52003660978561117</v>
      </c>
      <c r="AM50" s="27">
        <f t="shared" si="13"/>
        <v>0.53075624094362661</v>
      </c>
      <c r="AN50" s="27">
        <f t="shared" si="13"/>
        <v>0.54254535314858965</v>
      </c>
      <c r="AO50" s="27">
        <f t="shared" si="13"/>
        <v>0.55401935597193963</v>
      </c>
      <c r="AP50" s="27">
        <f t="shared" si="13"/>
        <v>0.56573487647354037</v>
      </c>
      <c r="AQ50" s="27">
        <f t="shared" si="13"/>
        <v>0.57784177154062866</v>
      </c>
      <c r="AR50" s="27">
        <f t="shared" si="13"/>
        <v>0.59040171392478091</v>
      </c>
      <c r="AS50" s="27">
        <f t="shared" si="13"/>
        <v>0.60432458622346374</v>
      </c>
      <c r="AT50" s="27">
        <f t="shared" si="13"/>
        <v>0.61453867581789445</v>
      </c>
      <c r="AU50" s="27">
        <f t="shared" si="13"/>
        <v>0.62457515677108666</v>
      </c>
      <c r="AV50" s="27">
        <f t="shared" si="13"/>
        <v>0.63484544126508857</v>
      </c>
      <c r="AW50" s="27">
        <f t="shared" si="13"/>
        <v>0.64517661361237144</v>
      </c>
      <c r="AY50" s="79"/>
    </row>
    <row r="51" spans="1:51" x14ac:dyDescent="0.2">
      <c r="A51" s="95" t="str">
        <f t="shared" si="0"/>
        <v>FS Poultry MMN2O</v>
      </c>
      <c r="B51" s="95" t="s">
        <v>1004</v>
      </c>
      <c r="C51" s="95" t="s">
        <v>1234</v>
      </c>
      <c r="D51" t="s">
        <v>15</v>
      </c>
      <c r="E51" t="s">
        <v>657</v>
      </c>
      <c r="F51" t="s">
        <v>28</v>
      </c>
      <c r="G51" t="s">
        <v>132</v>
      </c>
      <c r="H51" t="s">
        <v>1227</v>
      </c>
      <c r="I51" t="s">
        <v>139</v>
      </c>
      <c r="J51" t="s">
        <v>287</v>
      </c>
      <c r="K51" s="27">
        <f t="shared" si="7"/>
        <v>1.7017151675634961</v>
      </c>
      <c r="L51" s="27">
        <f t="shared" si="13"/>
        <v>1.7241237147327644</v>
      </c>
      <c r="M51" s="27">
        <f t="shared" si="13"/>
        <v>1.7601182693498112</v>
      </c>
      <c r="N51" s="27">
        <f t="shared" si="13"/>
        <v>1.7704533576020511</v>
      </c>
      <c r="O51" s="27">
        <f t="shared" si="13"/>
        <v>1.7641159598844758</v>
      </c>
      <c r="P51" s="27">
        <f t="shared" si="13"/>
        <v>1.7411735022142167</v>
      </c>
      <c r="Q51" s="27">
        <f t="shared" si="13"/>
        <v>1.7315152516158574</v>
      </c>
      <c r="R51" s="27">
        <f t="shared" si="13"/>
        <v>1.7240481490859678</v>
      </c>
      <c r="S51" s="27">
        <f t="shared" si="13"/>
        <v>1.4738757031674365</v>
      </c>
      <c r="T51" s="27">
        <f t="shared" si="13"/>
        <v>1.5388372787954712</v>
      </c>
      <c r="U51" s="27">
        <f t="shared" si="13"/>
        <v>1.5836036619864218</v>
      </c>
      <c r="V51" s="27">
        <f t="shared" si="13"/>
        <v>1.6233328828738469</v>
      </c>
      <c r="W51" s="27">
        <f t="shared" si="13"/>
        <v>1.6722487915194271</v>
      </c>
      <c r="X51" s="27">
        <f t="shared" si="13"/>
        <v>1.7166486312949987</v>
      </c>
      <c r="Y51" s="27">
        <f t="shared" si="13"/>
        <v>1.7558377432347874</v>
      </c>
      <c r="Z51" s="27">
        <f t="shared" si="13"/>
        <v>1.7922488857917309</v>
      </c>
      <c r="AA51" s="27">
        <f t="shared" si="13"/>
        <v>1.8246587141077992</v>
      </c>
      <c r="AB51" s="27">
        <f t="shared" si="13"/>
        <v>1.8721447091119181</v>
      </c>
      <c r="AC51" s="27">
        <f t="shared" si="13"/>
        <v>1.9182061569635991</v>
      </c>
      <c r="AD51" s="27">
        <f t="shared" si="13"/>
        <v>1.9720971341440943</v>
      </c>
      <c r="AE51" s="27">
        <f t="shared" si="13"/>
        <v>2.0407669485031263</v>
      </c>
      <c r="AF51" s="27">
        <f t="shared" si="13"/>
        <v>2.1165368943229095</v>
      </c>
      <c r="AG51" s="27">
        <f t="shared" si="13"/>
        <v>2.2082604288024275</v>
      </c>
      <c r="AH51" s="27">
        <f t="shared" si="13"/>
        <v>2.275680198252084</v>
      </c>
      <c r="AI51" s="27">
        <f t="shared" si="13"/>
        <v>2.3413904736766207</v>
      </c>
      <c r="AJ51" s="27">
        <f t="shared" si="13"/>
        <v>2.415218944506448</v>
      </c>
      <c r="AK51" s="27">
        <f t="shared" ref="L51:AW53" si="14">AK1426</f>
        <v>2.4857625444009255</v>
      </c>
      <c r="AL51" s="27">
        <f t="shared" si="14"/>
        <v>2.5608054567251783</v>
      </c>
      <c r="AM51" s="27">
        <f t="shared" si="14"/>
        <v>2.6363672729917886</v>
      </c>
      <c r="AN51" s="27">
        <f t="shared" si="14"/>
        <v>2.7260471010137848</v>
      </c>
      <c r="AO51" s="27">
        <f t="shared" si="14"/>
        <v>2.8113754255419443</v>
      </c>
      <c r="AP51" s="27">
        <f t="shared" si="14"/>
        <v>2.8983044964731111</v>
      </c>
      <c r="AQ51" s="27">
        <f t="shared" si="14"/>
        <v>2.9883855152257053</v>
      </c>
      <c r="AR51" s="27">
        <f t="shared" si="14"/>
        <v>3.0822159477018669</v>
      </c>
      <c r="AS51" s="27">
        <f t="shared" si="14"/>
        <v>3.1927841339465477</v>
      </c>
      <c r="AT51" s="27">
        <f t="shared" si="14"/>
        <v>3.2639921874822613</v>
      </c>
      <c r="AU51" s="27">
        <f t="shared" si="14"/>
        <v>3.3326892535191242</v>
      </c>
      <c r="AV51" s="27">
        <f t="shared" si="14"/>
        <v>3.4031153641230509</v>
      </c>
      <c r="AW51" s="27">
        <f t="shared" si="14"/>
        <v>3.4734928434212469</v>
      </c>
      <c r="AY51" s="79"/>
    </row>
    <row r="52" spans="1:51" x14ac:dyDescent="0.2">
      <c r="A52" s="95" t="str">
        <f t="shared" si="0"/>
        <v>FS Poultry MMN2O</v>
      </c>
      <c r="B52" s="95" t="s">
        <v>1004</v>
      </c>
      <c r="C52" s="95" t="s">
        <v>1234</v>
      </c>
      <c r="D52" t="s">
        <v>15</v>
      </c>
      <c r="E52" t="s">
        <v>657</v>
      </c>
      <c r="F52" t="s">
        <v>28</v>
      </c>
      <c r="G52" t="s">
        <v>134</v>
      </c>
      <c r="H52" t="s">
        <v>1227</v>
      </c>
      <c r="I52" t="s">
        <v>139</v>
      </c>
      <c r="J52" t="s">
        <v>287</v>
      </c>
      <c r="K52" s="27">
        <f t="shared" si="7"/>
        <v>1.3660093635870424E-2</v>
      </c>
      <c r="L52" s="27">
        <f t="shared" si="14"/>
        <v>1.3937830420255738E-2</v>
      </c>
      <c r="M52" s="27">
        <f t="shared" si="14"/>
        <v>1.4262478398481276E-2</v>
      </c>
      <c r="N52" s="27">
        <f t="shared" si="14"/>
        <v>1.4511718638084306E-2</v>
      </c>
      <c r="O52" s="27">
        <f t="shared" si="14"/>
        <v>1.4711795979713135E-2</v>
      </c>
      <c r="P52" s="27">
        <f t="shared" si="14"/>
        <v>1.4861520550190493E-2</v>
      </c>
      <c r="Q52" s="27">
        <f t="shared" si="14"/>
        <v>1.5053508778373347E-2</v>
      </c>
      <c r="R52" s="27">
        <f t="shared" si="14"/>
        <v>1.5253123389732504E-2</v>
      </c>
      <c r="S52" s="27">
        <f t="shared" si="14"/>
        <v>1.4642993018057613E-2</v>
      </c>
      <c r="T52" s="27">
        <f t="shared" si="14"/>
        <v>1.5031368863560678E-2</v>
      </c>
      <c r="U52" s="27">
        <f t="shared" si="14"/>
        <v>1.5355429874430639E-2</v>
      </c>
      <c r="V52" s="27">
        <f t="shared" si="14"/>
        <v>1.5665318181989931E-2</v>
      </c>
      <c r="W52" s="27">
        <f t="shared" si="14"/>
        <v>1.6009846282212959E-2</v>
      </c>
      <c r="X52" s="27">
        <f t="shared" si="14"/>
        <v>1.6341971083732341E-2</v>
      </c>
      <c r="Y52" s="27">
        <f t="shared" si="14"/>
        <v>1.6640178557340561E-2</v>
      </c>
      <c r="Z52" s="27">
        <f t="shared" si="14"/>
        <v>1.693093443271531E-2</v>
      </c>
      <c r="AA52" s="27">
        <f t="shared" si="14"/>
        <v>1.7209632642022729E-2</v>
      </c>
      <c r="AB52" s="27">
        <f t="shared" si="14"/>
        <v>1.7544744873174416E-2</v>
      </c>
      <c r="AC52" s="27">
        <f t="shared" si="14"/>
        <v>1.7877559568153477E-2</v>
      </c>
      <c r="AD52" s="27">
        <f t="shared" si="14"/>
        <v>1.8226394766048638E-2</v>
      </c>
      <c r="AE52" s="27">
        <f t="shared" si="14"/>
        <v>1.8632620878635837E-2</v>
      </c>
      <c r="AF52" s="27">
        <f t="shared" si="14"/>
        <v>1.906886670622222E-2</v>
      </c>
      <c r="AG52" s="27">
        <f t="shared" si="14"/>
        <v>1.9568731147726923E-2</v>
      </c>
      <c r="AH52" s="27">
        <f t="shared" si="14"/>
        <v>1.9981921177667211E-2</v>
      </c>
      <c r="AI52" s="27">
        <f t="shared" si="14"/>
        <v>2.0377261433111755E-2</v>
      </c>
      <c r="AJ52" s="27">
        <f t="shared" si="14"/>
        <v>2.0806710056082745E-2</v>
      </c>
      <c r="AK52" s="27">
        <f t="shared" si="14"/>
        <v>2.1227093440013181E-2</v>
      </c>
      <c r="AL52" s="27">
        <f t="shared" si="14"/>
        <v>2.1668192074400485E-2</v>
      </c>
      <c r="AM52" s="27">
        <f t="shared" si="14"/>
        <v>2.2114843372651131E-2</v>
      </c>
      <c r="AN52" s="27">
        <f t="shared" si="14"/>
        <v>2.2606056381191265E-2</v>
      </c>
      <c r="AO52" s="27">
        <f t="shared" si="14"/>
        <v>2.3084139832164171E-2</v>
      </c>
      <c r="AP52" s="27">
        <f t="shared" si="14"/>
        <v>2.3572286519730874E-2</v>
      </c>
      <c r="AQ52" s="27">
        <f t="shared" si="14"/>
        <v>2.4076740480859553E-2</v>
      </c>
      <c r="AR52" s="27">
        <f t="shared" si="14"/>
        <v>2.4600071413532563E-2</v>
      </c>
      <c r="AS52" s="27">
        <f t="shared" si="14"/>
        <v>2.5180191092644345E-2</v>
      </c>
      <c r="AT52" s="27">
        <f t="shared" si="14"/>
        <v>2.5605778159078961E-2</v>
      </c>
      <c r="AU52" s="27">
        <f t="shared" si="14"/>
        <v>2.6023964865461973E-2</v>
      </c>
      <c r="AV52" s="27">
        <f t="shared" si="14"/>
        <v>2.6451893386045391E-2</v>
      </c>
      <c r="AW52" s="27">
        <f t="shared" si="14"/>
        <v>2.6882358900515501E-2</v>
      </c>
      <c r="AY52" s="79"/>
    </row>
    <row r="53" spans="1:51" x14ac:dyDescent="0.2">
      <c r="A53" s="95" t="str">
        <f t="shared" si="0"/>
        <v>FS Poultry MMN2O</v>
      </c>
      <c r="B53" s="95" t="s">
        <v>1004</v>
      </c>
      <c r="C53" s="95" t="s">
        <v>1234</v>
      </c>
      <c r="D53" t="s">
        <v>15</v>
      </c>
      <c r="E53" t="s">
        <v>657</v>
      </c>
      <c r="F53" t="s">
        <v>28</v>
      </c>
      <c r="G53" t="s">
        <v>133</v>
      </c>
      <c r="H53" t="s">
        <v>1227</v>
      </c>
      <c r="I53" t="s">
        <v>139</v>
      </c>
      <c r="J53" t="s">
        <v>287</v>
      </c>
      <c r="K53" s="27">
        <f t="shared" si="7"/>
        <v>7.0904798648479067E-2</v>
      </c>
      <c r="L53" s="27">
        <f t="shared" si="14"/>
        <v>7.1838488113865256E-2</v>
      </c>
      <c r="M53" s="27">
        <f t="shared" si="14"/>
        <v>7.333826122290886E-2</v>
      </c>
      <c r="N53" s="27">
        <f t="shared" si="14"/>
        <v>7.3768889900085552E-2</v>
      </c>
      <c r="O53" s="27">
        <f t="shared" si="14"/>
        <v>7.3504831661853232E-2</v>
      </c>
      <c r="P53" s="27">
        <f t="shared" si="14"/>
        <v>7.2548895925592424E-2</v>
      </c>
      <c r="Q53" s="27">
        <f t="shared" si="14"/>
        <v>7.2146468817327461E-2</v>
      </c>
      <c r="R53" s="27">
        <f t="shared" si="14"/>
        <v>7.1835339545248733E-2</v>
      </c>
      <c r="S53" s="27">
        <f t="shared" si="14"/>
        <v>6.1411487631976583E-2</v>
      </c>
      <c r="T53" s="27">
        <f t="shared" si="14"/>
        <v>6.4118219949811373E-2</v>
      </c>
      <c r="U53" s="27">
        <f t="shared" si="14"/>
        <v>6.5983485916100967E-2</v>
      </c>
      <c r="V53" s="27">
        <f t="shared" si="14"/>
        <v>6.7638870119743691E-2</v>
      </c>
      <c r="W53" s="27">
        <f t="shared" si="14"/>
        <v>6.9677032979976197E-2</v>
      </c>
      <c r="X53" s="27">
        <f t="shared" si="14"/>
        <v>7.1527026303958338E-2</v>
      </c>
      <c r="Y53" s="27">
        <f t="shared" si="14"/>
        <v>7.3159905968116196E-2</v>
      </c>
      <c r="Z53" s="27">
        <f t="shared" si="14"/>
        <v>7.4677036907988839E-2</v>
      </c>
      <c r="AA53" s="27">
        <f t="shared" si="14"/>
        <v>7.6027446421158371E-2</v>
      </c>
      <c r="AB53" s="27">
        <f t="shared" si="14"/>
        <v>7.8006029546329986E-2</v>
      </c>
      <c r="AC53" s="27">
        <f t="shared" si="14"/>
        <v>7.9925256540150022E-2</v>
      </c>
      <c r="AD53" s="27">
        <f t="shared" si="14"/>
        <v>8.2170713922670655E-2</v>
      </c>
      <c r="AE53" s="27">
        <f t="shared" si="14"/>
        <v>8.5031956187630361E-2</v>
      </c>
      <c r="AF53" s="27">
        <f t="shared" si="14"/>
        <v>8.8189037263454617E-2</v>
      </c>
      <c r="AG53" s="27">
        <f t="shared" si="14"/>
        <v>9.2010851200101232E-2</v>
      </c>
      <c r="AH53" s="27">
        <f t="shared" si="14"/>
        <v>9.4820008260503588E-2</v>
      </c>
      <c r="AI53" s="27">
        <f t="shared" si="14"/>
        <v>9.755793640319263E-2</v>
      </c>
      <c r="AJ53" s="27">
        <f t="shared" si="14"/>
        <v>0.10063412268776877</v>
      </c>
      <c r="AK53" s="27">
        <f t="shared" si="14"/>
        <v>0.10357343935003867</v>
      </c>
      <c r="AL53" s="27">
        <f t="shared" si="14"/>
        <v>0.10670022736354919</v>
      </c>
      <c r="AM53" s="27">
        <f t="shared" si="14"/>
        <v>0.10984863637465794</v>
      </c>
      <c r="AN53" s="27">
        <f t="shared" si="14"/>
        <v>0.11358529587557446</v>
      </c>
      <c r="AO53" s="27">
        <f t="shared" si="14"/>
        <v>0.11714064273091444</v>
      </c>
      <c r="AP53" s="27">
        <f t="shared" si="14"/>
        <v>0.12076268735304639</v>
      </c>
      <c r="AQ53" s="27">
        <f t="shared" si="14"/>
        <v>0.12451606313440448</v>
      </c>
      <c r="AR53" s="27">
        <f t="shared" si="14"/>
        <v>0.12842566448757792</v>
      </c>
      <c r="AS53" s="27">
        <f t="shared" si="14"/>
        <v>0.1330326722477729</v>
      </c>
      <c r="AT53" s="27">
        <f t="shared" si="14"/>
        <v>0.1359996744784277</v>
      </c>
      <c r="AU53" s="27">
        <f t="shared" si="14"/>
        <v>0.13886205222996365</v>
      </c>
      <c r="AV53" s="27">
        <f t="shared" si="14"/>
        <v>0.14179647350512722</v>
      </c>
      <c r="AW53" s="27">
        <f t="shared" si="14"/>
        <v>0.14472886847588542</v>
      </c>
      <c r="AY53" s="79"/>
    </row>
    <row r="54" spans="1:51" x14ac:dyDescent="0.2">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6.60388696259374</v>
      </c>
      <c r="U54" s="22">
        <f t="shared" si="15"/>
        <v>6.6020342469478921</v>
      </c>
      <c r="V54" s="22">
        <f t="shared" si="15"/>
        <v>6.6005840725031204</v>
      </c>
      <c r="W54" s="22">
        <f t="shared" si="15"/>
        <v>6.5992416571177221</v>
      </c>
      <c r="X54" s="22">
        <f t="shared" si="15"/>
        <v>6.5977411232427086</v>
      </c>
      <c r="Y54" s="22">
        <f t="shared" si="15"/>
        <v>6.5963380636148372</v>
      </c>
      <c r="Z54" s="22">
        <f t="shared" si="15"/>
        <v>6.5950885900535399</v>
      </c>
      <c r="AA54" s="22">
        <f t="shared" si="15"/>
        <v>6.593899664910774</v>
      </c>
      <c r="AB54" s="22">
        <f t="shared" si="15"/>
        <v>6.5927919026350441</v>
      </c>
      <c r="AC54" s="22">
        <f t="shared" si="15"/>
        <v>6.5914248070564794</v>
      </c>
      <c r="AD54" s="22">
        <f t="shared" si="15"/>
        <v>6.5900953819081538</v>
      </c>
      <c r="AE54" s="22">
        <f t="shared" si="15"/>
        <v>6.5886770470789005</v>
      </c>
      <c r="AF54" s="22">
        <f t="shared" si="15"/>
        <v>6.5870194021035937</v>
      </c>
      <c r="AG54" s="22">
        <f t="shared" si="15"/>
        <v>6.5852622329414547</v>
      </c>
      <c r="AH54" s="22">
        <f t="shared" si="15"/>
        <v>6.5832642389355076</v>
      </c>
      <c r="AI54" s="22">
        <f t="shared" si="15"/>
        <v>6.5816933184770097</v>
      </c>
      <c r="AJ54" s="22">
        <f t="shared" si="15"/>
        <v>6.5801985919199808</v>
      </c>
      <c r="AK54" s="22">
        <f t="shared" si="15"/>
        <v>6.5785915117586082</v>
      </c>
      <c r="AL54" s="22">
        <f t="shared" si="15"/>
        <v>6.5770555695996213</v>
      </c>
      <c r="AM54" s="22">
        <f t="shared" si="15"/>
        <v>6.5754680730045454</v>
      </c>
      <c r="AN54" s="22">
        <f t="shared" si="15"/>
        <v>6.5738921443316158</v>
      </c>
      <c r="AO54" s="22">
        <f t="shared" si="15"/>
        <v>6.5721499435540869</v>
      </c>
      <c r="AP54" s="22">
        <f t="shared" si="15"/>
        <v>6.5704963238558332</v>
      </c>
      <c r="AQ54" s="22">
        <f t="shared" si="15"/>
        <v>6.5688413494168394</v>
      </c>
      <c r="AR54" s="22">
        <f t="shared" si="15"/>
        <v>6.5671634182939496</v>
      </c>
      <c r="AS54" s="22">
        <f t="shared" si="15"/>
        <v>6.5654557216665381</v>
      </c>
      <c r="AT54" s="22">
        <f t="shared" si="15"/>
        <v>6.5635649622881891</v>
      </c>
      <c r="AU54" s="22">
        <f t="shared" si="15"/>
        <v>6.5622389108641883</v>
      </c>
      <c r="AV54" s="22">
        <f t="shared" si="15"/>
        <v>6.560960344070546</v>
      </c>
      <c r="AW54" s="22">
        <f t="shared" si="15"/>
        <v>6.5596714127254918</v>
      </c>
      <c r="AY54" s="79"/>
    </row>
    <row r="55" spans="1:51" x14ac:dyDescent="0.2">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4.358565395311869E-2</v>
      </c>
      <c r="U55" s="22">
        <f t="shared" si="16"/>
        <v>4.3573426029856095E-2</v>
      </c>
      <c r="V55" s="22">
        <f t="shared" si="16"/>
        <v>4.3563854878520596E-2</v>
      </c>
      <c r="W55" s="22">
        <f t="shared" si="16"/>
        <v>4.3554994936976968E-2</v>
      </c>
      <c r="X55" s="22">
        <f t="shared" si="16"/>
        <v>4.354509141340189E-2</v>
      </c>
      <c r="Y55" s="22">
        <f t="shared" si="16"/>
        <v>4.3535831219857934E-2</v>
      </c>
      <c r="Z55" s="22">
        <f t="shared" si="16"/>
        <v>4.3527584694353361E-2</v>
      </c>
      <c r="AA55" s="22">
        <f t="shared" si="15"/>
        <v>4.3519737788411117E-2</v>
      </c>
      <c r="AB55" s="22">
        <f t="shared" si="15"/>
        <v>4.35124265573913E-2</v>
      </c>
      <c r="AC55" s="22">
        <f t="shared" si="15"/>
        <v>4.350340372657277E-2</v>
      </c>
      <c r="AD55" s="22">
        <f t="shared" si="15"/>
        <v>4.3494629520593811E-2</v>
      </c>
      <c r="AE55" s="22">
        <f t="shared" si="15"/>
        <v>4.3485268510720758E-2</v>
      </c>
      <c r="AF55" s="22">
        <f t="shared" si="15"/>
        <v>4.347432805388373E-2</v>
      </c>
      <c r="AG55" s="22">
        <f t="shared" si="15"/>
        <v>4.3462730737413614E-2</v>
      </c>
      <c r="AH55" s="22">
        <f t="shared" si="15"/>
        <v>4.3449543976974349E-2</v>
      </c>
      <c r="AI55" s="22">
        <f t="shared" si="15"/>
        <v>4.343917590194827E-2</v>
      </c>
      <c r="AJ55" s="22">
        <f t="shared" si="15"/>
        <v>4.3429310706671886E-2</v>
      </c>
      <c r="AK55" s="22">
        <f t="shared" si="15"/>
        <v>4.3418703977606825E-2</v>
      </c>
      <c r="AL55" s="22">
        <f t="shared" si="15"/>
        <v>4.340856675935751E-2</v>
      </c>
      <c r="AM55" s="22">
        <f t="shared" si="15"/>
        <v>4.3398089281830012E-2</v>
      </c>
      <c r="AN55" s="22">
        <f t="shared" si="15"/>
        <v>4.3387688152588685E-2</v>
      </c>
      <c r="AO55" s="22">
        <f t="shared" si="15"/>
        <v>4.3376189627456985E-2</v>
      </c>
      <c r="AP55" s="22">
        <f t="shared" si="15"/>
        <v>4.3365275737448507E-2</v>
      </c>
      <c r="AQ55" s="22">
        <f t="shared" si="15"/>
        <v>4.3354352906151139E-2</v>
      </c>
      <c r="AR55" s="22">
        <f t="shared" si="15"/>
        <v>4.3343278560740071E-2</v>
      </c>
      <c r="AS55" s="22">
        <f t="shared" si="15"/>
        <v>4.3332007762999163E-2</v>
      </c>
      <c r="AT55" s="22">
        <f t="shared" si="15"/>
        <v>4.3319528751102059E-2</v>
      </c>
      <c r="AU55" s="22">
        <f t="shared" si="15"/>
        <v>4.3310776811703651E-2</v>
      </c>
      <c r="AV55" s="22">
        <f t="shared" si="15"/>
        <v>4.3302338270865603E-2</v>
      </c>
      <c r="AW55" s="22">
        <f t="shared" si="15"/>
        <v>4.3293831323988244E-2</v>
      </c>
      <c r="AY55" s="79"/>
    </row>
    <row r="56" spans="1:51" x14ac:dyDescent="0.2">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2.968676648093143</v>
      </c>
      <c r="U56" s="22">
        <f t="shared" si="15"/>
        <v>2.9825082583829583</v>
      </c>
      <c r="V56" s="22">
        <f t="shared" si="15"/>
        <v>2.9933346622173946</v>
      </c>
      <c r="W56" s="22">
        <f t="shared" si="15"/>
        <v>3.0033565813928953</v>
      </c>
      <c r="X56" s="22">
        <f t="shared" si="15"/>
        <v>3.0145589479472883</v>
      </c>
      <c r="Y56" s="22">
        <f t="shared" si="15"/>
        <v>3.0250336120057435</v>
      </c>
      <c r="Z56" s="22">
        <f t="shared" si="15"/>
        <v>3.0343616658849326</v>
      </c>
      <c r="AA56" s="22">
        <f t="shared" si="15"/>
        <v>3.0432376902631781</v>
      </c>
      <c r="AB56" s="22">
        <f t="shared" si="15"/>
        <v>3.0515077861767024</v>
      </c>
      <c r="AC56" s="22">
        <f t="shared" si="15"/>
        <v>3.0617139574874526</v>
      </c>
      <c r="AD56" s="22">
        <f t="shared" si="15"/>
        <v>3.0716388969147959</v>
      </c>
      <c r="AE56" s="22">
        <f t="shared" si="15"/>
        <v>3.0822275993217993</v>
      </c>
      <c r="AF56" s="22">
        <f t="shared" si="15"/>
        <v>3.0946028925022198</v>
      </c>
      <c r="AG56" s="22">
        <f t="shared" si="15"/>
        <v>3.1077211921821801</v>
      </c>
      <c r="AH56" s="22">
        <f t="shared" si="15"/>
        <v>3.122637390743785</v>
      </c>
      <c r="AI56" s="22">
        <f t="shared" si="15"/>
        <v>3.1343652344778912</v>
      </c>
      <c r="AJ56" s="22">
        <f t="shared" si="15"/>
        <v>3.1455242459932262</v>
      </c>
      <c r="AK56" s="22">
        <f t="shared" si="15"/>
        <v>3.1575220431438074</v>
      </c>
      <c r="AL56" s="22">
        <f t="shared" si="15"/>
        <v>3.1689887533313184</v>
      </c>
      <c r="AM56" s="22">
        <f t="shared" si="15"/>
        <v>3.1808403476591942</v>
      </c>
      <c r="AN56" s="22">
        <f t="shared" si="15"/>
        <v>3.1926055806550666</v>
      </c>
      <c r="AO56" s="22">
        <f t="shared" si="15"/>
        <v>3.2056121325538434</v>
      </c>
      <c r="AP56" s="22">
        <f t="shared" si="15"/>
        <v>3.217957374677253</v>
      </c>
      <c r="AQ56" s="22">
        <f t="shared" si="15"/>
        <v>3.2303127307358399</v>
      </c>
      <c r="AR56" s="22">
        <f t="shared" si="15"/>
        <v>3.24283947192085</v>
      </c>
      <c r="AS56" s="22">
        <f t="shared" si="15"/>
        <v>3.2555884300766866</v>
      </c>
      <c r="AT56" s="22">
        <f t="shared" si="15"/>
        <v>3.2697040591705311</v>
      </c>
      <c r="AU56" s="22">
        <f t="shared" si="15"/>
        <v>3.2796038117645905</v>
      </c>
      <c r="AV56" s="22">
        <f t="shared" si="15"/>
        <v>3.2891490637080194</v>
      </c>
      <c r="AW56" s="22">
        <f t="shared" si="15"/>
        <v>3.2987716931142437</v>
      </c>
      <c r="AY56" s="79"/>
    </row>
    <row r="57" spans="1:51" x14ac:dyDescent="0.2">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0.32056321299147922</v>
      </c>
      <c r="M57" s="22">
        <f t="shared" si="15"/>
        <v>0.32309177745176459</v>
      </c>
      <c r="N57" s="22">
        <f t="shared" si="15"/>
        <v>0.32471664946511047</v>
      </c>
      <c r="O57" s="22">
        <f t="shared" si="15"/>
        <v>0.32579638434951891</v>
      </c>
      <c r="P57" s="22">
        <f t="shared" si="15"/>
        <v>0.32632035510276458</v>
      </c>
      <c r="Q57" s="22">
        <f t="shared" si="15"/>
        <v>0.32747800149861978</v>
      </c>
      <c r="R57" s="22">
        <f t="shared" si="15"/>
        <v>0.32880601635823298</v>
      </c>
      <c r="S57" s="22">
        <f t="shared" si="15"/>
        <v>0.31980488008437191</v>
      </c>
      <c r="T57" s="22">
        <f t="shared" si="15"/>
        <v>0.32348013385904834</v>
      </c>
      <c r="U57" s="22">
        <f t="shared" si="15"/>
        <v>0.3263600829079687</v>
      </c>
      <c r="V57" s="22">
        <f t="shared" si="15"/>
        <v>0.32908851818149565</v>
      </c>
      <c r="W57" s="22">
        <f t="shared" si="15"/>
        <v>0.33227832556349268</v>
      </c>
      <c r="X57" s="22">
        <f t="shared" si="15"/>
        <v>0.33533311826905887</v>
      </c>
      <c r="Y57" s="22">
        <f t="shared" si="15"/>
        <v>0.33789515194056902</v>
      </c>
      <c r="Z57" s="22">
        <f t="shared" si="15"/>
        <v>0.34038602610303131</v>
      </c>
      <c r="AA57" s="22">
        <f t="shared" si="15"/>
        <v>0.34274865356811024</v>
      </c>
      <c r="AB57" s="22">
        <f t="shared" si="15"/>
        <v>0.34582201192682688</v>
      </c>
      <c r="AC57" s="22">
        <f t="shared" si="15"/>
        <v>0.34887956660233338</v>
      </c>
      <c r="AD57" s="22">
        <f t="shared" si="15"/>
        <v>0.35206948034993701</v>
      </c>
      <c r="AE57" s="22">
        <f t="shared" si="15"/>
        <v>0.3559611034908382</v>
      </c>
      <c r="AF57" s="22">
        <f t="shared" si="15"/>
        <v>0.36021553712523996</v>
      </c>
      <c r="AG57" s="22">
        <f t="shared" si="15"/>
        <v>0.36523063944756523</v>
      </c>
      <c r="AH57" s="22">
        <f t="shared" si="15"/>
        <v>0.36920261310751928</v>
      </c>
      <c r="AI57" s="22">
        <f t="shared" si="15"/>
        <v>0.3728925335928876</v>
      </c>
      <c r="AJ57" s="22">
        <f t="shared" si="15"/>
        <v>0.37698699496053195</v>
      </c>
      <c r="AK57" s="22">
        <f t="shared" si="15"/>
        <v>0.38097151646383681</v>
      </c>
      <c r="AL57" s="22">
        <f t="shared" si="15"/>
        <v>0.38519729456570295</v>
      </c>
      <c r="AM57" s="22">
        <f t="shared" si="15"/>
        <v>0.38948381880632194</v>
      </c>
      <c r="AN57" s="22">
        <f t="shared" si="15"/>
        <v>0.3942210595490877</v>
      </c>
      <c r="AO57" s="22">
        <f t="shared" si="15"/>
        <v>0.39879649772923048</v>
      </c>
      <c r="AP57" s="22">
        <f t="shared" si="15"/>
        <v>0.40348070497447158</v>
      </c>
      <c r="AQ57" s="22">
        <f t="shared" si="15"/>
        <v>0.40834470639522963</v>
      </c>
      <c r="AR57" s="22">
        <f t="shared" si="15"/>
        <v>0.41341630943614366</v>
      </c>
      <c r="AS57" s="22">
        <f t="shared" si="15"/>
        <v>0.41906350167167566</v>
      </c>
      <c r="AT57" s="22">
        <f t="shared" si="15"/>
        <v>0.42292582986675353</v>
      </c>
      <c r="AU57" s="22">
        <f t="shared" si="15"/>
        <v>0.42669932950648143</v>
      </c>
      <c r="AV57" s="22">
        <f t="shared" si="15"/>
        <v>0.43057975647849034</v>
      </c>
      <c r="AW57" s="22">
        <f t="shared" si="15"/>
        <v>0.43448428362104141</v>
      </c>
      <c r="AY57" s="79"/>
    </row>
    <row r="58" spans="1:51" x14ac:dyDescent="0.2">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0.93731746283627526</v>
      </c>
      <c r="M58" s="22">
        <f t="shared" si="15"/>
        <v>0.94471091139331731</v>
      </c>
      <c r="N58" s="22">
        <f t="shared" si="15"/>
        <v>0.94946198965576145</v>
      </c>
      <c r="O58" s="22">
        <f t="shared" si="15"/>
        <v>0.95261910289076102</v>
      </c>
      <c r="P58" s="22">
        <f t="shared" si="15"/>
        <v>0.95415117805450056</v>
      </c>
      <c r="Q58" s="22">
        <f t="shared" si="15"/>
        <v>0.95753610227115837</v>
      </c>
      <c r="R58" s="22">
        <f t="shared" si="15"/>
        <v>0.96141917889497119</v>
      </c>
      <c r="S58" s="22">
        <f t="shared" si="15"/>
        <v>0.93510011958643091</v>
      </c>
      <c r="T58" s="22">
        <f t="shared" si="15"/>
        <v>0.94584645417427005</v>
      </c>
      <c r="U58" s="22">
        <f t="shared" si="15"/>
        <v>0.95426734099543964</v>
      </c>
      <c r="V58" s="22">
        <f t="shared" si="15"/>
        <v>0.96224520596699892</v>
      </c>
      <c r="W58" s="22">
        <f t="shared" si="15"/>
        <v>0.97157210949510064</v>
      </c>
      <c r="X58" s="22">
        <f t="shared" si="15"/>
        <v>0.98050423405659315</v>
      </c>
      <c r="Y58" s="22">
        <f t="shared" si="15"/>
        <v>0.98799554560875424</v>
      </c>
      <c r="Z58" s="22">
        <f t="shared" si="15"/>
        <v>0.99527878883687138</v>
      </c>
      <c r="AA58" s="22">
        <f t="shared" si="15"/>
        <v>1.0021870424712456</v>
      </c>
      <c r="AB58" s="22">
        <f t="shared" si="15"/>
        <v>1.011173452459766</v>
      </c>
      <c r="AC58" s="22">
        <f t="shared" si="15"/>
        <v>1.0201136529406156</v>
      </c>
      <c r="AD58" s="22">
        <f t="shared" si="15"/>
        <v>1.0294408674786415</v>
      </c>
      <c r="AE58" s="22">
        <f t="shared" si="15"/>
        <v>1.0408198597675704</v>
      </c>
      <c r="AF58" s="22">
        <f t="shared" si="15"/>
        <v>1.0532596993324077</v>
      </c>
      <c r="AG58" s="22">
        <f t="shared" si="15"/>
        <v>1.0679237119019074</v>
      </c>
      <c r="AH58" s="22">
        <f t="shared" si="15"/>
        <v>1.0795376467594282</v>
      </c>
      <c r="AI58" s="22">
        <f t="shared" si="15"/>
        <v>1.0903268663805361</v>
      </c>
      <c r="AJ58" s="22">
        <f t="shared" si="15"/>
        <v>1.102298951714306</v>
      </c>
      <c r="AK58" s="22">
        <f t="shared" si="15"/>
        <v>1.1139495760989377</v>
      </c>
      <c r="AL58" s="22">
        <f t="shared" si="15"/>
        <v>1.1263056277244112</v>
      </c>
      <c r="AM58" s="22">
        <f t="shared" si="15"/>
        <v>1.1388392992836296</v>
      </c>
      <c r="AN58" s="22">
        <f t="shared" si="15"/>
        <v>1.152690852718028</v>
      </c>
      <c r="AO58" s="22">
        <f t="shared" si="15"/>
        <v>1.1660693001897589</v>
      </c>
      <c r="AP58" s="22">
        <f t="shared" si="15"/>
        <v>1.1797657852278758</v>
      </c>
      <c r="AQ58" s="22">
        <f t="shared" si="15"/>
        <v>1.1939879831787625</v>
      </c>
      <c r="AR58" s="22">
        <f t="shared" si="15"/>
        <v>1.2088172021975669</v>
      </c>
      <c r="AS58" s="22">
        <f t="shared" si="15"/>
        <v>1.225329427193572</v>
      </c>
      <c r="AT58" s="22">
        <f t="shared" si="15"/>
        <v>1.2366227619173775</v>
      </c>
      <c r="AU58" s="22">
        <f t="shared" si="15"/>
        <v>1.2476563645423218</v>
      </c>
      <c r="AV58" s="22">
        <f t="shared" si="15"/>
        <v>1.2590026195607404</v>
      </c>
      <c r="AW58" s="22">
        <f t="shared" si="15"/>
        <v>1.2704193427732338</v>
      </c>
      <c r="AY58" s="79"/>
    </row>
    <row r="59" spans="1:51" x14ac:dyDescent="0.2">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5.0141199304605817E-2</v>
      </c>
      <c r="M59" s="22">
        <f t="shared" si="15"/>
        <v>5.0536707115294892E-2</v>
      </c>
      <c r="N59" s="22">
        <f t="shared" si="15"/>
        <v>5.0790863013925151E-2</v>
      </c>
      <c r="O59" s="22">
        <f t="shared" si="15"/>
        <v>5.0959750770976343E-2</v>
      </c>
      <c r="P59" s="22">
        <f t="shared" si="15"/>
        <v>5.1041708153806091E-2</v>
      </c>
      <c r="Q59" s="22">
        <f t="shared" si="15"/>
        <v>5.122278251388987E-2</v>
      </c>
      <c r="R59" s="22">
        <f t="shared" si="15"/>
        <v>5.1430505218981168E-2</v>
      </c>
      <c r="S59" s="22">
        <f t="shared" si="15"/>
        <v>5.0022583942975041E-2</v>
      </c>
      <c r="T59" s="22">
        <f t="shared" si="15"/>
        <v>5.0597452251447961E-2</v>
      </c>
      <c r="U59" s="22">
        <f t="shared" si="15"/>
        <v>5.1047922216174907E-2</v>
      </c>
      <c r="V59" s="22">
        <f t="shared" si="15"/>
        <v>5.147469300987563E-2</v>
      </c>
      <c r="W59" s="22">
        <f t="shared" si="15"/>
        <v>5.1973629759952025E-2</v>
      </c>
      <c r="X59" s="22">
        <f t="shared" si="15"/>
        <v>5.2451448061230796E-2</v>
      </c>
      <c r="Y59" s="22">
        <f t="shared" si="15"/>
        <v>5.285219099036944E-2</v>
      </c>
      <c r="Z59" s="22">
        <f t="shared" si="15"/>
        <v>5.3241803437341126E-2</v>
      </c>
      <c r="AA59" s="22">
        <f t="shared" si="15"/>
        <v>5.361135605538344E-2</v>
      </c>
      <c r="AB59" s="22">
        <f t="shared" si="15"/>
        <v>5.4092078320926051E-2</v>
      </c>
      <c r="AC59" s="22">
        <f t="shared" si="15"/>
        <v>5.457032863835528E-2</v>
      </c>
      <c r="AD59" s="22">
        <f t="shared" si="15"/>
        <v>5.5069282025709015E-2</v>
      </c>
      <c r="AE59" s="22">
        <f t="shared" si="15"/>
        <v>5.5677993954022266E-2</v>
      </c>
      <c r="AF59" s="22">
        <f t="shared" si="15"/>
        <v>5.634345523013079E-2</v>
      </c>
      <c r="AG59" s="22">
        <f t="shared" si="15"/>
        <v>5.7127897221244069E-2</v>
      </c>
      <c r="AH59" s="22">
        <f t="shared" si="15"/>
        <v>5.774917725228023E-2</v>
      </c>
      <c r="AI59" s="22">
        <f t="shared" si="15"/>
        <v>5.8326339668230698E-2</v>
      </c>
      <c r="AJ59" s="22">
        <f t="shared" si="15"/>
        <v>5.8966778730355766E-2</v>
      </c>
      <c r="AK59" s="22">
        <f t="shared" si="15"/>
        <v>5.9590021444222652E-2</v>
      </c>
      <c r="AL59" s="22">
        <f t="shared" si="15"/>
        <v>6.025100053800389E-2</v>
      </c>
      <c r="AM59" s="22">
        <f t="shared" si="15"/>
        <v>6.0921481296750873E-2</v>
      </c>
      <c r="AN59" s="22">
        <f t="shared" si="15"/>
        <v>6.1662461305093973E-2</v>
      </c>
      <c r="AO59" s="22">
        <f t="shared" si="15"/>
        <v>6.2378132811988125E-2</v>
      </c>
      <c r="AP59" s="22">
        <f t="shared" si="15"/>
        <v>6.3110817535465588E-2</v>
      </c>
      <c r="AQ59" s="22">
        <f t="shared" si="15"/>
        <v>6.3871624935604179E-2</v>
      </c>
      <c r="AR59" s="22">
        <f t="shared" si="15"/>
        <v>6.4664904540257612E-2</v>
      </c>
      <c r="AS59" s="22">
        <f t="shared" si="15"/>
        <v>6.5548215475254884E-2</v>
      </c>
      <c r="AT59" s="22">
        <f t="shared" si="15"/>
        <v>6.6152345206804408E-2</v>
      </c>
      <c r="AU59" s="22">
        <f t="shared" si="15"/>
        <v>6.6742580735534546E-2</v>
      </c>
      <c r="AV59" s="22">
        <f t="shared" si="15"/>
        <v>6.7349541404460839E-2</v>
      </c>
      <c r="AW59" s="22">
        <f t="shared" si="15"/>
        <v>6.7960271724443314E-2</v>
      </c>
      <c r="AY59" s="79"/>
    </row>
    <row r="60" spans="1:51" x14ac:dyDescent="0.2">
      <c r="A60" s="95" t="str">
        <f t="shared" si="0"/>
        <v>FS Organic</v>
      </c>
      <c r="B60" s="95" t="s">
        <v>1004</v>
      </c>
      <c r="C60" s="95" t="s">
        <v>1127</v>
      </c>
      <c r="D60" t="s">
        <v>369</v>
      </c>
      <c r="E60" t="s">
        <v>55</v>
      </c>
      <c r="F60" t="s">
        <v>421</v>
      </c>
      <c r="G60" t="s">
        <v>1158</v>
      </c>
      <c r="H60" t="s">
        <v>1159</v>
      </c>
      <c r="I60" t="s">
        <v>139</v>
      </c>
      <c r="J60" t="s">
        <v>287</v>
      </c>
      <c r="K60" s="22">
        <f t="shared" si="16"/>
        <v>0.3999997899835232</v>
      </c>
      <c r="L60" s="22">
        <f t="shared" si="15"/>
        <v>0.39653071954810204</v>
      </c>
      <c r="M60" s="22">
        <f t="shared" si="15"/>
        <v>0.39521014945095023</v>
      </c>
      <c r="N60" s="22">
        <f t="shared" si="15"/>
        <v>0.38993263522397309</v>
      </c>
      <c r="O60" s="22">
        <f t="shared" si="15"/>
        <v>0.38227219443770111</v>
      </c>
      <c r="P60" s="22">
        <f t="shared" si="15"/>
        <v>0.37238723301511378</v>
      </c>
      <c r="Q60" s="22">
        <f t="shared" si="15"/>
        <v>0.36459067483623875</v>
      </c>
      <c r="R60" s="22">
        <f t="shared" si="15"/>
        <v>0.3572142444544395</v>
      </c>
      <c r="S60" s="22">
        <f t="shared" si="15"/>
        <v>0.31703545795580812</v>
      </c>
      <c r="T60" s="22">
        <f t="shared" si="15"/>
        <v>0.32309971218055339</v>
      </c>
      <c r="U60" s="22">
        <f t="shared" si="15"/>
        <v>0.32634203711003062</v>
      </c>
      <c r="V60" s="22">
        <f t="shared" si="15"/>
        <v>0.32883794885575124</v>
      </c>
      <c r="W60" s="22">
        <f t="shared" si="15"/>
        <v>0.33244914541099557</v>
      </c>
      <c r="X60" s="22">
        <f t="shared" si="15"/>
        <v>0.33537982425623064</v>
      </c>
      <c r="Y60" s="22">
        <f t="shared" si="15"/>
        <v>0.33726910277056216</v>
      </c>
      <c r="Z60" s="22">
        <f t="shared" si="15"/>
        <v>0.33873976472971684</v>
      </c>
      <c r="AA60" s="22">
        <f t="shared" si="15"/>
        <v>0.3396512538265225</v>
      </c>
      <c r="AB60" s="22">
        <f t="shared" si="15"/>
        <v>0.34234961980351264</v>
      </c>
      <c r="AC60" s="22">
        <f t="shared" si="15"/>
        <v>0.34477749763229165</v>
      </c>
      <c r="AD60" s="22">
        <f t="shared" si="15"/>
        <v>0.34490271847402698</v>
      </c>
      <c r="AE60" s="22">
        <f t="shared" si="15"/>
        <v>0.34652917307942177</v>
      </c>
      <c r="AF60" s="22">
        <f t="shared" si="15"/>
        <v>0.34867994569293842</v>
      </c>
      <c r="AG60" s="22">
        <f t="shared" si="15"/>
        <v>0.35229087700726325</v>
      </c>
      <c r="AH60" s="22">
        <f t="shared" si="15"/>
        <v>0.35286760038592668</v>
      </c>
      <c r="AI60" s="22">
        <f t="shared" si="15"/>
        <v>0.35280706113320703</v>
      </c>
      <c r="AJ60" s="22">
        <f t="shared" si="15"/>
        <v>0.35333685278149574</v>
      </c>
      <c r="AK60" s="22">
        <f t="shared" si="15"/>
        <v>0.35323906806904226</v>
      </c>
      <c r="AL60" s="22">
        <f t="shared" si="15"/>
        <v>0.35331388529093138</v>
      </c>
      <c r="AM60" s="22">
        <f t="shared" si="15"/>
        <v>0.35314408948749232</v>
      </c>
      <c r="AN60" s="22">
        <f t="shared" si="15"/>
        <v>0.35567872633842856</v>
      </c>
      <c r="AO60" s="22">
        <f t="shared" si="15"/>
        <v>0.35753295708802146</v>
      </c>
      <c r="AP60" s="22">
        <f t="shared" si="15"/>
        <v>0.35928020343080169</v>
      </c>
      <c r="AQ60" s="22">
        <f t="shared" si="15"/>
        <v>0.36105415112579775</v>
      </c>
      <c r="AR60" s="22">
        <f t="shared" si="15"/>
        <v>0.36289326988326759</v>
      </c>
      <c r="AS60" s="22">
        <f t="shared" si="15"/>
        <v>0.36577537997432297</v>
      </c>
      <c r="AT60" s="22">
        <f t="shared" si="15"/>
        <v>0.36496360671057504</v>
      </c>
      <c r="AU60" s="22">
        <f t="shared" si="15"/>
        <v>0.36374650903258482</v>
      </c>
      <c r="AV60" s="22">
        <f t="shared" si="15"/>
        <v>0.36248592595380585</v>
      </c>
      <c r="AW60" s="22">
        <f t="shared" si="15"/>
        <v>0.36103102436723483</v>
      </c>
      <c r="AY60" s="79"/>
    </row>
    <row r="61" spans="1:51" x14ac:dyDescent="0.2">
      <c r="A61" s="95" t="str">
        <f t="shared" si="0"/>
        <v>FS Organic</v>
      </c>
      <c r="B61" s="95" t="s">
        <v>1004</v>
      </c>
      <c r="C61" s="95" t="s">
        <v>1127</v>
      </c>
      <c r="D61" t="s">
        <v>369</v>
      </c>
      <c r="E61" t="s">
        <v>55</v>
      </c>
      <c r="F61" t="s">
        <v>421</v>
      </c>
      <c r="G61" t="s">
        <v>1160</v>
      </c>
      <c r="H61" t="s">
        <v>1161</v>
      </c>
      <c r="I61" t="s">
        <v>139</v>
      </c>
      <c r="J61" t="s">
        <v>287</v>
      </c>
      <c r="K61" s="22">
        <f t="shared" si="16"/>
        <v>2.6602988559851246</v>
      </c>
      <c r="L61" s="22">
        <f t="shared" si="15"/>
        <v>2.6372269335947092</v>
      </c>
      <c r="M61" s="22">
        <f t="shared" si="15"/>
        <v>2.6284441511866339</v>
      </c>
      <c r="N61" s="22">
        <f t="shared" si="15"/>
        <v>2.5933447201068058</v>
      </c>
      <c r="O61" s="22">
        <f t="shared" si="15"/>
        <v>2.5423970387070205</v>
      </c>
      <c r="P61" s="22">
        <f t="shared" ref="L61:AW67" si="17">P1470</f>
        <v>2.4766546252796311</v>
      </c>
      <c r="Q61" s="22">
        <f t="shared" si="17"/>
        <v>2.4248016610449818</v>
      </c>
      <c r="R61" s="22">
        <f t="shared" si="17"/>
        <v>2.3757428620222045</v>
      </c>
      <c r="S61" s="22">
        <f t="shared" si="17"/>
        <v>2.1085237723282266</v>
      </c>
      <c r="T61" s="22">
        <f t="shared" si="17"/>
        <v>2.1488556149453371</v>
      </c>
      <c r="U61" s="22">
        <f t="shared" si="17"/>
        <v>2.1704195095188212</v>
      </c>
      <c r="V61" s="22">
        <f t="shared" si="17"/>
        <v>2.1870191961387908</v>
      </c>
      <c r="W61" s="22">
        <f t="shared" si="17"/>
        <v>2.211036363910428</v>
      </c>
      <c r="X61" s="22">
        <f t="shared" si="17"/>
        <v>2.2305275780922154</v>
      </c>
      <c r="Y61" s="22">
        <f t="shared" si="17"/>
        <v>2.2430926983652055</v>
      </c>
      <c r="Z61" s="22">
        <f t="shared" si="17"/>
        <v>2.252873704319335</v>
      </c>
      <c r="AA61" s="22">
        <f t="shared" si="17"/>
        <v>2.2589357910058689</v>
      </c>
      <c r="AB61" s="22">
        <f t="shared" si="17"/>
        <v>2.2768819502323812</v>
      </c>
      <c r="AC61" s="22">
        <f t="shared" si="17"/>
        <v>2.2930291602362631</v>
      </c>
      <c r="AD61" s="22">
        <f t="shared" si="17"/>
        <v>2.2938619728285596</v>
      </c>
      <c r="AE61" s="22">
        <f t="shared" si="17"/>
        <v>2.3046791168231131</v>
      </c>
      <c r="AF61" s="22">
        <f t="shared" si="17"/>
        <v>2.3189833691414923</v>
      </c>
      <c r="AG61" s="22">
        <f t="shared" si="17"/>
        <v>2.3429987728619159</v>
      </c>
      <c r="AH61" s="22">
        <f t="shared" si="17"/>
        <v>2.346834416236983</v>
      </c>
      <c r="AI61" s="22">
        <f t="shared" si="17"/>
        <v>2.3464317847637033</v>
      </c>
      <c r="AJ61" s="22">
        <f t="shared" si="17"/>
        <v>2.3499552969033255</v>
      </c>
      <c r="AK61" s="22">
        <f t="shared" si="17"/>
        <v>2.3493049551651861</v>
      </c>
      <c r="AL61" s="22">
        <f t="shared" si="17"/>
        <v>2.3498025458509408</v>
      </c>
      <c r="AM61" s="22">
        <f t="shared" si="17"/>
        <v>2.3486732763039284</v>
      </c>
      <c r="AN61" s="22">
        <f t="shared" si="17"/>
        <v>2.3655305139418807</v>
      </c>
      <c r="AO61" s="22">
        <f t="shared" si="17"/>
        <v>2.3778625402713889</v>
      </c>
      <c r="AP61" s="22">
        <f t="shared" si="17"/>
        <v>2.3894830399896865</v>
      </c>
      <c r="AQ61" s="22">
        <f t="shared" si="17"/>
        <v>2.4012811237431047</v>
      </c>
      <c r="AR61" s="22">
        <f t="shared" si="17"/>
        <v>2.413512643981452</v>
      </c>
      <c r="AS61" s="22">
        <f t="shared" si="17"/>
        <v>2.4326808394906876</v>
      </c>
      <c r="AT61" s="22">
        <f t="shared" si="17"/>
        <v>2.4272819379438721</v>
      </c>
      <c r="AU61" s="22">
        <f t="shared" si="17"/>
        <v>2.4191873247929188</v>
      </c>
      <c r="AV61" s="22">
        <f t="shared" si="17"/>
        <v>2.4108035010851898</v>
      </c>
      <c r="AW61" s="22">
        <f t="shared" si="17"/>
        <v>2.4011273134389794</v>
      </c>
      <c r="AY61" s="79"/>
    </row>
    <row r="62" spans="1:51" x14ac:dyDescent="0.2">
      <c r="A62" s="95" t="str">
        <f t="shared" si="0"/>
        <v>FS Organic</v>
      </c>
      <c r="B62" s="95" t="s">
        <v>1004</v>
      </c>
      <c r="C62" s="95" t="s">
        <v>1127</v>
      </c>
      <c r="D62" t="s">
        <v>369</v>
      </c>
      <c r="E62" t="s">
        <v>55</v>
      </c>
      <c r="F62" t="s">
        <v>421</v>
      </c>
      <c r="G62" t="s">
        <v>1162</v>
      </c>
      <c r="H62" t="s">
        <v>1163</v>
      </c>
      <c r="I62" t="s">
        <v>139</v>
      </c>
      <c r="J62" t="s">
        <v>287</v>
      </c>
      <c r="K62" s="22">
        <f t="shared" si="16"/>
        <v>0.34358078636628736</v>
      </c>
      <c r="L62" s="22">
        <f t="shared" si="17"/>
        <v>0.35516571939691516</v>
      </c>
      <c r="M62" s="22">
        <f t="shared" si="17"/>
        <v>0.36891582276573964</v>
      </c>
      <c r="N62" s="22">
        <f t="shared" si="17"/>
        <v>0.37917034791782095</v>
      </c>
      <c r="O62" s="22">
        <f t="shared" si="17"/>
        <v>0.38707850955818868</v>
      </c>
      <c r="P62" s="22">
        <f t="shared" si="17"/>
        <v>0.39252728601928993</v>
      </c>
      <c r="Q62" s="22">
        <f t="shared" si="17"/>
        <v>0.39996713645364929</v>
      </c>
      <c r="R62" s="22">
        <f t="shared" si="17"/>
        <v>0.40776627193753145</v>
      </c>
      <c r="S62" s="22">
        <f t="shared" si="17"/>
        <v>0.37652794837094722</v>
      </c>
      <c r="T62" s="22">
        <f t="shared" si="17"/>
        <v>0.39297526852441034</v>
      </c>
      <c r="U62" s="22">
        <f t="shared" si="17"/>
        <v>0.40635032563114942</v>
      </c>
      <c r="V62" s="22">
        <f t="shared" si="17"/>
        <v>0.41906397887076929</v>
      </c>
      <c r="W62" s="22">
        <f t="shared" si="17"/>
        <v>0.4334881601814114</v>
      </c>
      <c r="X62" s="22">
        <f t="shared" si="17"/>
        <v>0.44733744019305588</v>
      </c>
      <c r="Y62" s="22">
        <f t="shared" si="17"/>
        <v>0.46006881076150558</v>
      </c>
      <c r="Z62" s="22">
        <f t="shared" si="17"/>
        <v>0.47246549989332448</v>
      </c>
      <c r="AA62" s="22">
        <f t="shared" si="17"/>
        <v>0.4842972828341911</v>
      </c>
      <c r="AB62" s="22">
        <f t="shared" si="17"/>
        <v>0.49893915197034427</v>
      </c>
      <c r="AC62" s="22">
        <f t="shared" si="17"/>
        <v>0.51350643977275245</v>
      </c>
      <c r="AD62" s="22">
        <f t="shared" si="17"/>
        <v>0.53072839151044782</v>
      </c>
      <c r="AE62" s="22">
        <f t="shared" si="17"/>
        <v>0.55094843194330412</v>
      </c>
      <c r="AF62" s="22">
        <f t="shared" si="17"/>
        <v>0.57283458620168215</v>
      </c>
      <c r="AG62" s="22">
        <f t="shared" si="17"/>
        <v>0.59810752351139296</v>
      </c>
      <c r="AH62" s="22">
        <f t="shared" si="17"/>
        <v>0.61918227343437504</v>
      </c>
      <c r="AI62" s="22">
        <f t="shared" si="17"/>
        <v>0.63993352160681027</v>
      </c>
      <c r="AJ62" s="22">
        <f t="shared" si="17"/>
        <v>0.66259501614961847</v>
      </c>
      <c r="AK62" s="22">
        <f t="shared" si="17"/>
        <v>0.68496632766069843</v>
      </c>
      <c r="AL62" s="22">
        <f t="shared" si="17"/>
        <v>0.70858354272657831</v>
      </c>
      <c r="AM62" s="22">
        <f t="shared" si="17"/>
        <v>0.73267251576118442</v>
      </c>
      <c r="AN62" s="22">
        <f t="shared" si="17"/>
        <v>0.75875206021259933</v>
      </c>
      <c r="AO62" s="22">
        <f t="shared" si="17"/>
        <v>0.78430196742523084</v>
      </c>
      <c r="AP62" s="22">
        <f t="shared" si="17"/>
        <v>0.81053600981631879</v>
      </c>
      <c r="AQ62" s="22">
        <f t="shared" si="17"/>
        <v>0.83778993006127533</v>
      </c>
      <c r="AR62" s="22">
        <f t="shared" si="17"/>
        <v>0.86620935276117805</v>
      </c>
      <c r="AS62" s="22">
        <f t="shared" si="17"/>
        <v>0.89826083748814867</v>
      </c>
      <c r="AT62" s="22">
        <f t="shared" si="17"/>
        <v>0.9222529178926514</v>
      </c>
      <c r="AU62" s="22">
        <f t="shared" si="17"/>
        <v>0.94598858331962243</v>
      </c>
      <c r="AV62" s="22">
        <f t="shared" si="17"/>
        <v>0.9703863283837505</v>
      </c>
      <c r="AW62" s="22">
        <f t="shared" si="17"/>
        <v>0.99506234412260963</v>
      </c>
      <c r="AY62" s="79"/>
    </row>
    <row r="63" spans="1:51" x14ac:dyDescent="0.2">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5.9536061137450337E-2</v>
      </c>
      <c r="T63" s="22">
        <f t="shared" si="17"/>
        <v>5.9626729725854671E-2</v>
      </c>
      <c r="U63" s="22">
        <f t="shared" si="17"/>
        <v>5.9729206929355502E-2</v>
      </c>
      <c r="V63" s="22">
        <f t="shared" si="17"/>
        <v>5.9844810274995809E-2</v>
      </c>
      <c r="W63" s="22">
        <f t="shared" si="17"/>
        <v>5.9974855541164628E-2</v>
      </c>
      <c r="X63" s="22">
        <f t="shared" si="17"/>
        <v>6.0116631008549089E-2</v>
      </c>
      <c r="Y63" s="22">
        <f t="shared" si="17"/>
        <v>6.0202857685321479E-2</v>
      </c>
      <c r="Z63" s="22">
        <f t="shared" si="17"/>
        <v>6.0299167924469661E-2</v>
      </c>
      <c r="AA63" s="22">
        <f t="shared" si="17"/>
        <v>6.0404855231945616E-2</v>
      </c>
      <c r="AB63" s="22">
        <f t="shared" si="17"/>
        <v>6.052231244286084E-2</v>
      </c>
      <c r="AC63" s="22">
        <f t="shared" si="17"/>
        <v>6.064865362872638E-2</v>
      </c>
      <c r="AD63" s="22">
        <f t="shared" si="17"/>
        <v>6.0731208862415634E-2</v>
      </c>
      <c r="AE63" s="22">
        <f t="shared" si="17"/>
        <v>6.0823877481192126E-2</v>
      </c>
      <c r="AF63" s="22">
        <f t="shared" si="17"/>
        <v>6.0925179087084252E-2</v>
      </c>
      <c r="AG63" s="22">
        <f t="shared" si="17"/>
        <v>6.1036165719670403E-2</v>
      </c>
      <c r="AH63" s="22">
        <f t="shared" si="17"/>
        <v>6.1150437256879263E-2</v>
      </c>
      <c r="AI63" s="22">
        <f t="shared" si="17"/>
        <v>6.1220471443741167E-2</v>
      </c>
      <c r="AJ63" s="22">
        <f t="shared" si="17"/>
        <v>6.1297838147090833E-2</v>
      </c>
      <c r="AK63" s="22">
        <f t="shared" si="17"/>
        <v>6.1380565224491167E-2</v>
      </c>
      <c r="AL63" s="22">
        <f t="shared" si="17"/>
        <v>6.1469636895764942E-2</v>
      </c>
      <c r="AM63" s="22">
        <f t="shared" si="17"/>
        <v>6.1564248264751806E-2</v>
      </c>
      <c r="AN63" s="22">
        <f t="shared" si="17"/>
        <v>6.1619115142281453E-2</v>
      </c>
      <c r="AO63" s="22">
        <f t="shared" si="17"/>
        <v>6.1678131563041472E-2</v>
      </c>
      <c r="AP63" s="22">
        <f t="shared" si="17"/>
        <v>6.1742051762293963E-2</v>
      </c>
      <c r="AQ63" s="22">
        <f t="shared" si="17"/>
        <v>6.1810963980968171E-2</v>
      </c>
      <c r="AR63" s="22">
        <f t="shared" si="17"/>
        <v>6.1884820045811577E-2</v>
      </c>
      <c r="AS63" s="22">
        <f t="shared" si="17"/>
        <v>6.1917844796297146E-2</v>
      </c>
      <c r="AT63" s="22">
        <f t="shared" si="17"/>
        <v>6.1948582957053369E-2</v>
      </c>
      <c r="AU63" s="22">
        <f t="shared" si="17"/>
        <v>6.1982659332367518E-2</v>
      </c>
      <c r="AV63" s="22">
        <f t="shared" si="17"/>
        <v>6.2020620133408491E-2</v>
      </c>
      <c r="AW63" s="22">
        <f t="shared" si="17"/>
        <v>6.2062074580344864E-2</v>
      </c>
      <c r="AY63" s="79"/>
    </row>
    <row r="64" spans="1:51" x14ac:dyDescent="0.2">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4.8454260958953527E-2</v>
      </c>
      <c r="T64" s="22">
        <f t="shared" si="17"/>
        <v>4.8528052865226608E-2</v>
      </c>
      <c r="U64" s="22">
        <f t="shared" si="17"/>
        <v>4.8611455379029278E-2</v>
      </c>
      <c r="V64" s="22">
        <f t="shared" si="17"/>
        <v>4.8705540788281515E-2</v>
      </c>
      <c r="W64" s="22">
        <f t="shared" si="17"/>
        <v>4.8811379957736697E-2</v>
      </c>
      <c r="X64" s="22">
        <f t="shared" si="17"/>
        <v>4.8926765916481318E-2</v>
      </c>
      <c r="Y64" s="22">
        <f t="shared" si="17"/>
        <v>4.8996942710480308E-2</v>
      </c>
      <c r="Z64" s="22">
        <f t="shared" si="17"/>
        <v>4.9075326153582635E-2</v>
      </c>
      <c r="AA64" s="22">
        <f t="shared" si="17"/>
        <v>4.9161341255667866E-2</v>
      </c>
      <c r="AB64" s="22">
        <f t="shared" si="17"/>
        <v>4.9256935459255795E-2</v>
      </c>
      <c r="AC64" s="22">
        <f t="shared" si="17"/>
        <v>4.9359760010844099E-2</v>
      </c>
      <c r="AD64" s="22">
        <f t="shared" si="17"/>
        <v>4.9426948749236969E-2</v>
      </c>
      <c r="AE64" s="22">
        <f t="shared" si="17"/>
        <v>4.9502368408366512E-2</v>
      </c>
      <c r="AF64" s="22">
        <f t="shared" si="17"/>
        <v>4.9584814145516069E-2</v>
      </c>
      <c r="AG64" s="22">
        <f t="shared" si="17"/>
        <v>4.967514217789748E-2</v>
      </c>
      <c r="AH64" s="22">
        <f t="shared" si="17"/>
        <v>4.9768143676120806E-2</v>
      </c>
      <c r="AI64" s="22">
        <f t="shared" si="17"/>
        <v>4.9825141984396873E-2</v>
      </c>
      <c r="AJ64" s="22">
        <f t="shared" si="17"/>
        <v>4.9888107964376358E-2</v>
      </c>
      <c r="AK64" s="22">
        <f t="shared" si="17"/>
        <v>4.9955436560191149E-2</v>
      </c>
      <c r="AL64" s="22">
        <f t="shared" si="17"/>
        <v>5.0027928792990776E-2</v>
      </c>
      <c r="AM64" s="22">
        <f t="shared" si="17"/>
        <v>5.0104929586711242E-2</v>
      </c>
      <c r="AN64" s="22">
        <f t="shared" si="17"/>
        <v>5.0149583766901075E-2</v>
      </c>
      <c r="AO64" s="22">
        <f t="shared" si="17"/>
        <v>5.0197615111228118E-2</v>
      </c>
      <c r="AP64" s="22">
        <f t="shared" si="17"/>
        <v>5.0249637464671662E-2</v>
      </c>
      <c r="AQ64" s="22">
        <f t="shared" si="17"/>
        <v>5.0305722643353402E-2</v>
      </c>
      <c r="AR64" s="22">
        <f t="shared" si="17"/>
        <v>5.0365831440794026E-2</v>
      </c>
      <c r="AS64" s="22">
        <f t="shared" si="17"/>
        <v>5.0392709098596028E-2</v>
      </c>
      <c r="AT64" s="22">
        <f t="shared" si="17"/>
        <v>5.0417725783177193E-2</v>
      </c>
      <c r="AU64" s="22">
        <f t="shared" si="17"/>
        <v>5.0445459320641074E-2</v>
      </c>
      <c r="AV64" s="22">
        <f t="shared" si="17"/>
        <v>5.0476354252632014E-2</v>
      </c>
      <c r="AW64" s="22">
        <f t="shared" si="17"/>
        <v>5.0510092537486409E-2</v>
      </c>
      <c r="AY64" s="79"/>
    </row>
    <row r="65" spans="1:51" x14ac:dyDescent="0.2">
      <c r="A65" s="95" t="str">
        <f t="shared" si="0"/>
        <v>FS Organic</v>
      </c>
      <c r="B65" s="95" t="s">
        <v>1004</v>
      </c>
      <c r="C65" s="95" t="s">
        <v>1127</v>
      </c>
      <c r="D65" t="s">
        <v>369</v>
      </c>
      <c r="E65" t="s">
        <v>55</v>
      </c>
      <c r="F65" t="s">
        <v>421</v>
      </c>
      <c r="G65" t="s">
        <v>1168</v>
      </c>
      <c r="H65" t="s">
        <v>1169</v>
      </c>
      <c r="I65" t="s">
        <v>139</v>
      </c>
      <c r="J65" t="s">
        <v>287</v>
      </c>
      <c r="K65" s="22">
        <f t="shared" si="16"/>
        <v>7.2140927380493743E-3</v>
      </c>
      <c r="L65" s="22">
        <f t="shared" si="17"/>
        <v>7.2328458969643655E-3</v>
      </c>
      <c r="M65" s="22">
        <f t="shared" si="17"/>
        <v>7.2587152169743185E-3</v>
      </c>
      <c r="N65" s="22">
        <f t="shared" si="17"/>
        <v>7.2902308808567339E-3</v>
      </c>
      <c r="O65" s="22">
        <f t="shared" si="17"/>
        <v>7.3273479389297461E-3</v>
      </c>
      <c r="P65" s="22">
        <f t="shared" si="17"/>
        <v>7.3698404773103405E-3</v>
      </c>
      <c r="Q65" s="22">
        <f t="shared" si="17"/>
        <v>7.4155715935563127E-3</v>
      </c>
      <c r="R65" s="22">
        <f t="shared" si="17"/>
        <v>7.4643602602570466E-3</v>
      </c>
      <c r="S65" s="22">
        <f t="shared" si="17"/>
        <v>7.5091824622274591E-3</v>
      </c>
      <c r="T65" s="22">
        <f t="shared" si="17"/>
        <v>7.5310026575768785E-3</v>
      </c>
      <c r="U65" s="22">
        <f t="shared" si="17"/>
        <v>7.5544556894728667E-3</v>
      </c>
      <c r="V65" s="22">
        <f t="shared" si="17"/>
        <v>7.5798283677162839E-3</v>
      </c>
      <c r="W65" s="22">
        <f t="shared" si="17"/>
        <v>7.6073992773568969E-3</v>
      </c>
      <c r="X65" s="22">
        <f t="shared" si="17"/>
        <v>7.6366778381520258E-3</v>
      </c>
      <c r="Y65" s="22">
        <f t="shared" si="17"/>
        <v>7.6549815598218112E-3</v>
      </c>
      <c r="Z65" s="22">
        <f t="shared" si="17"/>
        <v>7.6747813396639188E-3</v>
      </c>
      <c r="AA65" s="22">
        <f t="shared" si="17"/>
        <v>7.695960726553556E-3</v>
      </c>
      <c r="AB65" s="22">
        <f t="shared" si="17"/>
        <v>7.7189834484336205E-3</v>
      </c>
      <c r="AC65" s="22">
        <f t="shared" si="17"/>
        <v>7.7433191534407569E-3</v>
      </c>
      <c r="AD65" s="22">
        <f t="shared" si="17"/>
        <v>7.7591399700901245E-3</v>
      </c>
      <c r="AE65" s="22">
        <f t="shared" si="17"/>
        <v>7.7765645193301983E-3</v>
      </c>
      <c r="AF65" s="22">
        <f t="shared" si="17"/>
        <v>7.7953233528318755E-3</v>
      </c>
      <c r="AG65" s="22">
        <f t="shared" si="17"/>
        <v>7.8156183452166659E-3</v>
      </c>
      <c r="AH65" s="22">
        <f t="shared" si="17"/>
        <v>7.8362676853213336E-3</v>
      </c>
      <c r="AI65" s="22">
        <f t="shared" si="17"/>
        <v>7.8484908167339423E-3</v>
      </c>
      <c r="AJ65" s="22">
        <f t="shared" si="17"/>
        <v>7.8618680880810435E-3</v>
      </c>
      <c r="AK65" s="22">
        <f t="shared" si="17"/>
        <v>7.8760394561635683E-3</v>
      </c>
      <c r="AL65" s="22">
        <f t="shared" si="17"/>
        <v>7.8911907673676705E-3</v>
      </c>
      <c r="AM65" s="22">
        <f t="shared" si="17"/>
        <v>7.9071774267792192E-3</v>
      </c>
      <c r="AN65" s="22">
        <f t="shared" si="17"/>
        <v>7.9157019513346714E-3</v>
      </c>
      <c r="AO65" s="22">
        <f t="shared" si="17"/>
        <v>7.9248428379220318E-3</v>
      </c>
      <c r="AP65" s="22">
        <f t="shared" si="17"/>
        <v>7.9347410994360257E-3</v>
      </c>
      <c r="AQ65" s="22">
        <f t="shared" si="17"/>
        <v>7.9454149669416808E-3</v>
      </c>
      <c r="AR65" s="22">
        <f t="shared" si="17"/>
        <v>7.9568573935750887E-3</v>
      </c>
      <c r="AS65" s="22">
        <f t="shared" si="17"/>
        <v>7.9607498372215833E-3</v>
      </c>
      <c r="AT65" s="22">
        <f t="shared" si="17"/>
        <v>7.9641286536339551E-3</v>
      </c>
      <c r="AU65" s="22">
        <f t="shared" si="17"/>
        <v>7.9680196395720947E-3</v>
      </c>
      <c r="AV65" s="22">
        <f t="shared" si="17"/>
        <v>7.9725231105734155E-3</v>
      </c>
      <c r="AW65" s="22">
        <f t="shared" si="17"/>
        <v>7.9775693338345506E-3</v>
      </c>
      <c r="AY65" s="79"/>
    </row>
    <row r="66" spans="1:51" x14ac:dyDescent="0.2">
      <c r="A66" s="95" t="str">
        <f t="shared" si="0"/>
        <v>FS Organic</v>
      </c>
      <c r="B66" s="95" t="s">
        <v>1004</v>
      </c>
      <c r="C66" s="95" t="s">
        <v>1127</v>
      </c>
      <c r="D66" t="s">
        <v>369</v>
      </c>
      <c r="E66" t="s">
        <v>55</v>
      </c>
      <c r="F66" t="s">
        <v>421</v>
      </c>
      <c r="G66" t="s">
        <v>1170</v>
      </c>
      <c r="H66" t="s">
        <v>1171</v>
      </c>
      <c r="I66" t="s">
        <v>139</v>
      </c>
      <c r="J66" t="s">
        <v>287</v>
      </c>
      <c r="K66" s="22">
        <f t="shared" si="16"/>
        <v>8.7045671471293523E-2</v>
      </c>
      <c r="L66" s="22">
        <f t="shared" si="17"/>
        <v>8.7271948200639354E-2</v>
      </c>
      <c r="M66" s="22">
        <f t="shared" si="17"/>
        <v>8.7584088952434122E-2</v>
      </c>
      <c r="N66" s="22">
        <f t="shared" si="17"/>
        <v>8.7964358824768801E-2</v>
      </c>
      <c r="O66" s="22">
        <f t="shared" si="17"/>
        <v>8.8412215452112072E-2</v>
      </c>
      <c r="P66" s="22">
        <f t="shared" si="17"/>
        <v>8.8924932944132923E-2</v>
      </c>
      <c r="Q66" s="22">
        <f t="shared" si="17"/>
        <v>8.9476727309038565E-2</v>
      </c>
      <c r="R66" s="22">
        <f t="shared" si="17"/>
        <v>9.0065414259340087E-2</v>
      </c>
      <c r="S66" s="22">
        <f t="shared" si="17"/>
        <v>9.0606241610610233E-2</v>
      </c>
      <c r="T66" s="22">
        <f t="shared" si="17"/>
        <v>9.0869525383745986E-2</v>
      </c>
      <c r="U66" s="22">
        <f t="shared" si="17"/>
        <v>9.1152511059637925E-2</v>
      </c>
      <c r="V66" s="22">
        <f t="shared" si="17"/>
        <v>9.14586593023788E-2</v>
      </c>
      <c r="W66" s="22">
        <f t="shared" si="17"/>
        <v>9.1791331535726078E-2</v>
      </c>
      <c r="X66" s="22">
        <f t="shared" si="17"/>
        <v>9.2144608389332791E-2</v>
      </c>
      <c r="Y66" s="22">
        <f t="shared" si="17"/>
        <v>9.2365462182182861E-2</v>
      </c>
      <c r="Z66" s="22">
        <f t="shared" si="17"/>
        <v>9.2604367501801177E-2</v>
      </c>
      <c r="AA66" s="22">
        <f t="shared" si="17"/>
        <v>9.2859919241999239E-2</v>
      </c>
      <c r="AB66" s="22">
        <f t="shared" si="17"/>
        <v>9.3137712771680009E-2</v>
      </c>
      <c r="AC66" s="22">
        <f t="shared" si="17"/>
        <v>9.3431348833759018E-2</v>
      </c>
      <c r="AD66" s="22">
        <f t="shared" si="17"/>
        <v>9.3622243747156081E-2</v>
      </c>
      <c r="AE66" s="22">
        <f t="shared" si="17"/>
        <v>9.3832489393249188E-2</v>
      </c>
      <c r="AF66" s="22">
        <f t="shared" si="17"/>
        <v>9.4058834592495047E-2</v>
      </c>
      <c r="AG66" s="22">
        <f t="shared" si="17"/>
        <v>9.4303715176067421E-2</v>
      </c>
      <c r="AH66" s="22">
        <f t="shared" si="17"/>
        <v>9.4552871340274972E-2</v>
      </c>
      <c r="AI66" s="22">
        <f t="shared" si="17"/>
        <v>9.4700356369914307E-2</v>
      </c>
      <c r="AJ66" s="22">
        <f t="shared" si="17"/>
        <v>9.4861767320555526E-2</v>
      </c>
      <c r="AK66" s="22">
        <f t="shared" si="17"/>
        <v>9.5032759889573118E-2</v>
      </c>
      <c r="AL66" s="22">
        <f t="shared" si="17"/>
        <v>9.5215576510501124E-2</v>
      </c>
      <c r="AM66" s="22">
        <f t="shared" si="17"/>
        <v>9.5408472492517202E-2</v>
      </c>
      <c r="AN66" s="22">
        <f t="shared" si="17"/>
        <v>9.5511329912132736E-2</v>
      </c>
      <c r="AO66" s="22">
        <f t="shared" si="17"/>
        <v>9.5621624392635218E-2</v>
      </c>
      <c r="AP66" s="22">
        <f t="shared" si="17"/>
        <v>9.5741057403988084E-2</v>
      </c>
      <c r="AQ66" s="22">
        <f t="shared" si="17"/>
        <v>9.5869848923304843E-2</v>
      </c>
      <c r="AR66" s="22">
        <f t="shared" si="17"/>
        <v>9.6007913922706994E-2</v>
      </c>
      <c r="AS66" s="22">
        <f t="shared" si="17"/>
        <v>9.6054880378944288E-2</v>
      </c>
      <c r="AT66" s="22">
        <f t="shared" si="17"/>
        <v>9.6095649378466819E-2</v>
      </c>
      <c r="AU66" s="22">
        <f t="shared" si="17"/>
        <v>9.6142598245908498E-2</v>
      </c>
      <c r="AV66" s="22">
        <f t="shared" si="17"/>
        <v>9.6196937394502191E-2</v>
      </c>
      <c r="AW66" s="22">
        <f t="shared" si="17"/>
        <v>9.6257825424100524E-2</v>
      </c>
      <c r="AY66" s="79"/>
    </row>
    <row r="67" spans="1:51" x14ac:dyDescent="0.2">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2">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2">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0.12395129293471778</v>
      </c>
      <c r="M69" s="22">
        <f t="shared" si="18"/>
        <v>0.12400689511310996</v>
      </c>
      <c r="N69" s="22">
        <f t="shared" si="18"/>
        <v>0.12286841678965586</v>
      </c>
      <c r="O69" s="22">
        <f t="shared" si="18"/>
        <v>0.12100901910045005</v>
      </c>
      <c r="P69" s="22">
        <f t="shared" si="18"/>
        <v>0.11845842648899832</v>
      </c>
      <c r="Q69" s="22">
        <f t="shared" si="18"/>
        <v>0.11660641339960408</v>
      </c>
      <c r="R69" s="22">
        <f t="shared" si="18"/>
        <v>0.11491827863139022</v>
      </c>
      <c r="S69" s="22">
        <f t="shared" si="18"/>
        <v>0.10239148734853588</v>
      </c>
      <c r="T69" s="22">
        <f t="shared" si="18"/>
        <v>0.10399015001119098</v>
      </c>
      <c r="U69" s="22">
        <f t="shared" si="18"/>
        <v>0.10466911672478917</v>
      </c>
      <c r="V69" s="22">
        <f t="shared" si="18"/>
        <v>0.10511626718572097</v>
      </c>
      <c r="W69" s="22">
        <f t="shared" si="18"/>
        <v>0.10594424528482288</v>
      </c>
      <c r="X69" s="22">
        <f t="shared" si="18"/>
        <v>0.10656092894002199</v>
      </c>
      <c r="Y69" s="22">
        <f t="shared" si="18"/>
        <v>0.10688440239408244</v>
      </c>
      <c r="Z69" s="22">
        <f t="shared" si="18"/>
        <v>0.10708259276512562</v>
      </c>
      <c r="AA69" s="22">
        <f t="shared" si="18"/>
        <v>0.10710947754337903</v>
      </c>
      <c r="AB69" s="22">
        <f t="shared" si="18"/>
        <v>0.1077314601885206</v>
      </c>
      <c r="AC69" s="22">
        <f t="shared" si="18"/>
        <v>0.10827475819020069</v>
      </c>
      <c r="AD69" s="22">
        <f t="shared" si="18"/>
        <v>0.1090564650607147</v>
      </c>
      <c r="AE69" s="22">
        <f t="shared" si="18"/>
        <v>0.11037691569913123</v>
      </c>
      <c r="AF69" s="22">
        <f t="shared" si="18"/>
        <v>0.11192323685515045</v>
      </c>
      <c r="AG69" s="22">
        <f t="shared" si="18"/>
        <v>0.1140168304907534</v>
      </c>
      <c r="AH69" s="22">
        <f t="shared" si="18"/>
        <v>0.11514704328773583</v>
      </c>
      <c r="AI69" s="22">
        <f t="shared" si="18"/>
        <v>0.11613416972234052</v>
      </c>
      <c r="AJ69" s="22">
        <f t="shared" si="18"/>
        <v>0.1173747047819844</v>
      </c>
      <c r="AK69" s="22">
        <f t="shared" si="18"/>
        <v>0.11845175629546961</v>
      </c>
      <c r="AL69" s="22">
        <f t="shared" si="18"/>
        <v>0.11964350265273288</v>
      </c>
      <c r="AM69" s="22">
        <f t="shared" si="18"/>
        <v>0.12080595767564568</v>
      </c>
      <c r="AN69" s="22">
        <f t="shared" si="18"/>
        <v>0.12237101221025357</v>
      </c>
      <c r="AO69" s="22">
        <f t="shared" si="18"/>
        <v>0.12373005325826542</v>
      </c>
      <c r="AP69" s="22">
        <f t="shared" si="18"/>
        <v>0.12508788651498504</v>
      </c>
      <c r="AQ69" s="22">
        <f t="shared" si="18"/>
        <v>0.12649394429591121</v>
      </c>
      <c r="AR69" s="22">
        <f t="shared" si="18"/>
        <v>0.12796403206190518</v>
      </c>
      <c r="AS69" s="22">
        <f t="shared" si="18"/>
        <v>0.12987984628529636</v>
      </c>
      <c r="AT69" s="22">
        <f t="shared" si="18"/>
        <v>0.13047315773125404</v>
      </c>
      <c r="AU69" s="22">
        <f t="shared" si="18"/>
        <v>0.13094704432863591</v>
      </c>
      <c r="AV69" s="22">
        <f t="shared" si="18"/>
        <v>0.13143575870732388</v>
      </c>
      <c r="AW69" s="22">
        <f t="shared" si="18"/>
        <v>0.13188303608420418</v>
      </c>
      <c r="AY69" s="79"/>
    </row>
    <row r="70" spans="1:51" x14ac:dyDescent="0.2">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3.1446916354757506E-2</v>
      </c>
      <c r="M70" s="22">
        <f t="shared" si="18"/>
        <v>3.1461022839745632E-2</v>
      </c>
      <c r="N70" s="22">
        <f t="shared" si="18"/>
        <v>3.1172186541537576E-2</v>
      </c>
      <c r="O70" s="22">
        <f t="shared" si="18"/>
        <v>3.0700450247237842E-2</v>
      </c>
      <c r="P70" s="22">
        <f t="shared" si="18"/>
        <v>3.0053355161673644E-2</v>
      </c>
      <c r="Q70" s="22">
        <f t="shared" si="18"/>
        <v>2.9583492368545926E-2</v>
      </c>
      <c r="R70" s="22">
        <f t="shared" si="18"/>
        <v>2.9155206131309681E-2</v>
      </c>
      <c r="S70" s="22">
        <f t="shared" si="18"/>
        <v>2.5977111346345238E-2</v>
      </c>
      <c r="T70" s="22">
        <f t="shared" si="18"/>
        <v>2.6382698168730914E-2</v>
      </c>
      <c r="U70" s="22">
        <f t="shared" si="18"/>
        <v>2.6554954616765158E-2</v>
      </c>
      <c r="V70" s="22">
        <f t="shared" si="18"/>
        <v>2.6668398396252971E-2</v>
      </c>
      <c r="W70" s="22">
        <f t="shared" si="18"/>
        <v>2.6878459601824591E-2</v>
      </c>
      <c r="X70" s="22">
        <f t="shared" si="18"/>
        <v>2.7034914600100463E-2</v>
      </c>
      <c r="Y70" s="22">
        <f t="shared" si="18"/>
        <v>2.7116981050655197E-2</v>
      </c>
      <c r="Z70" s="22">
        <f t="shared" si="18"/>
        <v>2.7167262704625481E-2</v>
      </c>
      <c r="AA70" s="22">
        <f t="shared" si="18"/>
        <v>2.7174083475534235E-2</v>
      </c>
      <c r="AB70" s="22">
        <f t="shared" si="18"/>
        <v>2.7331882847793948E-2</v>
      </c>
      <c r="AC70" s="22">
        <f t="shared" si="18"/>
        <v>2.7469719625531634E-2</v>
      </c>
      <c r="AD70" s="22">
        <f t="shared" si="18"/>
        <v>2.7668041643712917E-2</v>
      </c>
      <c r="AE70" s="22">
        <f t="shared" si="18"/>
        <v>2.8003045013131105E-2</v>
      </c>
      <c r="AF70" s="22">
        <f t="shared" si="18"/>
        <v>2.8395352595404884E-2</v>
      </c>
      <c r="AG70" s="22">
        <f t="shared" si="18"/>
        <v>2.8926505295637978E-2</v>
      </c>
      <c r="AH70" s="22">
        <f t="shared" si="18"/>
        <v>2.9213244598216302E-2</v>
      </c>
      <c r="AI70" s="22">
        <f t="shared" si="18"/>
        <v>2.9463682344250404E-2</v>
      </c>
      <c r="AJ70" s="22">
        <f t="shared" si="18"/>
        <v>2.9778410826157509E-2</v>
      </c>
      <c r="AK70" s="22">
        <f t="shared" si="18"/>
        <v>3.0051662908103689E-2</v>
      </c>
      <c r="AL70" s="22">
        <f t="shared" si="18"/>
        <v>3.0354013509905672E-2</v>
      </c>
      <c r="AM70" s="22">
        <f t="shared" si="18"/>
        <v>3.0648932788327074E-2</v>
      </c>
      <c r="AN70" s="22">
        <f t="shared" si="18"/>
        <v>3.1045993100286617E-2</v>
      </c>
      <c r="AO70" s="22">
        <f t="shared" si="18"/>
        <v>3.1390787003985711E-2</v>
      </c>
      <c r="AP70" s="22">
        <f t="shared" si="18"/>
        <v>3.1735274486421723E-2</v>
      </c>
      <c r="AQ70" s="22">
        <f t="shared" si="18"/>
        <v>3.2091996714805643E-2</v>
      </c>
      <c r="AR70" s="22">
        <f t="shared" si="18"/>
        <v>3.2464963594914874E-2</v>
      </c>
      <c r="AS70" s="22">
        <f t="shared" si="18"/>
        <v>3.2951012979377248E-2</v>
      </c>
      <c r="AT70" s="22">
        <f t="shared" si="18"/>
        <v>3.3101538358916271E-2</v>
      </c>
      <c r="AU70" s="22">
        <f t="shared" si="18"/>
        <v>3.3221765198319694E-2</v>
      </c>
      <c r="AV70" s="22">
        <f t="shared" si="18"/>
        <v>3.3345753902463859E-2</v>
      </c>
      <c r="AW70" s="22">
        <f t="shared" si="18"/>
        <v>3.3459229881012437E-2</v>
      </c>
      <c r="AY70" s="79"/>
    </row>
    <row r="71" spans="1:51" x14ac:dyDescent="0.2">
      <c r="A71" s="95" t="str">
        <f t="shared" si="0"/>
        <v>FS Organic</v>
      </c>
      <c r="B71" s="95" t="s">
        <v>1004</v>
      </c>
      <c r="C71" s="95" t="s">
        <v>1127</v>
      </c>
      <c r="D71" t="s">
        <v>369</v>
      </c>
      <c r="E71" t="s">
        <v>55</v>
      </c>
      <c r="F71" t="s">
        <v>421</v>
      </c>
      <c r="G71" t="s">
        <v>1180</v>
      </c>
      <c r="H71" t="s">
        <v>1181</v>
      </c>
      <c r="I71" t="s">
        <v>139</v>
      </c>
      <c r="J71" t="s">
        <v>287</v>
      </c>
      <c r="K71" s="22">
        <f t="shared" si="16"/>
        <v>0.15700744358616764</v>
      </c>
      <c r="L71" s="22">
        <f t="shared" si="18"/>
        <v>0.16019971617730661</v>
      </c>
      <c r="M71" s="22">
        <f t="shared" si="18"/>
        <v>0.16393118028621728</v>
      </c>
      <c r="N71" s="22">
        <f t="shared" si="18"/>
        <v>0.1667959170810015</v>
      </c>
      <c r="O71" s="22">
        <f t="shared" si="18"/>
        <v>0.16909558154641688</v>
      </c>
      <c r="P71" s="22">
        <f t="shared" si="18"/>
        <v>0.1708164974258628</v>
      </c>
      <c r="Q71" s="22">
        <f t="shared" si="18"/>
        <v>0.17302318661183388</v>
      </c>
      <c r="R71" s="22">
        <f t="shared" si="18"/>
        <v>0.17531753251219051</v>
      </c>
      <c r="S71" s="22">
        <f t="shared" si="18"/>
        <v>0.16830476873000083</v>
      </c>
      <c r="T71" s="22">
        <f t="shared" si="18"/>
        <v>0.17276871314198702</v>
      </c>
      <c r="U71" s="22">
        <f t="shared" si="18"/>
        <v>0.1764934307199863</v>
      </c>
      <c r="V71" s="22">
        <f t="shared" si="18"/>
        <v>0.18005524898156572</v>
      </c>
      <c r="W71" s="22">
        <f t="shared" si="18"/>
        <v>0.1840152127784149</v>
      </c>
      <c r="X71" s="22">
        <f t="shared" si="18"/>
        <v>0.18783261457873554</v>
      </c>
      <c r="Y71" s="22">
        <f t="shared" si="18"/>
        <v>0.1912601747651877</v>
      </c>
      <c r="Z71" s="22">
        <f t="shared" si="18"/>
        <v>0.19460208719398481</v>
      </c>
      <c r="AA71" s="22">
        <f t="shared" si="18"/>
        <v>0.1978054102854529</v>
      </c>
      <c r="AB71" s="22">
        <f t="shared" si="18"/>
        <v>0.20165714923615963</v>
      </c>
      <c r="AC71" s="22">
        <f t="shared" si="18"/>
        <v>0.2054824805874291</v>
      </c>
      <c r="AD71" s="22">
        <f t="shared" si="18"/>
        <v>0.20949194963752207</v>
      </c>
      <c r="AE71" s="22">
        <f t="shared" si="18"/>
        <v>0.21416106283362638</v>
      </c>
      <c r="AF71" s="22">
        <f t="shared" si="18"/>
        <v>0.21917521895804776</v>
      </c>
      <c r="AG71" s="22">
        <f t="shared" si="18"/>
        <v>0.2249205996408121</v>
      </c>
      <c r="AH71" s="22">
        <f t="shared" si="18"/>
        <v>0.22966975525024821</v>
      </c>
      <c r="AI71" s="22">
        <f t="shared" si="18"/>
        <v>0.23421374773731693</v>
      </c>
      <c r="AJ71" s="22">
        <f t="shared" si="18"/>
        <v>0.23914977762419984</v>
      </c>
      <c r="AK71" s="22">
        <f t="shared" si="18"/>
        <v>0.24398161276357982</v>
      </c>
      <c r="AL71" s="22">
        <f t="shared" si="18"/>
        <v>0.24905154645514979</v>
      </c>
      <c r="AM71" s="22">
        <f t="shared" si="18"/>
        <v>0.25418530178524701</v>
      </c>
      <c r="AN71" s="22">
        <f t="shared" si="18"/>
        <v>0.25983124395687562</v>
      </c>
      <c r="AO71" s="22">
        <f t="shared" si="18"/>
        <v>0.26532627660152752</v>
      </c>
      <c r="AP71" s="22">
        <f t="shared" si="18"/>
        <v>0.27093697485535539</v>
      </c>
      <c r="AQ71" s="22">
        <f t="shared" si="18"/>
        <v>0.27673510691469561</v>
      </c>
      <c r="AR71" s="22">
        <f t="shared" si="18"/>
        <v>0.28275020857350047</v>
      </c>
      <c r="AS71" s="22">
        <f t="shared" si="18"/>
        <v>0.28941803313014858</v>
      </c>
      <c r="AT71" s="22">
        <f t="shared" si="18"/>
        <v>0.29430967875904612</v>
      </c>
      <c r="AU71" s="22">
        <f t="shared" si="18"/>
        <v>0.29911626555567689</v>
      </c>
      <c r="AV71" s="22">
        <f t="shared" si="18"/>
        <v>0.30403482357185191</v>
      </c>
      <c r="AW71" s="22">
        <f t="shared" si="18"/>
        <v>0.30898254148510845</v>
      </c>
      <c r="AY71" s="79"/>
    </row>
    <row r="72" spans="1:51" x14ac:dyDescent="0.2">
      <c r="A72" s="95" t="str">
        <f t="shared" si="0"/>
        <v>FS Organic</v>
      </c>
      <c r="B72" s="95" t="s">
        <v>1004</v>
      </c>
      <c r="C72" s="95" t="s">
        <v>1127</v>
      </c>
      <c r="D72" t="s">
        <v>369</v>
      </c>
      <c r="E72" t="s">
        <v>55</v>
      </c>
      <c r="F72" t="s">
        <v>421</v>
      </c>
      <c r="G72" t="s">
        <v>1182</v>
      </c>
      <c r="H72" t="s">
        <v>1183</v>
      </c>
      <c r="I72" t="s">
        <v>139</v>
      </c>
      <c r="J72" t="s">
        <v>287</v>
      </c>
      <c r="K72" s="22">
        <f t="shared" si="16"/>
        <v>0.78620275218739033</v>
      </c>
      <c r="L72" s="22">
        <f t="shared" si="18"/>
        <v>0.7965556372017637</v>
      </c>
      <c r="M72" s="22">
        <f t="shared" si="18"/>
        <v>0.8131853402467214</v>
      </c>
      <c r="N72" s="22">
        <f t="shared" si="18"/>
        <v>0.81796021384654038</v>
      </c>
      <c r="O72" s="22">
        <f t="shared" si="18"/>
        <v>0.81503229757580642</v>
      </c>
      <c r="P72" s="22">
        <f t="shared" si="18"/>
        <v>0.80443274266431908</v>
      </c>
      <c r="Q72" s="22">
        <f t="shared" si="18"/>
        <v>0.79997057217510736</v>
      </c>
      <c r="R72" s="22">
        <f t="shared" si="18"/>
        <v>0.79652072541357799</v>
      </c>
      <c r="S72" s="22">
        <f t="shared" si="18"/>
        <v>0.68093953459407419</v>
      </c>
      <c r="T72" s="22">
        <f t="shared" si="18"/>
        <v>0.71095217743742134</v>
      </c>
      <c r="U72" s="22">
        <f t="shared" si="18"/>
        <v>0.73163451860770856</v>
      </c>
      <c r="V72" s="22">
        <f t="shared" si="18"/>
        <v>0.74998966017271962</v>
      </c>
      <c r="W72" s="22">
        <f t="shared" si="18"/>
        <v>0.77258910732812447</v>
      </c>
      <c r="X72" s="22">
        <f t="shared" si="18"/>
        <v>0.79310210321227914</v>
      </c>
      <c r="Y72" s="22">
        <f t="shared" si="18"/>
        <v>0.81120771116014501</v>
      </c>
      <c r="Z72" s="22">
        <f t="shared" si="18"/>
        <v>0.82802988036578451</v>
      </c>
      <c r="AA72" s="22">
        <f t="shared" si="18"/>
        <v>0.84300341806804124</v>
      </c>
      <c r="AB72" s="22">
        <f t="shared" si="18"/>
        <v>0.86494223642860679</v>
      </c>
      <c r="AC72" s="22">
        <f t="shared" si="18"/>
        <v>0.88622290534488479</v>
      </c>
      <c r="AD72" s="22">
        <f t="shared" si="18"/>
        <v>0.91112086440699802</v>
      </c>
      <c r="AE72" s="22">
        <f t="shared" si="18"/>
        <v>0.94284673608655079</v>
      </c>
      <c r="AF72" s="22">
        <f t="shared" si="18"/>
        <v>0.97785291166286403</v>
      </c>
      <c r="AG72" s="22">
        <f t="shared" si="18"/>
        <v>1.0202297421822766</v>
      </c>
      <c r="AH72" s="22">
        <f t="shared" si="18"/>
        <v>1.0513780855146408</v>
      </c>
      <c r="AI72" s="22">
        <f t="shared" si="18"/>
        <v>1.0817366322153388</v>
      </c>
      <c r="AJ72" s="22">
        <f t="shared" si="18"/>
        <v>1.1158458345440128</v>
      </c>
      <c r="AK72" s="22">
        <f t="shared" si="18"/>
        <v>1.1484374065317347</v>
      </c>
      <c r="AL72" s="22">
        <f t="shared" si="18"/>
        <v>1.1831076882134564</v>
      </c>
      <c r="AM72" s="22">
        <f t="shared" si="18"/>
        <v>1.2180177066709783</v>
      </c>
      <c r="AN72" s="22">
        <f t="shared" si="18"/>
        <v>1.2594503323832682</v>
      </c>
      <c r="AO72" s="22">
        <f t="shared" si="18"/>
        <v>1.298872537028497</v>
      </c>
      <c r="AP72" s="22">
        <f t="shared" si="18"/>
        <v>1.3390342962428967</v>
      </c>
      <c r="AQ72" s="22">
        <f t="shared" si="18"/>
        <v>1.3806522745115721</v>
      </c>
      <c r="AR72" s="22">
        <f t="shared" si="18"/>
        <v>1.4240025047133247</v>
      </c>
      <c r="AS72" s="22">
        <f t="shared" si="18"/>
        <v>1.4750856789053959</v>
      </c>
      <c r="AT72" s="22">
        <f t="shared" si="18"/>
        <v>1.5079842325146011</v>
      </c>
      <c r="AU72" s="22">
        <f t="shared" si="18"/>
        <v>1.5397226946349756</v>
      </c>
      <c r="AV72" s="22">
        <f t="shared" si="18"/>
        <v>1.5722599858562425</v>
      </c>
      <c r="AW72" s="22">
        <f t="shared" si="18"/>
        <v>1.6047748091186307</v>
      </c>
      <c r="AY72" s="79"/>
    </row>
    <row r="73" spans="1:51" x14ac:dyDescent="0.2">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2">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1.0836040032789309</v>
      </c>
      <c r="M74" s="22">
        <f t="shared" si="18"/>
        <v>1.0921513426512339</v>
      </c>
      <c r="N74" s="22">
        <f t="shared" si="18"/>
        <v>1.0976439186771809</v>
      </c>
      <c r="O74" s="22">
        <f t="shared" si="18"/>
        <v>1.1012937605673541</v>
      </c>
      <c r="P74" s="22">
        <f t="shared" si="18"/>
        <v>1.1030649457277464</v>
      </c>
      <c r="Q74" s="22">
        <f t="shared" si="18"/>
        <v>1.1069781529146336</v>
      </c>
      <c r="R74" s="22">
        <f t="shared" si="18"/>
        <v>1.1114672588381171</v>
      </c>
      <c r="S74" s="22">
        <f t="shared" si="18"/>
        <v>1.0810406006779549</v>
      </c>
      <c r="T74" s="22">
        <f t="shared" si="18"/>
        <v>1.0934641088719885</v>
      </c>
      <c r="U74" s="22">
        <f t="shared" si="18"/>
        <v>1.1031992381450169</v>
      </c>
      <c r="V74" s="22">
        <f t="shared" si="18"/>
        <v>1.1124222034300566</v>
      </c>
      <c r="W74" s="22">
        <f t="shared" si="18"/>
        <v>1.123204750861388</v>
      </c>
      <c r="X74" s="22">
        <f t="shared" si="18"/>
        <v>1.1335309064238068</v>
      </c>
      <c r="Y74" s="22">
        <f t="shared" si="18"/>
        <v>1.1421913822066523</v>
      </c>
      <c r="Z74" s="22">
        <f t="shared" si="18"/>
        <v>1.1506113165744176</v>
      </c>
      <c r="AA74" s="22">
        <f t="shared" si="18"/>
        <v>1.1585977369609775</v>
      </c>
      <c r="AB74" s="22">
        <f t="shared" si="18"/>
        <v>1.1689866502425044</v>
      </c>
      <c r="AC74" s="22">
        <f t="shared" si="18"/>
        <v>1.179322142127879</v>
      </c>
      <c r="AD74" s="22">
        <f t="shared" si="18"/>
        <v>1.1901050491082561</v>
      </c>
      <c r="AE74" s="22">
        <f t="shared" si="18"/>
        <v>1.2032599534885204</v>
      </c>
      <c r="AF74" s="22">
        <f t="shared" ref="L74:AW81" si="19">AF1483</f>
        <v>1.2176412709045177</v>
      </c>
      <c r="AG74" s="22">
        <f t="shared" si="19"/>
        <v>1.2345938865918005</v>
      </c>
      <c r="AH74" s="22">
        <f t="shared" si="19"/>
        <v>1.2480204008779516</v>
      </c>
      <c r="AI74" s="22">
        <f t="shared" si="19"/>
        <v>1.2604934871451285</v>
      </c>
      <c r="AJ74" s="22">
        <f t="shared" si="19"/>
        <v>1.2743340482246315</v>
      </c>
      <c r="AK74" s="22">
        <f t="shared" si="19"/>
        <v>1.2878029781490608</v>
      </c>
      <c r="AL74" s="22">
        <f t="shared" si="19"/>
        <v>1.302087430895273</v>
      </c>
      <c r="AM74" s="22">
        <f t="shared" si="19"/>
        <v>1.3165772246053524</v>
      </c>
      <c r="AN74" s="22">
        <f t="shared" si="19"/>
        <v>1.3325905811769112</v>
      </c>
      <c r="AO74" s="22">
        <f t="shared" si="19"/>
        <v>1.3480569944390275</v>
      </c>
      <c r="AP74" s="22">
        <f t="shared" si="19"/>
        <v>1.3638910811882956</v>
      </c>
      <c r="AQ74" s="22">
        <f t="shared" si="19"/>
        <v>1.3803329285303612</v>
      </c>
      <c r="AR74" s="22">
        <f t="shared" si="19"/>
        <v>1.3974765343324473</v>
      </c>
      <c r="AS74" s="22">
        <f t="shared" si="19"/>
        <v>1.4165658117844762</v>
      </c>
      <c r="AT74" s="22">
        <f t="shared" si="19"/>
        <v>1.4296216900778926</v>
      </c>
      <c r="AU74" s="22">
        <f t="shared" si="19"/>
        <v>1.4423773000489271</v>
      </c>
      <c r="AV74" s="22">
        <f t="shared" si="19"/>
        <v>1.4554943578736881</v>
      </c>
      <c r="AW74" s="22">
        <f t="shared" si="19"/>
        <v>1.468692881818767</v>
      </c>
      <c r="AY74" s="79"/>
    </row>
    <row r="75" spans="1:51" x14ac:dyDescent="0.2">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0.73794174034663862</v>
      </c>
      <c r="M75" s="22">
        <f t="shared" si="19"/>
        <v>0.74376253694082328</v>
      </c>
      <c r="N75" s="22">
        <f t="shared" si="19"/>
        <v>0.74750301879518044</v>
      </c>
      <c r="O75" s="22">
        <f t="shared" si="19"/>
        <v>0.74998858609492669</v>
      </c>
      <c r="P75" s="22">
        <f t="shared" si="19"/>
        <v>0.75119477530775824</v>
      </c>
      <c r="Q75" s="22">
        <f t="shared" si="19"/>
        <v>0.7538596961765357</v>
      </c>
      <c r="R75" s="22">
        <f t="shared" si="19"/>
        <v>0.75691680802528427</v>
      </c>
      <c r="S75" s="22">
        <f t="shared" si="19"/>
        <v>0.73619604563634833</v>
      </c>
      <c r="T75" s="22">
        <f t="shared" si="19"/>
        <v>0.74465653971921864</v>
      </c>
      <c r="U75" s="22">
        <f t="shared" si="19"/>
        <v>0.75128622936275991</v>
      </c>
      <c r="V75" s="22">
        <f t="shared" si="19"/>
        <v>0.75756713182620983</v>
      </c>
      <c r="W75" s="22">
        <f t="shared" si="19"/>
        <v>0.76491012040208251</v>
      </c>
      <c r="X75" s="22">
        <f t="shared" si="19"/>
        <v>0.77194230299255218</v>
      </c>
      <c r="Y75" s="22">
        <f t="shared" si="19"/>
        <v>0.77784014625640541</v>
      </c>
      <c r="Z75" s="22">
        <f t="shared" si="19"/>
        <v>0.78357417917078342</v>
      </c>
      <c r="AA75" s="22">
        <f t="shared" si="19"/>
        <v>0.78901298609781978</v>
      </c>
      <c r="AB75" s="22">
        <f t="shared" si="19"/>
        <v>0.79608790712439581</v>
      </c>
      <c r="AC75" s="22">
        <f t="shared" si="19"/>
        <v>0.80312644781467857</v>
      </c>
      <c r="AD75" s="22">
        <f t="shared" si="19"/>
        <v>0.81046968124591112</v>
      </c>
      <c r="AE75" s="22">
        <f t="shared" si="19"/>
        <v>0.81942826113588163</v>
      </c>
      <c r="AF75" s="22">
        <f t="shared" si="19"/>
        <v>0.8292220366944113</v>
      </c>
      <c r="AG75" s="22">
        <f t="shared" si="19"/>
        <v>0.84076688396873545</v>
      </c>
      <c r="AH75" s="22">
        <f t="shared" si="19"/>
        <v>0.84991043206299322</v>
      </c>
      <c r="AI75" s="22">
        <f t="shared" si="19"/>
        <v>0.85840468915289159</v>
      </c>
      <c r="AJ75" s="22">
        <f t="shared" si="19"/>
        <v>0.86783020594636673</v>
      </c>
      <c r="AK75" s="22">
        <f t="shared" si="19"/>
        <v>0.87700263938050371</v>
      </c>
      <c r="AL75" s="22">
        <f t="shared" si="19"/>
        <v>0.8867304494361532</v>
      </c>
      <c r="AM75" s="22">
        <f t="shared" si="19"/>
        <v>0.89659809809315782</v>
      </c>
      <c r="AN75" s="22">
        <f t="shared" si="19"/>
        <v>0.90750330348317998</v>
      </c>
      <c r="AO75" s="22">
        <f t="shared" si="19"/>
        <v>0.91803603673723821</v>
      </c>
      <c r="AP75" s="22">
        <f t="shared" si="19"/>
        <v>0.92881915815170113</v>
      </c>
      <c r="AQ75" s="22">
        <f t="shared" si="19"/>
        <v>0.94001616868821003</v>
      </c>
      <c r="AR75" s="22">
        <f t="shared" si="19"/>
        <v>0.95169108153748594</v>
      </c>
      <c r="AS75" s="22">
        <f t="shared" si="19"/>
        <v>0.9646910100928292</v>
      </c>
      <c r="AT75" s="22">
        <f t="shared" si="19"/>
        <v>0.97358215254011127</v>
      </c>
      <c r="AU75" s="22">
        <f t="shared" si="19"/>
        <v>0.98226881020538814</v>
      </c>
      <c r="AV75" s="22">
        <f t="shared" si="19"/>
        <v>0.99120161633211146</v>
      </c>
      <c r="AW75" s="22">
        <f t="shared" si="19"/>
        <v>1.0001899014441695</v>
      </c>
      <c r="AY75" s="79"/>
    </row>
    <row r="76" spans="1:51" x14ac:dyDescent="0.2">
      <c r="A76" s="95" t="str">
        <f t="shared" si="0"/>
        <v>FS U&amp;D</v>
      </c>
      <c r="B76" s="95" t="s">
        <v>1004</v>
      </c>
      <c r="C76" s="95" t="s">
        <v>1336</v>
      </c>
      <c r="D76" t="s">
        <v>369</v>
      </c>
      <c r="E76" t="s">
        <v>55</v>
      </c>
      <c r="F76" t="s">
        <v>422</v>
      </c>
      <c r="G76" t="s">
        <v>1158</v>
      </c>
      <c r="H76" t="s">
        <v>1243</v>
      </c>
      <c r="I76" t="s">
        <v>139</v>
      </c>
      <c r="J76" t="s">
        <v>287</v>
      </c>
      <c r="K76" s="22">
        <f t="shared" si="16"/>
        <v>15.353527292296844</v>
      </c>
      <c r="L76" s="22">
        <f t="shared" si="19"/>
        <v>15.220371053361493</v>
      </c>
      <c r="M76" s="22">
        <f t="shared" si="19"/>
        <v>15.169682504177887</v>
      </c>
      <c r="N76" s="22">
        <f t="shared" si="19"/>
        <v>14.967111251021189</v>
      </c>
      <c r="O76" s="22">
        <f t="shared" si="19"/>
        <v>14.673074129931962</v>
      </c>
      <c r="P76" s="22">
        <f t="shared" si="19"/>
        <v>14.293651368256896</v>
      </c>
      <c r="Q76" s="22">
        <f t="shared" si="19"/>
        <v>13.994389539168758</v>
      </c>
      <c r="R76" s="22">
        <f t="shared" si="19"/>
        <v>13.711253827544139</v>
      </c>
      <c r="S76" s="22">
        <f t="shared" si="19"/>
        <v>12.169037780121926</v>
      </c>
      <c r="T76" s="22">
        <f t="shared" si="19"/>
        <v>12.401807134203059</v>
      </c>
      <c r="U76" s="22">
        <f t="shared" si="19"/>
        <v>12.526260010284002</v>
      </c>
      <c r="V76" s="22">
        <f t="shared" si="19"/>
        <v>12.622062683352066</v>
      </c>
      <c r="W76" s="22">
        <f t="shared" si="19"/>
        <v>12.760674268300837</v>
      </c>
      <c r="X76" s="22">
        <f t="shared" si="19"/>
        <v>12.873164971451276</v>
      </c>
      <c r="Y76" s="22">
        <f t="shared" si="19"/>
        <v>12.945682732607438</v>
      </c>
      <c r="Z76" s="22">
        <f t="shared" si="19"/>
        <v>13.002132383564884</v>
      </c>
      <c r="AA76" s="22">
        <f t="shared" si="19"/>
        <v>13.037118833745307</v>
      </c>
      <c r="AB76" s="22">
        <f t="shared" si="19"/>
        <v>13.140692477306542</v>
      </c>
      <c r="AC76" s="22">
        <f t="shared" si="19"/>
        <v>13.233883747502103</v>
      </c>
      <c r="AD76" s="22">
        <f t="shared" si="19"/>
        <v>13.23869020405356</v>
      </c>
      <c r="AE76" s="22">
        <f t="shared" si="19"/>
        <v>13.301119774765679</v>
      </c>
      <c r="AF76" s="22">
        <f t="shared" si="19"/>
        <v>13.383674683163292</v>
      </c>
      <c r="AG76" s="22">
        <f t="shared" si="19"/>
        <v>13.522276087147475</v>
      </c>
      <c r="AH76" s="22">
        <f t="shared" si="19"/>
        <v>13.544412944106279</v>
      </c>
      <c r="AI76" s="22">
        <f t="shared" si="19"/>
        <v>13.542089215214004</v>
      </c>
      <c r="AJ76" s="22">
        <f t="shared" si="19"/>
        <v>13.562424652219031</v>
      </c>
      <c r="AK76" s="22">
        <f t="shared" si="19"/>
        <v>13.558671299619801</v>
      </c>
      <c r="AL76" s="22">
        <f t="shared" si="19"/>
        <v>13.561543071773121</v>
      </c>
      <c r="AM76" s="22">
        <f t="shared" si="19"/>
        <v>13.555025657095664</v>
      </c>
      <c r="AN76" s="22">
        <f t="shared" si="19"/>
        <v>13.65231474834372</v>
      </c>
      <c r="AO76" s="22">
        <f t="shared" si="19"/>
        <v>13.72348724176244</v>
      </c>
      <c r="AP76" s="22">
        <f t="shared" si="19"/>
        <v>13.790553263000465</v>
      </c>
      <c r="AQ76" s="22">
        <f t="shared" si="19"/>
        <v>13.858644184626581</v>
      </c>
      <c r="AR76" s="22">
        <f t="shared" si="19"/>
        <v>13.929236621781989</v>
      </c>
      <c r="AS76" s="22">
        <f t="shared" si="19"/>
        <v>14.039863069721484</v>
      </c>
      <c r="AT76" s="22">
        <f t="shared" si="19"/>
        <v>14.008704095961466</v>
      </c>
      <c r="AU76" s="22">
        <f t="shared" si="19"/>
        <v>13.961987215392144</v>
      </c>
      <c r="AV76" s="22">
        <f t="shared" si="19"/>
        <v>13.913601198226885</v>
      </c>
      <c r="AW76" s="22">
        <f t="shared" si="19"/>
        <v>13.857756490863558</v>
      </c>
      <c r="AY76" s="79"/>
    </row>
    <row r="77" spans="1:51" x14ac:dyDescent="0.2">
      <c r="A77" s="95" t="str">
        <f t="shared" si="0"/>
        <v>FS U&amp;D</v>
      </c>
      <c r="B77" s="95" t="s">
        <v>1004</v>
      </c>
      <c r="C77" s="95" t="s">
        <v>1336</v>
      </c>
      <c r="D77" t="s">
        <v>369</v>
      </c>
      <c r="E77" t="s">
        <v>55</v>
      </c>
      <c r="F77" t="s">
        <v>422</v>
      </c>
      <c r="G77" t="s">
        <v>1160</v>
      </c>
      <c r="H77" t="s">
        <v>1244</v>
      </c>
      <c r="I77" t="s">
        <v>139</v>
      </c>
      <c r="J77" t="s">
        <v>287</v>
      </c>
      <c r="K77" s="22">
        <f t="shared" si="16"/>
        <v>9.6543103644621464</v>
      </c>
      <c r="L77" s="22">
        <f t="shared" si="19"/>
        <v>9.5705816138517683</v>
      </c>
      <c r="M77" s="22">
        <f t="shared" si="19"/>
        <v>9.5387086131773007</v>
      </c>
      <c r="N77" s="22">
        <f t="shared" si="19"/>
        <v>9.4113316455488931</v>
      </c>
      <c r="O77" s="22">
        <f t="shared" si="19"/>
        <v>9.22644086627548</v>
      </c>
      <c r="P77" s="22">
        <f t="shared" si="19"/>
        <v>8.9878595272244652</v>
      </c>
      <c r="Q77" s="22">
        <f t="shared" si="19"/>
        <v>8.7996834473406587</v>
      </c>
      <c r="R77" s="22">
        <f t="shared" si="19"/>
        <v>8.6216474831450967</v>
      </c>
      <c r="S77" s="22">
        <f t="shared" si="19"/>
        <v>7.6519007866750153</v>
      </c>
      <c r="T77" s="22">
        <f t="shared" si="19"/>
        <v>7.79826634455969</v>
      </c>
      <c r="U77" s="22">
        <f t="shared" si="19"/>
        <v>7.8765224135763656</v>
      </c>
      <c r="V77" s="22">
        <f t="shared" si="19"/>
        <v>7.9367632117940001</v>
      </c>
      <c r="W77" s="22">
        <f t="shared" si="19"/>
        <v>8.0239222883846164</v>
      </c>
      <c r="X77" s="22">
        <f t="shared" si="19"/>
        <v>8.0946565333991707</v>
      </c>
      <c r="Y77" s="22">
        <f t="shared" si="19"/>
        <v>8.1402557601963093</v>
      </c>
      <c r="Z77" s="22">
        <f t="shared" si="19"/>
        <v>8.175751346320169</v>
      </c>
      <c r="AA77" s="22">
        <f t="shared" si="19"/>
        <v>8.1977508544567819</v>
      </c>
      <c r="AB77" s="22">
        <f t="shared" si="19"/>
        <v>8.2628780451981587</v>
      </c>
      <c r="AC77" s="22">
        <f t="shared" si="19"/>
        <v>8.3214767911799861</v>
      </c>
      <c r="AD77" s="22">
        <f t="shared" si="19"/>
        <v>8.3244990949423538</v>
      </c>
      <c r="AE77" s="22">
        <f t="shared" si="19"/>
        <v>8.3637548594387177</v>
      </c>
      <c r="AF77" s="22">
        <f t="shared" si="19"/>
        <v>8.4156654525296073</v>
      </c>
      <c r="AG77" s="22">
        <f t="shared" si="19"/>
        <v>8.5028181273214702</v>
      </c>
      <c r="AH77" s="22">
        <f t="shared" si="19"/>
        <v>8.5167378008600192</v>
      </c>
      <c r="AI77" s="22">
        <f t="shared" si="19"/>
        <v>8.515276638255374</v>
      </c>
      <c r="AJ77" s="22">
        <f t="shared" si="19"/>
        <v>8.5280635774717464</v>
      </c>
      <c r="AK77" s="22">
        <f t="shared" si="19"/>
        <v>8.5257034663252735</v>
      </c>
      <c r="AL77" s="22">
        <f t="shared" si="19"/>
        <v>8.5275092389751901</v>
      </c>
      <c r="AM77" s="22">
        <f t="shared" si="19"/>
        <v>8.5234110833610295</v>
      </c>
      <c r="AN77" s="22">
        <f t="shared" si="19"/>
        <v>8.5845865425310173</v>
      </c>
      <c r="AO77" s="22">
        <f t="shared" si="19"/>
        <v>8.6293398638881058</v>
      </c>
      <c r="AP77" s="22">
        <f t="shared" si="19"/>
        <v>8.6715110322206357</v>
      </c>
      <c r="AQ77" s="22">
        <f t="shared" si="19"/>
        <v>8.7143266587451382</v>
      </c>
      <c r="AR77" s="22">
        <f t="shared" si="19"/>
        <v>8.7587152402552686</v>
      </c>
      <c r="AS77" s="22">
        <f t="shared" si="19"/>
        <v>8.8282772400871714</v>
      </c>
      <c r="AT77" s="22">
        <f t="shared" si="19"/>
        <v>8.8086844522156653</v>
      </c>
      <c r="AU77" s="22">
        <f t="shared" si="19"/>
        <v>8.7793088399743002</v>
      </c>
      <c r="AV77" s="22">
        <f t="shared" si="19"/>
        <v>8.7488836732930295</v>
      </c>
      <c r="AW77" s="22">
        <f t="shared" si="19"/>
        <v>8.7137684761898431</v>
      </c>
      <c r="AY77" s="79"/>
    </row>
    <row r="78" spans="1:51" x14ac:dyDescent="0.2">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2">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5.9177410166742819</v>
      </c>
      <c r="T79" s="22">
        <f t="shared" si="19"/>
        <v>5.9267532558831455</v>
      </c>
      <c r="U79" s="22">
        <f t="shared" si="19"/>
        <v>5.9369392429781076</v>
      </c>
      <c r="V79" s="22">
        <f t="shared" si="19"/>
        <v>5.9484299369724756</v>
      </c>
      <c r="W79" s="22">
        <f t="shared" si="19"/>
        <v>5.9613561230675689</v>
      </c>
      <c r="X79" s="22">
        <f t="shared" si="19"/>
        <v>5.9754482628979506</v>
      </c>
      <c r="Y79" s="22">
        <f t="shared" si="19"/>
        <v>5.9840189867940028</v>
      </c>
      <c r="Z79" s="22">
        <f t="shared" si="19"/>
        <v>5.9935919924924663</v>
      </c>
      <c r="AA79" s="22">
        <f t="shared" si="19"/>
        <v>6.0040970561873648</v>
      </c>
      <c r="AB79" s="22">
        <f t="shared" si="19"/>
        <v>6.015772019922915</v>
      </c>
      <c r="AC79" s="22">
        <f t="shared" si="19"/>
        <v>6.0283300293613564</v>
      </c>
      <c r="AD79" s="22">
        <f t="shared" si="19"/>
        <v>6.0365358206617943</v>
      </c>
      <c r="AE79" s="22">
        <f t="shared" si="19"/>
        <v>6.0457468580703022</v>
      </c>
      <c r="AF79" s="22">
        <f t="shared" si="19"/>
        <v>6.0558159935957239</v>
      </c>
      <c r="AG79" s="22">
        <f t="shared" si="19"/>
        <v>6.0668477974371191</v>
      </c>
      <c r="AH79" s="22">
        <f t="shared" si="19"/>
        <v>6.0782061128825768</v>
      </c>
      <c r="AI79" s="22">
        <f t="shared" si="19"/>
        <v>6.0851673422995747</v>
      </c>
      <c r="AJ79" s="22">
        <f t="shared" si="19"/>
        <v>6.0928574061867389</v>
      </c>
      <c r="AK79" s="22">
        <f t="shared" si="19"/>
        <v>6.1010802783379781</v>
      </c>
      <c r="AL79" s="22">
        <f t="shared" si="19"/>
        <v>6.1099337878320572</v>
      </c>
      <c r="AM79" s="22">
        <f t="shared" si="19"/>
        <v>6.1193379299301505</v>
      </c>
      <c r="AN79" s="22">
        <f t="shared" si="19"/>
        <v>6.1247915653472518</v>
      </c>
      <c r="AO79" s="22">
        <f t="shared" si="19"/>
        <v>6.1306576553625556</v>
      </c>
      <c r="AP79" s="22">
        <f t="shared" si="19"/>
        <v>6.1370111691436762</v>
      </c>
      <c r="AQ79" s="22">
        <f t="shared" si="19"/>
        <v>6.1438608776263539</v>
      </c>
      <c r="AR79" s="22">
        <f t="shared" si="19"/>
        <v>6.1512019925053671</v>
      </c>
      <c r="AS79" s="22">
        <f t="shared" si="19"/>
        <v>6.1544845731259219</v>
      </c>
      <c r="AT79" s="22">
        <f t="shared" si="19"/>
        <v>6.1575398722372316</v>
      </c>
      <c r="AU79" s="22">
        <f t="shared" si="19"/>
        <v>6.1609269818317118</v>
      </c>
      <c r="AV79" s="22">
        <f t="shared" si="19"/>
        <v>6.1647001939833732</v>
      </c>
      <c r="AW79" s="22">
        <f t="shared" si="19"/>
        <v>6.1688206661186156</v>
      </c>
      <c r="AY79" s="79"/>
    </row>
    <row r="80" spans="1:51" x14ac:dyDescent="0.2">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0.66059463009348052</v>
      </c>
      <c r="T80" s="22">
        <f t="shared" si="19"/>
        <v>0.66160066209280566</v>
      </c>
      <c r="U80" s="22">
        <f t="shared" si="19"/>
        <v>0.66273771901337264</v>
      </c>
      <c r="V80" s="22">
        <f t="shared" si="19"/>
        <v>0.66402041974788251</v>
      </c>
      <c r="W80" s="22">
        <f t="shared" si="19"/>
        <v>0.66546336378648574</v>
      </c>
      <c r="X80" s="22">
        <f t="shared" si="19"/>
        <v>0.66703646268896311</v>
      </c>
      <c r="Y80" s="22">
        <f t="shared" si="19"/>
        <v>0.66799320854279376</v>
      </c>
      <c r="Z80" s="22">
        <f t="shared" si="19"/>
        <v>0.66906183864006219</v>
      </c>
      <c r="AA80" s="22">
        <f t="shared" si="19"/>
        <v>0.67023451393053002</v>
      </c>
      <c r="AB80" s="22">
        <f t="shared" si="19"/>
        <v>0.67153778460907243</v>
      </c>
      <c r="AC80" s="22">
        <f t="shared" si="19"/>
        <v>0.67293962926167272</v>
      </c>
      <c r="AD80" s="22">
        <f t="shared" si="19"/>
        <v>0.67385563786249902</v>
      </c>
      <c r="AE80" s="22">
        <f t="shared" si="19"/>
        <v>0.67488386161080183</v>
      </c>
      <c r="AF80" s="22">
        <f t="shared" si="19"/>
        <v>0.67600787444594213</v>
      </c>
      <c r="AG80" s="22">
        <f t="shared" si="19"/>
        <v>0.67723934948976972</v>
      </c>
      <c r="AH80" s="22">
        <f t="shared" si="19"/>
        <v>0.6785072728694912</v>
      </c>
      <c r="AI80" s="22">
        <f t="shared" si="19"/>
        <v>0.67928435161605349</v>
      </c>
      <c r="AJ80" s="22">
        <f t="shared" si="19"/>
        <v>0.68014278980971932</v>
      </c>
      <c r="AK80" s="22">
        <f t="shared" si="19"/>
        <v>0.68106070513784001</v>
      </c>
      <c r="AL80" s="22">
        <f t="shared" si="19"/>
        <v>0.68204901821419661</v>
      </c>
      <c r="AM80" s="22">
        <f t="shared" si="19"/>
        <v>0.68309879814764285</v>
      </c>
      <c r="AN80" s="22">
        <f t="shared" si="19"/>
        <v>0.68370758488921768</v>
      </c>
      <c r="AO80" s="22">
        <f t="shared" si="19"/>
        <v>0.68436241374246343</v>
      </c>
      <c r="AP80" s="22">
        <f t="shared" si="19"/>
        <v>0.68507165348009424</v>
      </c>
      <c r="AQ80" s="22">
        <f t="shared" si="19"/>
        <v>0.68583628319751733</v>
      </c>
      <c r="AR80" s="22">
        <f t="shared" si="19"/>
        <v>0.68665576837848608</v>
      </c>
      <c r="AS80" s="22">
        <f t="shared" si="19"/>
        <v>0.68702220130021696</v>
      </c>
      <c r="AT80" s="22">
        <f t="shared" si="19"/>
        <v>0.68736326289459471</v>
      </c>
      <c r="AU80" s="22">
        <f t="shared" si="19"/>
        <v>0.6877413643362339</v>
      </c>
      <c r="AV80" s="22">
        <f t="shared" si="19"/>
        <v>0.68816256622367178</v>
      </c>
      <c r="AW80" s="22">
        <f t="shared" si="19"/>
        <v>0.68862253257879269</v>
      </c>
      <c r="AY80" s="79"/>
    </row>
    <row r="81" spans="1:51" x14ac:dyDescent="0.2">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0.72463138273575967</v>
      </c>
      <c r="O81" s="22">
        <f t="shared" si="19"/>
        <v>0.72832072886952293</v>
      </c>
      <c r="P81" s="22">
        <f t="shared" si="19"/>
        <v>0.7325443847928953</v>
      </c>
      <c r="Q81" s="22">
        <f t="shared" si="19"/>
        <v>0.73708994755228407</v>
      </c>
      <c r="R81" s="22">
        <f t="shared" si="19"/>
        <v>0.74193942345928476</v>
      </c>
      <c r="S81" s="22">
        <f t="shared" si="19"/>
        <v>0.74639464232983788</v>
      </c>
      <c r="T81" s="22">
        <f t="shared" si="19"/>
        <v>0.74856351716878611</v>
      </c>
      <c r="U81" s="22">
        <f t="shared" ref="L81:AW87" si="20">U1490</f>
        <v>0.7508946920259173</v>
      </c>
      <c r="V81" s="22">
        <f t="shared" si="20"/>
        <v>0.75341667510432941</v>
      </c>
      <c r="W81" s="22">
        <f t="shared" si="20"/>
        <v>0.75615715708667941</v>
      </c>
      <c r="X81" s="22">
        <f t="shared" si="20"/>
        <v>0.75906737547896641</v>
      </c>
      <c r="Y81" s="22">
        <f t="shared" si="20"/>
        <v>0.76088672130758961</v>
      </c>
      <c r="Z81" s="22">
        <f t="shared" si="20"/>
        <v>0.76285477171358229</v>
      </c>
      <c r="AA81" s="22">
        <f t="shared" si="20"/>
        <v>0.76495995173574494</v>
      </c>
      <c r="AB81" s="22">
        <f t="shared" si="20"/>
        <v>0.76724835481418519</v>
      </c>
      <c r="AC81" s="22">
        <f t="shared" si="20"/>
        <v>0.76966726525164153</v>
      </c>
      <c r="AD81" s="22">
        <f t="shared" si="20"/>
        <v>0.77123981630413885</v>
      </c>
      <c r="AE81" s="22">
        <f t="shared" si="20"/>
        <v>0.7729717745117366</v>
      </c>
      <c r="AF81" s="22">
        <f t="shared" si="20"/>
        <v>0.77483635735979484</v>
      </c>
      <c r="AG81" s="22">
        <f t="shared" si="20"/>
        <v>0.77685363069924696</v>
      </c>
      <c r="AH81" s="22">
        <f t="shared" si="20"/>
        <v>0.7789061253482048</v>
      </c>
      <c r="AI81" s="22">
        <f t="shared" si="20"/>
        <v>0.78012107515728923</v>
      </c>
      <c r="AJ81" s="22">
        <f t="shared" si="20"/>
        <v>0.78145074369480261</v>
      </c>
      <c r="AK81" s="22">
        <f t="shared" si="20"/>
        <v>0.7828593435343304</v>
      </c>
      <c r="AL81" s="22">
        <f t="shared" si="20"/>
        <v>0.78436534735883467</v>
      </c>
      <c r="AM81" s="22">
        <f t="shared" si="20"/>
        <v>0.78595438278227181</v>
      </c>
      <c r="AN81" s="22">
        <f t="shared" si="20"/>
        <v>0.78680169998206073</v>
      </c>
      <c r="AO81" s="22">
        <f t="shared" si="20"/>
        <v>0.78771028208261162</v>
      </c>
      <c r="AP81" s="22">
        <f t="shared" si="20"/>
        <v>0.78869414542587013</v>
      </c>
      <c r="AQ81" s="22">
        <f t="shared" si="20"/>
        <v>0.78975510213576938</v>
      </c>
      <c r="AR81" s="22">
        <f t="shared" si="20"/>
        <v>0.79089245177101786</v>
      </c>
      <c r="AS81" s="22">
        <f t="shared" si="20"/>
        <v>0.79127935129009708</v>
      </c>
      <c r="AT81" s="22">
        <f t="shared" si="20"/>
        <v>0.7916151974997605</v>
      </c>
      <c r="AU81" s="22">
        <f t="shared" si="20"/>
        <v>0.79200195212614188</v>
      </c>
      <c r="AV81" s="22">
        <f t="shared" si="20"/>
        <v>0.79244958629193585</v>
      </c>
      <c r="AW81" s="22">
        <f t="shared" si="20"/>
        <v>0.79295116872451854</v>
      </c>
      <c r="AY81" s="79"/>
    </row>
    <row r="82" spans="1:51" x14ac:dyDescent="0.2">
      <c r="A82" s="95" t="str">
        <f t="shared" si="0"/>
        <v>FS U&amp;D</v>
      </c>
      <c r="B82" s="95" t="s">
        <v>1004</v>
      </c>
      <c r="C82" s="95" t="s">
        <v>1336</v>
      </c>
      <c r="D82" t="s">
        <v>369</v>
      </c>
      <c r="E82" t="s">
        <v>55</v>
      </c>
      <c r="F82" t="s">
        <v>422</v>
      </c>
      <c r="G82" t="s">
        <v>1170</v>
      </c>
      <c r="H82" t="s">
        <v>1249</v>
      </c>
      <c r="I82" t="s">
        <v>139</v>
      </c>
      <c r="J82" t="s">
        <v>287</v>
      </c>
      <c r="K82" s="22">
        <f t="shared" si="16"/>
        <v>1.1867254191644501</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1.2198688909683482</v>
      </c>
      <c r="R82" s="22">
        <f t="shared" si="20"/>
        <v>1.2278946750888551</v>
      </c>
      <c r="S82" s="22">
        <f t="shared" si="20"/>
        <v>1.2352679718224364</v>
      </c>
      <c r="T82" s="22">
        <f t="shared" si="20"/>
        <v>1.2388574156253576</v>
      </c>
      <c r="U82" s="22">
        <f t="shared" si="20"/>
        <v>1.2427154626616324</v>
      </c>
      <c r="V82" s="22">
        <f t="shared" si="20"/>
        <v>1.2468892934283116</v>
      </c>
      <c r="W82" s="22">
        <f t="shared" si="20"/>
        <v>1.2514247354427215</v>
      </c>
      <c r="X82" s="22">
        <f t="shared" si="20"/>
        <v>1.2562410877677852</v>
      </c>
      <c r="Y82" s="22">
        <f t="shared" si="20"/>
        <v>1.2592520681584702</v>
      </c>
      <c r="Z82" s="22">
        <f t="shared" si="20"/>
        <v>1.2625091516041205</v>
      </c>
      <c r="AA82" s="22">
        <f t="shared" si="20"/>
        <v>1.2659931817790702</v>
      </c>
      <c r="AB82" s="22">
        <f t="shared" si="20"/>
        <v>1.2697804423904187</v>
      </c>
      <c r="AC82" s="22">
        <f t="shared" si="20"/>
        <v>1.2737836900299913</v>
      </c>
      <c r="AD82" s="22">
        <f t="shared" si="20"/>
        <v>1.2763862300792366</v>
      </c>
      <c r="AE82" s="22">
        <f t="shared" si="20"/>
        <v>1.2792525857321959</v>
      </c>
      <c r="AF82" s="22">
        <f t="shared" si="20"/>
        <v>1.2823384324711629</v>
      </c>
      <c r="AG82" s="22">
        <f t="shared" si="20"/>
        <v>1.2856769788718418</v>
      </c>
      <c r="AH82" s="22">
        <f t="shared" si="20"/>
        <v>1.2890738158243156</v>
      </c>
      <c r="AI82" s="22">
        <f t="shared" si="20"/>
        <v>1.2910845330795322</v>
      </c>
      <c r="AJ82" s="22">
        <f t="shared" si="20"/>
        <v>1.2932851075000604</v>
      </c>
      <c r="AK82" s="22">
        <f t="shared" si="20"/>
        <v>1.2956163116221209</v>
      </c>
      <c r="AL82" s="22">
        <f t="shared" si="20"/>
        <v>1.2981087173607861</v>
      </c>
      <c r="AM82" s="22">
        <f t="shared" si="20"/>
        <v>1.3007385387090959</v>
      </c>
      <c r="AN82" s="22">
        <f t="shared" si="20"/>
        <v>1.3021408314635115</v>
      </c>
      <c r="AO82" s="22">
        <f t="shared" si="20"/>
        <v>1.303644516384237</v>
      </c>
      <c r="AP82" s="22">
        <f t="shared" si="20"/>
        <v>1.3052727902324839</v>
      </c>
      <c r="AQ82" s="22">
        <f t="shared" si="20"/>
        <v>1.3070286520365533</v>
      </c>
      <c r="AR82" s="22">
        <f t="shared" si="20"/>
        <v>1.308910942580334</v>
      </c>
      <c r="AS82" s="22">
        <f t="shared" si="20"/>
        <v>1.3095512534254661</v>
      </c>
      <c r="AT82" s="22">
        <f t="shared" si="20"/>
        <v>1.3101070720805417</v>
      </c>
      <c r="AU82" s="22">
        <f t="shared" si="20"/>
        <v>1.310747143131201</v>
      </c>
      <c r="AV82" s="22">
        <f t="shared" si="20"/>
        <v>1.3114879685829661</v>
      </c>
      <c r="AW82" s="22">
        <f t="shared" si="20"/>
        <v>1.312318077320435</v>
      </c>
      <c r="AY82" s="79"/>
    </row>
    <row r="83" spans="1:51" x14ac:dyDescent="0.2">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0.19368291106027899</v>
      </c>
      <c r="P83" s="22">
        <f t="shared" si="20"/>
        <v>0.19253602379697463</v>
      </c>
      <c r="Q83" s="22">
        <f t="shared" si="20"/>
        <v>0.19190012409058904</v>
      </c>
      <c r="R83" s="22">
        <f t="shared" si="20"/>
        <v>0.19132863754616405</v>
      </c>
      <c r="S83" s="22">
        <f t="shared" si="20"/>
        <v>0.18119977029128689</v>
      </c>
      <c r="T83" s="22">
        <f t="shared" si="20"/>
        <v>0.18372263045933149</v>
      </c>
      <c r="U83" s="22">
        <f t="shared" si="20"/>
        <v>0.18542569851972082</v>
      </c>
      <c r="V83" s="22">
        <f t="shared" si="20"/>
        <v>0.18690586811212617</v>
      </c>
      <c r="W83" s="22">
        <f t="shared" si="20"/>
        <v>0.18871846813186952</v>
      </c>
      <c r="X83" s="22">
        <f t="shared" si="20"/>
        <v>0.19032856308746704</v>
      </c>
      <c r="Y83" s="22">
        <f t="shared" si="20"/>
        <v>0.19181155412665482</v>
      </c>
      <c r="Z83" s="22">
        <f t="shared" si="20"/>
        <v>0.19316694252651395</v>
      </c>
      <c r="AA83" s="22">
        <f t="shared" si="20"/>
        <v>0.19434817692528195</v>
      </c>
      <c r="AB83" s="22">
        <f t="shared" si="20"/>
        <v>0.19609130445368728</v>
      </c>
      <c r="AC83" s="22">
        <f t="shared" si="20"/>
        <v>0.19775823400143536</v>
      </c>
      <c r="AD83" s="22">
        <f t="shared" si="20"/>
        <v>0.19979376823512379</v>
      </c>
      <c r="AE83" s="22">
        <f t="shared" si="20"/>
        <v>0.2023779928594536</v>
      </c>
      <c r="AF83" s="22">
        <f t="shared" si="20"/>
        <v>0.20521413875451175</v>
      </c>
      <c r="AG83" s="22">
        <f t="shared" si="20"/>
        <v>0.20863865671050874</v>
      </c>
      <c r="AH83" s="22">
        <f t="shared" si="20"/>
        <v>0.21111219620408483</v>
      </c>
      <c r="AI83" s="22">
        <f t="shared" si="20"/>
        <v>0.21359919528074695</v>
      </c>
      <c r="AJ83" s="22">
        <f t="shared" si="20"/>
        <v>0.21637994777249434</v>
      </c>
      <c r="AK83" s="22">
        <f t="shared" si="20"/>
        <v>0.21901936705190489</v>
      </c>
      <c r="AL83" s="22">
        <f t="shared" si="20"/>
        <v>0.22181322909338433</v>
      </c>
      <c r="AM83" s="22">
        <f t="shared" si="20"/>
        <v>0.22460946011468219</v>
      </c>
      <c r="AN83" s="22">
        <f t="shared" si="20"/>
        <v>0.22803030127957039</v>
      </c>
      <c r="AO83" s="22">
        <f t="shared" si="20"/>
        <v>0.23127378160095582</v>
      </c>
      <c r="AP83" s="22">
        <f t="shared" si="20"/>
        <v>0.23456525375289961</v>
      </c>
      <c r="AQ83" s="22">
        <f t="shared" si="20"/>
        <v>0.23796293573474386</v>
      </c>
      <c r="AR83" s="22">
        <f t="shared" si="20"/>
        <v>0.24148877503172564</v>
      </c>
      <c r="AS83" s="22">
        <f t="shared" si="20"/>
        <v>0.24576012405635958</v>
      </c>
      <c r="AT83" s="22">
        <f t="shared" si="20"/>
        <v>0.24853256796744563</v>
      </c>
      <c r="AU83" s="22">
        <f t="shared" si="20"/>
        <v>0.25120157665253162</v>
      </c>
      <c r="AV83" s="22">
        <f t="shared" si="20"/>
        <v>0.25392762754999298</v>
      </c>
      <c r="AW83" s="22">
        <f t="shared" si="20"/>
        <v>0.25664306300563272</v>
      </c>
      <c r="AY83" s="79"/>
    </row>
    <row r="84" spans="1:51" x14ac:dyDescent="0.2">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2">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2">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2">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2">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2">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2">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2">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2">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2">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2">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2">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2">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2">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2">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2">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2">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2">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0.66038869625937391</v>
      </c>
      <c r="U101" s="22">
        <f t="shared" si="22"/>
        <v>0.66020342469478921</v>
      </c>
      <c r="V101" s="22">
        <f t="shared" si="22"/>
        <v>0.66005840725031206</v>
      </c>
      <c r="W101" s="22">
        <f t="shared" si="22"/>
        <v>0.65992416571177226</v>
      </c>
      <c r="X101" s="22">
        <f t="shared" si="22"/>
        <v>0.65977411232427086</v>
      </c>
      <c r="Y101" s="22">
        <f t="shared" si="22"/>
        <v>0.65963380636148372</v>
      </c>
      <c r="Z101" s="22">
        <f t="shared" ref="L101:AW108" si="23">Z1510</f>
        <v>0.65950885900535394</v>
      </c>
      <c r="AA101" s="22">
        <f t="shared" si="23"/>
        <v>0.65938996649107751</v>
      </c>
      <c r="AB101" s="22">
        <f t="shared" si="23"/>
        <v>0.65927919026350434</v>
      </c>
      <c r="AC101" s="22">
        <f t="shared" si="23"/>
        <v>0.65914248070564796</v>
      </c>
      <c r="AD101" s="22">
        <f t="shared" si="23"/>
        <v>0.65900953819081531</v>
      </c>
      <c r="AE101" s="22">
        <f t="shared" si="23"/>
        <v>0.65886770470789013</v>
      </c>
      <c r="AF101" s="22">
        <f t="shared" si="23"/>
        <v>0.65870194021035933</v>
      </c>
      <c r="AG101" s="22">
        <f t="shared" si="23"/>
        <v>0.65852622329414567</v>
      </c>
      <c r="AH101" s="22">
        <f t="shared" si="23"/>
        <v>0.65832642389355089</v>
      </c>
      <c r="AI101" s="22">
        <f t="shared" si="23"/>
        <v>0.6581693318477011</v>
      </c>
      <c r="AJ101" s="22">
        <f t="shared" si="23"/>
        <v>0.65801985919199812</v>
      </c>
      <c r="AK101" s="22">
        <f t="shared" si="23"/>
        <v>0.65785915117586091</v>
      </c>
      <c r="AL101" s="22">
        <f t="shared" si="23"/>
        <v>0.65770555695996225</v>
      </c>
      <c r="AM101" s="22">
        <f t="shared" si="23"/>
        <v>0.65754680730045456</v>
      </c>
      <c r="AN101" s="22">
        <f t="shared" si="23"/>
        <v>0.65738921443316178</v>
      </c>
      <c r="AO101" s="22">
        <f t="shared" si="23"/>
        <v>0.65721499435540864</v>
      </c>
      <c r="AP101" s="22">
        <f t="shared" si="23"/>
        <v>0.65704963238558323</v>
      </c>
      <c r="AQ101" s="22">
        <f t="shared" si="23"/>
        <v>0.65688413494168396</v>
      </c>
      <c r="AR101" s="22">
        <f t="shared" si="23"/>
        <v>0.65671634182939487</v>
      </c>
      <c r="AS101" s="22">
        <f t="shared" si="23"/>
        <v>0.65654557216665388</v>
      </c>
      <c r="AT101" s="22">
        <f t="shared" si="23"/>
        <v>0.65635649622881898</v>
      </c>
      <c r="AU101" s="22">
        <f t="shared" si="23"/>
        <v>0.65622389108641888</v>
      </c>
      <c r="AV101" s="22">
        <f t="shared" si="23"/>
        <v>0.65609603440705455</v>
      </c>
      <c r="AW101" s="22">
        <f t="shared" si="23"/>
        <v>0.65596714127254918</v>
      </c>
      <c r="AY101" s="79"/>
    </row>
    <row r="102" spans="1:51" x14ac:dyDescent="0.2">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8.7171307906237401E-3</v>
      </c>
      <c r="U102" s="22">
        <f t="shared" si="23"/>
        <v>8.714685205971219E-3</v>
      </c>
      <c r="V102" s="22">
        <f t="shared" si="23"/>
        <v>8.7127709757041216E-3</v>
      </c>
      <c r="W102" s="22">
        <f t="shared" si="23"/>
        <v>8.7109989873953957E-3</v>
      </c>
      <c r="X102" s="22">
        <f t="shared" si="23"/>
        <v>8.7090182826803763E-3</v>
      </c>
      <c r="Y102" s="22">
        <f t="shared" si="23"/>
        <v>8.7071662439715883E-3</v>
      </c>
      <c r="Z102" s="22">
        <f t="shared" si="23"/>
        <v>8.7055169388706739E-3</v>
      </c>
      <c r="AA102" s="22">
        <f t="shared" si="23"/>
        <v>8.7039475576822217E-3</v>
      </c>
      <c r="AB102" s="22">
        <f t="shared" si="23"/>
        <v>8.7024853114782592E-3</v>
      </c>
      <c r="AC102" s="22">
        <f t="shared" si="23"/>
        <v>8.7006807453145554E-3</v>
      </c>
      <c r="AD102" s="22">
        <f t="shared" si="23"/>
        <v>8.6989259041187622E-3</v>
      </c>
      <c r="AE102" s="22">
        <f t="shared" si="23"/>
        <v>8.6970537021441498E-3</v>
      </c>
      <c r="AF102" s="22">
        <f t="shared" si="23"/>
        <v>8.6948656107767464E-3</v>
      </c>
      <c r="AG102" s="22">
        <f t="shared" si="23"/>
        <v>8.6925461474827246E-3</v>
      </c>
      <c r="AH102" s="22">
        <f t="shared" si="23"/>
        <v>8.6899087953948712E-3</v>
      </c>
      <c r="AI102" s="22">
        <f t="shared" si="23"/>
        <v>8.6878351803896525E-3</v>
      </c>
      <c r="AJ102" s="22">
        <f t="shared" si="23"/>
        <v>8.685862141334379E-3</v>
      </c>
      <c r="AK102" s="22">
        <f t="shared" si="23"/>
        <v>8.6837407955213629E-3</v>
      </c>
      <c r="AL102" s="22">
        <f t="shared" si="23"/>
        <v>8.681713351871503E-3</v>
      </c>
      <c r="AM102" s="22">
        <f t="shared" si="23"/>
        <v>8.679617856366003E-3</v>
      </c>
      <c r="AN102" s="22">
        <f t="shared" si="23"/>
        <v>8.677537630517736E-3</v>
      </c>
      <c r="AO102" s="22">
        <f t="shared" si="23"/>
        <v>8.6752379254913976E-3</v>
      </c>
      <c r="AP102" s="22">
        <f t="shared" si="23"/>
        <v>8.6730551474897017E-3</v>
      </c>
      <c r="AQ102" s="22">
        <f t="shared" si="23"/>
        <v>8.6708705812302295E-3</v>
      </c>
      <c r="AR102" s="22">
        <f t="shared" si="23"/>
        <v>8.6686557121480167E-3</v>
      </c>
      <c r="AS102" s="22">
        <f t="shared" si="23"/>
        <v>8.6664015525998329E-3</v>
      </c>
      <c r="AT102" s="22">
        <f t="shared" si="23"/>
        <v>8.6639057502204114E-3</v>
      </c>
      <c r="AU102" s="22">
        <f t="shared" si="23"/>
        <v>8.6621553623407298E-3</v>
      </c>
      <c r="AV102" s="22">
        <f t="shared" si="23"/>
        <v>8.66046765417312E-3</v>
      </c>
      <c r="AW102" s="22">
        <f t="shared" si="23"/>
        <v>8.6587662647976526E-3</v>
      </c>
      <c r="AY102" s="79"/>
    </row>
    <row r="103" spans="1:51" x14ac:dyDescent="0.2">
      <c r="A103" s="95" t="str">
        <f t="shared" si="0"/>
        <v>FS Volatilisation</v>
      </c>
      <c r="B103" s="95" t="s">
        <v>1004</v>
      </c>
      <c r="C103" s="95" t="s">
        <v>62</v>
      </c>
      <c r="D103" t="s">
        <v>369</v>
      </c>
      <c r="E103" t="s">
        <v>61</v>
      </c>
      <c r="F103" t="s">
        <v>62</v>
      </c>
      <c r="G103" t="s">
        <v>437</v>
      </c>
      <c r="H103" t="s">
        <v>1186</v>
      </c>
      <c r="I103" t="s">
        <v>139</v>
      </c>
      <c r="J103" t="s">
        <v>287</v>
      </c>
      <c r="K103" s="22">
        <f t="shared" si="16"/>
        <v>1.2008407282256135</v>
      </c>
      <c r="L103" s="22">
        <f t="shared" si="23"/>
        <v>1.2019035107607596</v>
      </c>
      <c r="M103" s="22">
        <f t="shared" si="23"/>
        <v>1.2088775122881088</v>
      </c>
      <c r="N103" s="22">
        <f t="shared" si="23"/>
        <v>1.2055442230548155</v>
      </c>
      <c r="O103" s="22">
        <f t="shared" si="23"/>
        <v>1.1958435838326282</v>
      </c>
      <c r="P103" s="22">
        <f t="shared" si="23"/>
        <v>1.1799964998501222</v>
      </c>
      <c r="Q103" s="22">
        <f t="shared" si="23"/>
        <v>1.169776622170569</v>
      </c>
      <c r="R103" s="22">
        <f t="shared" si="23"/>
        <v>1.1606871439933113</v>
      </c>
      <c r="S103" s="22">
        <f t="shared" si="23"/>
        <v>1.0581466820913914</v>
      </c>
      <c r="T103" s="22">
        <f t="shared" si="23"/>
        <v>1.0811007370653605</v>
      </c>
      <c r="U103" s="22">
        <f t="shared" si="23"/>
        <v>1.0962373736212656</v>
      </c>
      <c r="V103" s="22">
        <f t="shared" si="23"/>
        <v>1.1094295908986627</v>
      </c>
      <c r="W103" s="22">
        <f t="shared" si="23"/>
        <v>1.1260819451253103</v>
      </c>
      <c r="X103" s="22">
        <f t="shared" si="23"/>
        <v>1.1409777774824073</v>
      </c>
      <c r="Y103" s="22">
        <f t="shared" si="23"/>
        <v>1.1529726027889684</v>
      </c>
      <c r="Z103" s="22">
        <f t="shared" si="23"/>
        <v>1.1639042106537316</v>
      </c>
      <c r="AA103" s="22">
        <f t="shared" si="23"/>
        <v>1.1733291691179792</v>
      </c>
      <c r="AB103" s="22">
        <f t="shared" si="23"/>
        <v>1.1883113875074136</v>
      </c>
      <c r="AC103" s="22">
        <f t="shared" si="23"/>
        <v>1.2027019182394856</v>
      </c>
      <c r="AD103" s="22">
        <f t="shared" si="23"/>
        <v>1.2149899149490335</v>
      </c>
      <c r="AE103" s="22">
        <f t="shared" si="23"/>
        <v>1.2323877476985694</v>
      </c>
      <c r="AF103" s="22">
        <f t="shared" si="23"/>
        <v>1.2520054927946573</v>
      </c>
      <c r="AG103" s="22">
        <f t="shared" si="23"/>
        <v>1.2769207481959246</v>
      </c>
      <c r="AH103" s="22">
        <f t="shared" si="23"/>
        <v>1.2928179151571899</v>
      </c>
      <c r="AI103" s="22">
        <f t="shared" si="23"/>
        <v>1.3071721599558817</v>
      </c>
      <c r="AJ103" s="22">
        <f t="shared" si="23"/>
        <v>1.3240396401072183</v>
      </c>
      <c r="AK103" s="22">
        <f t="shared" si="23"/>
        <v>1.3394377409062461</v>
      </c>
      <c r="AL103" s="22">
        <f t="shared" si="23"/>
        <v>1.3560429960988876</v>
      </c>
      <c r="AM103" s="22">
        <f t="shared" si="23"/>
        <v>1.3724754415260532</v>
      </c>
      <c r="AN103" s="22">
        <f t="shared" si="23"/>
        <v>1.3952859972976908</v>
      </c>
      <c r="AO103" s="22">
        <f t="shared" si="23"/>
        <v>1.4163366526625445</v>
      </c>
      <c r="AP103" s="22">
        <f t="shared" si="23"/>
        <v>1.4376236961609334</v>
      </c>
      <c r="AQ103" s="22">
        <f t="shared" si="23"/>
        <v>1.4596469584782656</v>
      </c>
      <c r="AR103" s="22">
        <f t="shared" si="23"/>
        <v>1.4825821629092799</v>
      </c>
      <c r="AS103" s="22">
        <f t="shared" si="23"/>
        <v>1.5100637913409878</v>
      </c>
      <c r="AT103" s="22">
        <f t="shared" si="23"/>
        <v>1.5244988187348365</v>
      </c>
      <c r="AU103" s="22">
        <f t="shared" si="23"/>
        <v>1.5379134396371121</v>
      </c>
      <c r="AV103" s="22">
        <f t="shared" si="23"/>
        <v>1.5516700859590873</v>
      </c>
      <c r="AW103" s="22">
        <f t="shared" si="23"/>
        <v>1.5651983516984527</v>
      </c>
      <c r="AY103" s="79"/>
    </row>
    <row r="104" spans="1:51" x14ac:dyDescent="0.2">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4.3473821211305586</v>
      </c>
      <c r="O104" s="22">
        <f t="shared" si="23"/>
        <v>4.3052096453824609</v>
      </c>
      <c r="P104" s="22">
        <f t="shared" si="23"/>
        <v>4.2496956169043703</v>
      </c>
      <c r="Q104" s="22">
        <f t="shared" si="23"/>
        <v>4.2083609134426787</v>
      </c>
      <c r="R104" s="22">
        <f t="shared" si="23"/>
        <v>4.1703852155628214</v>
      </c>
      <c r="S104" s="22">
        <f t="shared" si="23"/>
        <v>3.918985241839104</v>
      </c>
      <c r="T104" s="22">
        <f t="shared" si="23"/>
        <v>3.962647023266995</v>
      </c>
      <c r="U104" s="22">
        <f t="shared" si="23"/>
        <v>3.988397466462279</v>
      </c>
      <c r="V104" s="22">
        <f t="shared" si="23"/>
        <v>4.0097420759989726</v>
      </c>
      <c r="W104" s="22">
        <f t="shared" si="23"/>
        <v>4.0388232265836717</v>
      </c>
      <c r="X104" s="22">
        <f t="shared" si="23"/>
        <v>4.063881936096621</v>
      </c>
      <c r="Y104" s="22">
        <f t="shared" si="23"/>
        <v>4.0803176241982966</v>
      </c>
      <c r="Z104" s="22">
        <f t="shared" si="23"/>
        <v>4.0943719762440898</v>
      </c>
      <c r="AA104" s="22">
        <f t="shared" si="23"/>
        <v>4.1051027315234014</v>
      </c>
      <c r="AB104" s="22">
        <f t="shared" si="23"/>
        <v>4.1278786035109292</v>
      </c>
      <c r="AC104" s="22">
        <f t="shared" si="23"/>
        <v>4.149204796729399</v>
      </c>
      <c r="AD104" s="22">
        <f t="shared" si="23"/>
        <v>4.1548667718492807</v>
      </c>
      <c r="AE104" s="22">
        <f t="shared" si="23"/>
        <v>4.1707310137254909</v>
      </c>
      <c r="AF104" s="22">
        <f t="shared" si="23"/>
        <v>4.1903910179403239</v>
      </c>
      <c r="AG104" s="22">
        <f t="shared" si="23"/>
        <v>4.2200248954303605</v>
      </c>
      <c r="AH104" s="22">
        <f t="shared" si="23"/>
        <v>4.2299973767021726</v>
      </c>
      <c r="AI104" s="22">
        <f t="shared" si="23"/>
        <v>4.2344058167490939</v>
      </c>
      <c r="AJ104" s="22">
        <f t="shared" si="23"/>
        <v>4.2430165616646569</v>
      </c>
      <c r="AK104" s="22">
        <f t="shared" si="23"/>
        <v>4.2477733537700137</v>
      </c>
      <c r="AL104" s="22">
        <f t="shared" si="23"/>
        <v>4.2539691533655395</v>
      </c>
      <c r="AM104" s="22">
        <f t="shared" si="23"/>
        <v>4.2588371425380025</v>
      </c>
      <c r="AN104" s="22">
        <f t="shared" si="23"/>
        <v>4.2797220284315198</v>
      </c>
      <c r="AO104" s="22">
        <f t="shared" si="23"/>
        <v>4.2963498578029604</v>
      </c>
      <c r="AP104" s="22">
        <f t="shared" si="23"/>
        <v>4.3125285701488281</v>
      </c>
      <c r="AQ104" s="22">
        <f t="shared" si="23"/>
        <v>4.3291488784909324</v>
      </c>
      <c r="AR104" s="22">
        <f t="shared" si="23"/>
        <v>4.3464700481298193</v>
      </c>
      <c r="AS104" s="22">
        <f t="shared" si="23"/>
        <v>4.3694873280939213</v>
      </c>
      <c r="AT104" s="22">
        <f t="shared" si="23"/>
        <v>4.3680189479011426</v>
      </c>
      <c r="AU104" s="22">
        <f t="shared" si="23"/>
        <v>4.3640461344633534</v>
      </c>
      <c r="AV104" s="22">
        <f t="shared" si="23"/>
        <v>4.3599917873846739</v>
      </c>
      <c r="AW104" s="22">
        <f t="shared" si="23"/>
        <v>4.3548399908669477</v>
      </c>
      <c r="AY104" s="79"/>
    </row>
    <row r="105" spans="1:51" x14ac:dyDescent="0.2">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2.27834100209484E-4</v>
      </c>
      <c r="U105" s="22">
        <f t="shared" si="23"/>
        <v>2.2777018151970223E-4</v>
      </c>
      <c r="V105" s="22">
        <f t="shared" si="23"/>
        <v>2.2772015050135763E-4</v>
      </c>
      <c r="W105" s="22">
        <f t="shared" si="23"/>
        <v>2.276738371705614E-4</v>
      </c>
      <c r="X105" s="22">
        <f t="shared" si="23"/>
        <v>2.2762206875187344E-4</v>
      </c>
      <c r="Y105" s="22">
        <f t="shared" si="23"/>
        <v>2.2757366319471181E-4</v>
      </c>
      <c r="Z105" s="22">
        <f t="shared" si="23"/>
        <v>2.2753055635684708E-4</v>
      </c>
      <c r="AA105" s="22">
        <f t="shared" si="23"/>
        <v>2.2748953843942165E-4</v>
      </c>
      <c r="AB105" s="22">
        <f t="shared" si="23"/>
        <v>2.2745132064090905E-4</v>
      </c>
      <c r="AC105" s="22">
        <f t="shared" si="23"/>
        <v>2.2740415584344853E-4</v>
      </c>
      <c r="AD105" s="22">
        <f t="shared" si="23"/>
        <v>2.2735829067583124E-4</v>
      </c>
      <c r="AE105" s="22">
        <f t="shared" si="23"/>
        <v>2.2730935812422204E-4</v>
      </c>
      <c r="AF105" s="22">
        <f t="shared" si="23"/>
        <v>2.2725216937257396E-4</v>
      </c>
      <c r="AG105" s="22">
        <f t="shared" si="23"/>
        <v>2.2719154703648017E-4</v>
      </c>
      <c r="AH105" s="22">
        <f t="shared" si="23"/>
        <v>2.2712261624327501E-4</v>
      </c>
      <c r="AI105" s="22">
        <f t="shared" si="23"/>
        <v>2.2706841948745679E-4</v>
      </c>
      <c r="AJ105" s="22">
        <f t="shared" si="23"/>
        <v>2.2701685142123931E-4</v>
      </c>
      <c r="AK105" s="22">
        <f t="shared" si="23"/>
        <v>2.26961407155672E-4</v>
      </c>
      <c r="AL105" s="22">
        <f t="shared" si="23"/>
        <v>2.2690841715118691E-4</v>
      </c>
      <c r="AM105" s="22">
        <f t="shared" si="23"/>
        <v>2.268536485186568E-4</v>
      </c>
      <c r="AN105" s="22">
        <f t="shared" si="23"/>
        <v>2.267992789794407E-4</v>
      </c>
      <c r="AO105" s="22">
        <f t="shared" si="23"/>
        <v>2.2673917305261599E-4</v>
      </c>
      <c r="AP105" s="22">
        <f t="shared" si="23"/>
        <v>2.2668212317302622E-4</v>
      </c>
      <c r="AQ105" s="22">
        <f t="shared" si="23"/>
        <v>2.2662502655488093E-4</v>
      </c>
      <c r="AR105" s="22">
        <f t="shared" si="23"/>
        <v>2.2656713793114123E-4</v>
      </c>
      <c r="AS105" s="22">
        <f t="shared" si="23"/>
        <v>2.2650822239749554E-4</v>
      </c>
      <c r="AT105" s="22">
        <f t="shared" si="23"/>
        <v>2.2644299119894249E-4</v>
      </c>
      <c r="AU105" s="22">
        <f t="shared" si="23"/>
        <v>2.2639724242481442E-4</v>
      </c>
      <c r="AV105" s="22">
        <f t="shared" si="23"/>
        <v>2.2635313187043375E-4</v>
      </c>
      <c r="AW105" s="22">
        <f t="shared" si="23"/>
        <v>2.2630866373902947E-4</v>
      </c>
      <c r="AY105" s="79"/>
    </row>
    <row r="106" spans="1:51" x14ac:dyDescent="0.2">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1.5037050613825948E-6</v>
      </c>
      <c r="U106" s="22">
        <f t="shared" si="23"/>
        <v>1.5032831980300348E-6</v>
      </c>
      <c r="V106" s="22">
        <f t="shared" si="23"/>
        <v>1.5029529933089607E-6</v>
      </c>
      <c r="W106" s="22">
        <f t="shared" si="23"/>
        <v>1.5026473253257052E-6</v>
      </c>
      <c r="X106" s="22">
        <f t="shared" si="23"/>
        <v>1.5023056537623651E-6</v>
      </c>
      <c r="Y106" s="22">
        <f t="shared" si="23"/>
        <v>1.5019861770850986E-6</v>
      </c>
      <c r="Z106" s="22">
        <f t="shared" si="23"/>
        <v>1.501701671955191E-6</v>
      </c>
      <c r="AA106" s="22">
        <f t="shared" si="23"/>
        <v>1.5014309537001836E-6</v>
      </c>
      <c r="AB106" s="22">
        <f t="shared" si="23"/>
        <v>1.5011787162299995E-6</v>
      </c>
      <c r="AC106" s="22">
        <f t="shared" si="23"/>
        <v>1.5008674285667609E-6</v>
      </c>
      <c r="AD106" s="22">
        <f t="shared" si="23"/>
        <v>1.5005647184604863E-6</v>
      </c>
      <c r="AE106" s="22">
        <f t="shared" si="23"/>
        <v>1.5002417636198659E-6</v>
      </c>
      <c r="AF106" s="22">
        <f t="shared" si="23"/>
        <v>1.4998643178589887E-6</v>
      </c>
      <c r="AG106" s="22">
        <f t="shared" si="23"/>
        <v>1.4994642104407695E-6</v>
      </c>
      <c r="AH106" s="22">
        <f t="shared" si="23"/>
        <v>1.4990092672056151E-6</v>
      </c>
      <c r="AI106" s="22">
        <f t="shared" si="23"/>
        <v>1.4986515686172149E-6</v>
      </c>
      <c r="AJ106" s="22">
        <f t="shared" si="23"/>
        <v>1.49831121938018E-6</v>
      </c>
      <c r="AK106" s="22">
        <f t="shared" si="23"/>
        <v>1.4979452872274355E-6</v>
      </c>
      <c r="AL106" s="22">
        <f t="shared" si="23"/>
        <v>1.497595553197834E-6</v>
      </c>
      <c r="AM106" s="22">
        <f t="shared" si="23"/>
        <v>1.4972340802231352E-6</v>
      </c>
      <c r="AN106" s="22">
        <f t="shared" si="23"/>
        <v>1.4968752412643093E-6</v>
      </c>
      <c r="AO106" s="22">
        <f t="shared" si="23"/>
        <v>1.4964785421472656E-6</v>
      </c>
      <c r="AP106" s="22">
        <f t="shared" si="23"/>
        <v>1.4961020129419735E-6</v>
      </c>
      <c r="AQ106" s="22">
        <f t="shared" si="23"/>
        <v>1.4957251752622144E-6</v>
      </c>
      <c r="AR106" s="22">
        <f t="shared" si="23"/>
        <v>1.4953431103455323E-6</v>
      </c>
      <c r="AS106" s="22">
        <f t="shared" si="23"/>
        <v>1.4949542678234709E-6</v>
      </c>
      <c r="AT106" s="22">
        <f t="shared" si="23"/>
        <v>1.4945237419130207E-6</v>
      </c>
      <c r="AU106" s="22">
        <f t="shared" si="23"/>
        <v>1.4942218000037758E-6</v>
      </c>
      <c r="AV106" s="22">
        <f t="shared" si="23"/>
        <v>1.4939306703448634E-6</v>
      </c>
      <c r="AW106" s="22">
        <f t="shared" si="23"/>
        <v>1.4936371806775946E-6</v>
      </c>
      <c r="AY106" s="79"/>
    </row>
    <row r="107" spans="1:51" x14ac:dyDescent="0.2">
      <c r="A107" s="95" t="str">
        <f t="shared" si="0"/>
        <v>FS Leaching</v>
      </c>
      <c r="B107" s="95" t="s">
        <v>1004</v>
      </c>
      <c r="C107" s="95" t="s">
        <v>1190</v>
      </c>
      <c r="D107" t="s">
        <v>369</v>
      </c>
      <c r="E107" t="s">
        <v>61</v>
      </c>
      <c r="F107" t="s">
        <v>63</v>
      </c>
      <c r="G107" t="s">
        <v>437</v>
      </c>
      <c r="H107" t="s">
        <v>1189</v>
      </c>
      <c r="I107" t="s">
        <v>139</v>
      </c>
      <c r="J107" t="s">
        <v>287</v>
      </c>
      <c r="K107" s="22">
        <f t="shared" si="16"/>
        <v>0.20714502561891829</v>
      </c>
      <c r="L107" s="22">
        <f t="shared" si="23"/>
        <v>0.20732835560623103</v>
      </c>
      <c r="M107" s="22">
        <f t="shared" si="23"/>
        <v>0.20853137086969875</v>
      </c>
      <c r="N107" s="22">
        <f t="shared" si="23"/>
        <v>0.20795637847695567</v>
      </c>
      <c r="O107" s="22">
        <f t="shared" si="23"/>
        <v>0.20628301821112838</v>
      </c>
      <c r="P107" s="22">
        <f t="shared" si="23"/>
        <v>0.20354939622414608</v>
      </c>
      <c r="Q107" s="22">
        <f t="shared" si="23"/>
        <v>0.20178646732442315</v>
      </c>
      <c r="R107" s="22">
        <f t="shared" si="23"/>
        <v>0.20021853233884618</v>
      </c>
      <c r="S107" s="22">
        <f t="shared" si="23"/>
        <v>0.182530302660765</v>
      </c>
      <c r="T107" s="22">
        <f t="shared" si="23"/>
        <v>0.18648987714377463</v>
      </c>
      <c r="U107" s="22">
        <f t="shared" si="23"/>
        <v>0.18910094694966831</v>
      </c>
      <c r="V107" s="22">
        <f t="shared" si="23"/>
        <v>0.19137660443001928</v>
      </c>
      <c r="W107" s="22">
        <f t="shared" si="23"/>
        <v>0.19424913553411605</v>
      </c>
      <c r="X107" s="22">
        <f t="shared" si="23"/>
        <v>0.19681866661571523</v>
      </c>
      <c r="Y107" s="22">
        <f t="shared" si="23"/>
        <v>0.198887773981097</v>
      </c>
      <c r="Z107" s="22">
        <f t="shared" si="23"/>
        <v>0.20077347633776868</v>
      </c>
      <c r="AA107" s="22">
        <f t="shared" si="23"/>
        <v>0.20239928167285137</v>
      </c>
      <c r="AB107" s="22">
        <f t="shared" si="23"/>
        <v>0.20498371434502882</v>
      </c>
      <c r="AC107" s="22">
        <f t="shared" si="23"/>
        <v>0.20746608089631127</v>
      </c>
      <c r="AD107" s="22">
        <f t="shared" si="23"/>
        <v>0.20958576032870826</v>
      </c>
      <c r="AE107" s="22">
        <f t="shared" si="23"/>
        <v>0.2125868864780032</v>
      </c>
      <c r="AF107" s="22">
        <f t="shared" si="23"/>
        <v>0.21597094750707838</v>
      </c>
      <c r="AG107" s="22">
        <f t="shared" si="23"/>
        <v>0.22026882906379694</v>
      </c>
      <c r="AH107" s="22">
        <f t="shared" si="23"/>
        <v>0.22301109036461528</v>
      </c>
      <c r="AI107" s="22">
        <f t="shared" si="23"/>
        <v>0.2254871975923895</v>
      </c>
      <c r="AJ107" s="22">
        <f t="shared" si="23"/>
        <v>0.22839683791849513</v>
      </c>
      <c r="AK107" s="22">
        <f t="shared" si="23"/>
        <v>0.23105301030632744</v>
      </c>
      <c r="AL107" s="22">
        <f t="shared" si="23"/>
        <v>0.23391741682705808</v>
      </c>
      <c r="AM107" s="22">
        <f t="shared" si="23"/>
        <v>0.23675201366324419</v>
      </c>
      <c r="AN107" s="22">
        <f t="shared" si="23"/>
        <v>0.24068683453385165</v>
      </c>
      <c r="AO107" s="22">
        <f t="shared" si="23"/>
        <v>0.24431807258428889</v>
      </c>
      <c r="AP107" s="22">
        <f t="shared" si="23"/>
        <v>0.247990087587761</v>
      </c>
      <c r="AQ107" s="22">
        <f t="shared" si="23"/>
        <v>0.25178910033750079</v>
      </c>
      <c r="AR107" s="22">
        <f t="shared" si="23"/>
        <v>0.25574542310185078</v>
      </c>
      <c r="AS107" s="22">
        <f t="shared" si="23"/>
        <v>0.26048600400632033</v>
      </c>
      <c r="AT107" s="22">
        <f t="shared" si="23"/>
        <v>0.2629760462317593</v>
      </c>
      <c r="AU107" s="22">
        <f t="shared" si="23"/>
        <v>0.26529006833740182</v>
      </c>
      <c r="AV107" s="22">
        <f t="shared" si="23"/>
        <v>0.26766308982794251</v>
      </c>
      <c r="AW107" s="22">
        <f t="shared" si="23"/>
        <v>0.26999671566798311</v>
      </c>
      <c r="AY107" s="79"/>
    </row>
    <row r="108" spans="1:51" x14ac:dyDescent="0.2">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2">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0.10241934435921343</v>
      </c>
      <c r="U109" s="22">
        <f t="shared" si="24"/>
        <v>0.10289653491421205</v>
      </c>
      <c r="V109" s="22">
        <f t="shared" si="24"/>
        <v>0.10327004584650011</v>
      </c>
      <c r="W109" s="22">
        <f t="shared" si="24"/>
        <v>0.10361580205805489</v>
      </c>
      <c r="X109" s="22">
        <f t="shared" si="24"/>
        <v>0.10400228370418145</v>
      </c>
      <c r="Y109" s="22">
        <f t="shared" si="24"/>
        <v>0.10436365961419813</v>
      </c>
      <c r="Z109" s="22">
        <f t="shared" si="24"/>
        <v>0.10468547747303018</v>
      </c>
      <c r="AA109" s="22">
        <f t="shared" si="24"/>
        <v>0.10499170031407964</v>
      </c>
      <c r="AB109" s="22">
        <f t="shared" si="24"/>
        <v>0.10527701862309623</v>
      </c>
      <c r="AC109" s="22">
        <f t="shared" si="24"/>
        <v>0.1056291315333171</v>
      </c>
      <c r="AD109" s="22">
        <f t="shared" si="24"/>
        <v>0.10597154194356044</v>
      </c>
      <c r="AE109" s="22">
        <f t="shared" si="24"/>
        <v>0.10633685217660206</v>
      </c>
      <c r="AF109" s="22">
        <f t="shared" si="24"/>
        <v>0.10676379979132655</v>
      </c>
      <c r="AG109" s="22">
        <f t="shared" si="24"/>
        <v>0.10721638113028523</v>
      </c>
      <c r="AH109" s="22">
        <f t="shared" si="24"/>
        <v>0.10773098998066055</v>
      </c>
      <c r="AI109" s="22">
        <f t="shared" si="24"/>
        <v>0.10813560058948724</v>
      </c>
      <c r="AJ109" s="22">
        <f t="shared" si="24"/>
        <v>0.10852058648676627</v>
      </c>
      <c r="AK109" s="22">
        <f t="shared" si="24"/>
        <v>0.10893451048846137</v>
      </c>
      <c r="AL109" s="22">
        <f t="shared" si="24"/>
        <v>0.10933011198993048</v>
      </c>
      <c r="AM109" s="22">
        <f t="shared" si="24"/>
        <v>0.10973899199424218</v>
      </c>
      <c r="AN109" s="22">
        <f t="shared" si="24"/>
        <v>0.11014489253259981</v>
      </c>
      <c r="AO109" s="22">
        <f t="shared" si="24"/>
        <v>0.11059361857310758</v>
      </c>
      <c r="AP109" s="22">
        <f t="shared" si="24"/>
        <v>0.11101952942636521</v>
      </c>
      <c r="AQ109" s="22">
        <f t="shared" si="24"/>
        <v>0.11144578921038648</v>
      </c>
      <c r="AR109" s="22">
        <f t="shared" si="24"/>
        <v>0.11187796178126933</v>
      </c>
      <c r="AS109" s="22">
        <f t="shared" si="24"/>
        <v>0.11231780083764567</v>
      </c>
      <c r="AT109" s="22">
        <f t="shared" si="24"/>
        <v>0.1128047900413833</v>
      </c>
      <c r="AU109" s="22">
        <f t="shared" si="24"/>
        <v>0.11314633150587833</v>
      </c>
      <c r="AV109" s="22">
        <f t="shared" si="24"/>
        <v>0.11347564269792666</v>
      </c>
      <c r="AW109" s="22">
        <f t="shared" si="24"/>
        <v>0.1138076234124414</v>
      </c>
      <c r="AY109" s="79"/>
    </row>
    <row r="110" spans="1:51" x14ac:dyDescent="0.2">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2">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2">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2">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2">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2">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2">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2">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2">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2">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2">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2">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2">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0.39831175345583053</v>
      </c>
      <c r="M122" s="22">
        <f t="shared" si="27"/>
        <v>0.40145358914715529</v>
      </c>
      <c r="N122" s="22">
        <f t="shared" si="27"/>
        <v>0.40347255325329029</v>
      </c>
      <c r="O122" s="22">
        <f t="shared" si="27"/>
        <v>0.40481416413578281</v>
      </c>
      <c r="P122" s="22">
        <f t="shared" si="27"/>
        <v>0.40546521734783814</v>
      </c>
      <c r="Q122" s="22">
        <f t="shared" si="27"/>
        <v>0.40690363619044922</v>
      </c>
      <c r="R122" s="22">
        <f t="shared" si="27"/>
        <v>0.40855374420631185</v>
      </c>
      <c r="S122" s="22">
        <f t="shared" si="27"/>
        <v>0.39736949652274572</v>
      </c>
      <c r="T122" s="22">
        <f t="shared" si="27"/>
        <v>0.40193613647411602</v>
      </c>
      <c r="U122" s="22">
        <f t="shared" si="27"/>
        <v>0.40551458062818502</v>
      </c>
      <c r="V122" s="22">
        <f t="shared" si="27"/>
        <v>0.40890476326282849</v>
      </c>
      <c r="W122" s="22">
        <f t="shared" si="27"/>
        <v>0.41286821795762335</v>
      </c>
      <c r="X122" s="22">
        <f t="shared" si="27"/>
        <v>0.4166639118790918</v>
      </c>
      <c r="Y122" s="22">
        <f t="shared" si="27"/>
        <v>0.4198473343142145</v>
      </c>
      <c r="Z122" s="22">
        <f t="shared" si="27"/>
        <v>0.42294233840413964</v>
      </c>
      <c r="AA122" s="22">
        <f t="shared" si="27"/>
        <v>0.42587799118724151</v>
      </c>
      <c r="AB122" s="22">
        <f t="shared" si="27"/>
        <v>0.42969675362549747</v>
      </c>
      <c r="AC122" s="22">
        <f t="shared" si="27"/>
        <v>0.43349587939767537</v>
      </c>
      <c r="AD122" s="22">
        <f t="shared" si="27"/>
        <v>0.43745946625570531</v>
      </c>
      <c r="AE122" s="22">
        <f t="shared" si="27"/>
        <v>0.44229495321809359</v>
      </c>
      <c r="AF122" s="22">
        <f t="shared" si="27"/>
        <v>0.44758124575636155</v>
      </c>
      <c r="AG122" s="22">
        <f t="shared" si="27"/>
        <v>0.45381269752253439</v>
      </c>
      <c r="AH122" s="22">
        <f t="shared" si="27"/>
        <v>0.45874802300299961</v>
      </c>
      <c r="AI122" s="22">
        <f t="shared" si="27"/>
        <v>0.46333288688967006</v>
      </c>
      <c r="AJ122" s="22">
        <f t="shared" si="27"/>
        <v>0.46842040791737738</v>
      </c>
      <c r="AK122" s="22">
        <f t="shared" si="27"/>
        <v>0.47337132456140918</v>
      </c>
      <c r="AL122" s="22">
        <f t="shared" si="27"/>
        <v>0.47862201153126527</v>
      </c>
      <c r="AM122" s="22">
        <f t="shared" si="27"/>
        <v>0.48394817784516875</v>
      </c>
      <c r="AN122" s="22">
        <f t="shared" si="27"/>
        <v>0.48983437623076936</v>
      </c>
      <c r="AO122" s="22">
        <f t="shared" si="27"/>
        <v>0.49551952889490208</v>
      </c>
      <c r="AP122" s="22">
        <f t="shared" si="27"/>
        <v>0.50133983118096659</v>
      </c>
      <c r="AQ122" s="22">
        <f t="shared" si="27"/>
        <v>0.50738353443884876</v>
      </c>
      <c r="AR122" s="22">
        <f t="shared" si="27"/>
        <v>0.51368519045610384</v>
      </c>
      <c r="AS122" s="22">
        <f t="shared" si="27"/>
        <v>0.52070203752488053</v>
      </c>
      <c r="AT122" s="22">
        <f t="shared" si="27"/>
        <v>0.52550112442398844</v>
      </c>
      <c r="AU122" s="22">
        <f t="shared" si="27"/>
        <v>0.53018983852857582</v>
      </c>
      <c r="AV122" s="22">
        <f t="shared" si="27"/>
        <v>0.53501141383334805</v>
      </c>
      <c r="AW122" s="22">
        <f t="shared" si="27"/>
        <v>0.53986293449927925</v>
      </c>
      <c r="AY122" s="79"/>
    </row>
    <row r="123" spans="1:51" x14ac:dyDescent="0.2">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3.1424516095088999E-2</v>
      </c>
      <c r="M123" s="22">
        <f t="shared" si="27"/>
        <v>3.1672388936885787E-2</v>
      </c>
      <c r="N123" s="22">
        <f t="shared" si="27"/>
        <v>3.1831673641638247E-2</v>
      </c>
      <c r="O123" s="22">
        <f t="shared" si="27"/>
        <v>3.1937519056453263E-2</v>
      </c>
      <c r="P123" s="22">
        <f t="shared" si="27"/>
        <v>3.198888342610464E-2</v>
      </c>
      <c r="Q123" s="22">
        <f t="shared" si="27"/>
        <v>3.2102366434524382E-2</v>
      </c>
      <c r="R123" s="22">
        <f t="shared" si="27"/>
        <v>3.2232550506305392E-2</v>
      </c>
      <c r="S123" s="22">
        <f t="shared" si="27"/>
        <v>3.1350177419660695E-2</v>
      </c>
      <c r="T123" s="22">
        <f t="shared" si="27"/>
        <v>3.1710459157287665E-2</v>
      </c>
      <c r="U123" s="22">
        <f t="shared" si="27"/>
        <v>3.19927779062055E-2</v>
      </c>
      <c r="V123" s="22">
        <f t="shared" si="27"/>
        <v>3.2260243899471644E-2</v>
      </c>
      <c r="W123" s="22">
        <f t="shared" si="27"/>
        <v>3.2572937774980257E-2</v>
      </c>
      <c r="X123" s="22">
        <f t="shared" si="27"/>
        <v>3.2872396286290406E-2</v>
      </c>
      <c r="Y123" s="22">
        <f t="shared" si="27"/>
        <v>3.3123550083992911E-2</v>
      </c>
      <c r="Z123" s="22">
        <f t="shared" si="27"/>
        <v>3.336772818065812E-2</v>
      </c>
      <c r="AA123" s="22">
        <f t="shared" si="27"/>
        <v>3.3599334371868343E-2</v>
      </c>
      <c r="AB123" s="22">
        <f t="shared" si="27"/>
        <v>3.3900612857032622E-2</v>
      </c>
      <c r="AC123" s="22">
        <f t="shared" si="27"/>
        <v>3.4200342121708499E-2</v>
      </c>
      <c r="AD123" s="22">
        <f t="shared" si="27"/>
        <v>3.4513046424139431E-2</v>
      </c>
      <c r="AE123" s="22">
        <f t="shared" si="27"/>
        <v>3.4894538651167102E-2</v>
      </c>
      <c r="AF123" s="22">
        <f t="shared" si="27"/>
        <v>3.5311596856231003E-2</v>
      </c>
      <c r="AG123" s="22">
        <f t="shared" si="27"/>
        <v>3.5803222711162215E-2</v>
      </c>
      <c r="AH123" s="22">
        <f t="shared" si="27"/>
        <v>3.6192591625460596E-2</v>
      </c>
      <c r="AI123" s="22">
        <f t="shared" si="27"/>
        <v>3.6554311127208743E-2</v>
      </c>
      <c r="AJ123" s="22">
        <f t="shared" si="27"/>
        <v>3.6955687398514313E-2</v>
      </c>
      <c r="AK123" s="22">
        <f t="shared" si="27"/>
        <v>3.7346286366322763E-2</v>
      </c>
      <c r="AL123" s="22">
        <f t="shared" si="27"/>
        <v>3.7760535495962914E-2</v>
      </c>
      <c r="AM123" s="22">
        <f t="shared" si="27"/>
        <v>3.8180739513555217E-2</v>
      </c>
      <c r="AN123" s="22">
        <f t="shared" si="27"/>
        <v>3.8645126854130414E-2</v>
      </c>
      <c r="AO123" s="22">
        <f t="shared" si="27"/>
        <v>3.9093652838731792E-2</v>
      </c>
      <c r="AP123" s="22">
        <f t="shared" si="27"/>
        <v>3.9552841354460577E-2</v>
      </c>
      <c r="AQ123" s="22">
        <f t="shared" si="27"/>
        <v>4.0029654927380476E-2</v>
      </c>
      <c r="AR123" s="22">
        <f t="shared" si="27"/>
        <v>4.0526819495640978E-2</v>
      </c>
      <c r="AS123" s="22">
        <f t="shared" si="27"/>
        <v>4.1080408541749817E-2</v>
      </c>
      <c r="AT123" s="22">
        <f t="shared" si="27"/>
        <v>4.145902901225889E-2</v>
      </c>
      <c r="AU123" s="22">
        <f t="shared" si="27"/>
        <v>4.1828941701418883E-2</v>
      </c>
      <c r="AV123" s="22">
        <f t="shared" si="27"/>
        <v>4.2209336378336959E-2</v>
      </c>
      <c r="AW123" s="22">
        <f t="shared" si="27"/>
        <v>4.2592093572744245E-2</v>
      </c>
      <c r="AY123" s="79"/>
    </row>
    <row r="124" spans="1:51" x14ac:dyDescent="0.2">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2.9129279224209421E-4</v>
      </c>
      <c r="M124" s="22">
        <f t="shared" si="27"/>
        <v>2.9359047510821973E-4</v>
      </c>
      <c r="N124" s="22">
        <f t="shared" si="27"/>
        <v>2.9506698110336069E-4</v>
      </c>
      <c r="O124" s="22">
        <f t="shared" si="27"/>
        <v>2.960481260901027E-4</v>
      </c>
      <c r="P124" s="22">
        <f t="shared" si="27"/>
        <v>2.9652425341095714E-4</v>
      </c>
      <c r="Q124" s="22">
        <f t="shared" si="27"/>
        <v>2.9757619585915883E-4</v>
      </c>
      <c r="R124" s="22">
        <f t="shared" si="27"/>
        <v>2.9878295053629647E-4</v>
      </c>
      <c r="S124" s="22">
        <f t="shared" si="27"/>
        <v>2.906037022248744E-4</v>
      </c>
      <c r="T124" s="22">
        <f t="shared" si="27"/>
        <v>2.9394337094179688E-4</v>
      </c>
      <c r="U124" s="22">
        <f t="shared" si="27"/>
        <v>2.9656035369582628E-4</v>
      </c>
      <c r="V124" s="22">
        <f t="shared" si="27"/>
        <v>2.9903965729981968E-4</v>
      </c>
      <c r="W124" s="22">
        <f t="shared" si="27"/>
        <v>3.0193820542187468E-4</v>
      </c>
      <c r="X124" s="22">
        <f t="shared" si="27"/>
        <v>3.0471406697074431E-4</v>
      </c>
      <c r="Y124" s="22">
        <f t="shared" si="27"/>
        <v>3.0704216299594947E-4</v>
      </c>
      <c r="Z124" s="22">
        <f t="shared" si="27"/>
        <v>3.093055970410988E-4</v>
      </c>
      <c r="AA124" s="22">
        <f t="shared" si="27"/>
        <v>3.1145249451229731E-4</v>
      </c>
      <c r="AB124" s="22">
        <f t="shared" si="27"/>
        <v>3.1424522649647207E-4</v>
      </c>
      <c r="AC124" s="22">
        <f t="shared" si="27"/>
        <v>3.1702359782158373E-4</v>
      </c>
      <c r="AD124" s="22">
        <f t="shared" si="27"/>
        <v>3.1992224259707024E-4</v>
      </c>
      <c r="AE124" s="22">
        <f t="shared" si="27"/>
        <v>3.2345852413258482E-4</v>
      </c>
      <c r="AF124" s="22">
        <f t="shared" si="27"/>
        <v>3.2732448816884659E-4</v>
      </c>
      <c r="AG124" s="22">
        <f t="shared" si="27"/>
        <v>3.3188166472450077E-4</v>
      </c>
      <c r="AH124" s="22">
        <f t="shared" si="27"/>
        <v>3.3549096002486584E-4</v>
      </c>
      <c r="AI124" s="22">
        <f t="shared" si="27"/>
        <v>3.3884395624456256E-4</v>
      </c>
      <c r="AJ124" s="22">
        <f t="shared" si="27"/>
        <v>3.4256455497882901E-4</v>
      </c>
      <c r="AK124" s="22">
        <f t="shared" si="27"/>
        <v>3.4618525238704095E-4</v>
      </c>
      <c r="AL124" s="22">
        <f t="shared" si="27"/>
        <v>3.5002517740900785E-4</v>
      </c>
      <c r="AM124" s="22">
        <f t="shared" si="27"/>
        <v>3.539203018788781E-4</v>
      </c>
      <c r="AN124" s="22">
        <f t="shared" si="27"/>
        <v>3.5822498821704474E-4</v>
      </c>
      <c r="AO124" s="22">
        <f t="shared" si="27"/>
        <v>3.6238264608048877E-4</v>
      </c>
      <c r="AP124" s="22">
        <f t="shared" si="27"/>
        <v>3.6663914137567152E-4</v>
      </c>
      <c r="AQ124" s="22">
        <f t="shared" si="27"/>
        <v>3.7105901395587245E-4</v>
      </c>
      <c r="AR124" s="22">
        <f t="shared" si="27"/>
        <v>3.756675321858498E-4</v>
      </c>
      <c r="AS124" s="22">
        <f t="shared" si="27"/>
        <v>3.8079908293137994E-4</v>
      </c>
      <c r="AT124" s="22">
        <f t="shared" si="27"/>
        <v>3.8430874442372815E-4</v>
      </c>
      <c r="AU124" s="22">
        <f t="shared" si="27"/>
        <v>3.877376882389691E-4</v>
      </c>
      <c r="AV124" s="22">
        <f t="shared" si="27"/>
        <v>3.9126379592057032E-4</v>
      </c>
      <c r="AW124" s="22">
        <f t="shared" si="27"/>
        <v>3.9481180320164583E-4</v>
      </c>
      <c r="AY124" s="79"/>
    </row>
    <row r="125" spans="1:51" x14ac:dyDescent="0.2">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3.2323215352203891E-3</v>
      </c>
      <c r="L125" s="22">
        <f t="shared" si="27"/>
        <v>3.2042886428129457E-3</v>
      </c>
      <c r="M125" s="22">
        <f t="shared" si="27"/>
        <v>3.193617369300608E-3</v>
      </c>
      <c r="N125" s="22">
        <f t="shared" si="27"/>
        <v>3.150970789688672E-3</v>
      </c>
      <c r="O125" s="22">
        <f t="shared" si="27"/>
        <v>3.0890682378804132E-3</v>
      </c>
      <c r="P125" s="22">
        <f t="shared" si="27"/>
        <v>3.0091897617382942E-3</v>
      </c>
      <c r="Q125" s="22">
        <f t="shared" si="27"/>
        <v>2.9461872714039495E-3</v>
      </c>
      <c r="R125" s="22">
        <f t="shared" si="27"/>
        <v>2.8865797531671877E-3</v>
      </c>
      <c r="S125" s="22">
        <f t="shared" si="27"/>
        <v>2.561902690551985E-3</v>
      </c>
      <c r="T125" s="22">
        <f t="shared" si="27"/>
        <v>2.6109067650953812E-3</v>
      </c>
      <c r="U125" s="22">
        <f t="shared" si="27"/>
        <v>2.6371073705861066E-3</v>
      </c>
      <c r="V125" s="22">
        <f t="shared" si="27"/>
        <v>2.6572763543899086E-3</v>
      </c>
      <c r="W125" s="22">
        <f t="shared" si="27"/>
        <v>2.6864577406949136E-3</v>
      </c>
      <c r="X125" s="22">
        <f t="shared" si="27"/>
        <v>2.7101399939897432E-3</v>
      </c>
      <c r="Y125" s="22">
        <f t="shared" si="27"/>
        <v>2.7254068910752506E-3</v>
      </c>
      <c r="Z125" s="22">
        <f t="shared" si="27"/>
        <v>2.7372910281189241E-3</v>
      </c>
      <c r="AA125" s="22">
        <f t="shared" si="27"/>
        <v>2.7446565965779596E-3</v>
      </c>
      <c r="AB125" s="22">
        <f t="shared" si="27"/>
        <v>2.766461574169799E-3</v>
      </c>
      <c r="AC125" s="22">
        <f t="shared" si="27"/>
        <v>2.7860807889478114E-3</v>
      </c>
      <c r="AD125" s="22">
        <f t="shared" si="27"/>
        <v>2.7870926745375917E-3</v>
      </c>
      <c r="AE125" s="22">
        <f t="shared" si="27"/>
        <v>2.8002357420559331E-3</v>
      </c>
      <c r="AF125" s="22">
        <f t="shared" si="27"/>
        <v>2.8176157227712195E-3</v>
      </c>
      <c r="AG125" s="22">
        <f t="shared" si="27"/>
        <v>2.8467949657152583E-3</v>
      </c>
      <c r="AH125" s="22">
        <f t="shared" si="27"/>
        <v>2.8514553566539535E-3</v>
      </c>
      <c r="AI125" s="22">
        <f t="shared" si="27"/>
        <v>2.8509661505713695E-3</v>
      </c>
      <c r="AJ125" s="22">
        <f t="shared" si="27"/>
        <v>2.8552472952040066E-3</v>
      </c>
      <c r="AK125" s="22">
        <f t="shared" si="27"/>
        <v>2.8544571157094324E-3</v>
      </c>
      <c r="AL125" s="22">
        <f t="shared" si="27"/>
        <v>2.8550616993206577E-3</v>
      </c>
      <c r="AM125" s="22">
        <f t="shared" si="27"/>
        <v>2.8536896120201398E-3</v>
      </c>
      <c r="AN125" s="22">
        <f t="shared" si="27"/>
        <v>2.8741715259670993E-3</v>
      </c>
      <c r="AO125" s="22">
        <f t="shared" si="27"/>
        <v>2.8891552087920934E-3</v>
      </c>
      <c r="AP125" s="22">
        <f t="shared" si="27"/>
        <v>2.9032743711579932E-3</v>
      </c>
      <c r="AQ125" s="22">
        <f t="shared" si="27"/>
        <v>2.9176093020266492E-3</v>
      </c>
      <c r="AR125" s="22">
        <f t="shared" si="27"/>
        <v>2.9324708677435766E-3</v>
      </c>
      <c r="AS125" s="22">
        <f t="shared" si="27"/>
        <v>2.955760646257155E-3</v>
      </c>
      <c r="AT125" s="22">
        <f t="shared" si="27"/>
        <v>2.949200862307677E-3</v>
      </c>
      <c r="AU125" s="22">
        <f t="shared" si="27"/>
        <v>2.9393657295562411E-3</v>
      </c>
      <c r="AV125" s="22">
        <f t="shared" si="27"/>
        <v>2.9291791996267137E-3</v>
      </c>
      <c r="AW125" s="22">
        <f t="shared" si="27"/>
        <v>2.9174224191291709E-3</v>
      </c>
      <c r="AY125" s="79"/>
    </row>
    <row r="126" spans="1:51" x14ac:dyDescent="0.2">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1.6090517274103575E-2</v>
      </c>
      <c r="L126" s="22">
        <f t="shared" si="27"/>
        <v>1.5950969356419611E-2</v>
      </c>
      <c r="M126" s="22">
        <f t="shared" si="27"/>
        <v>1.5897847688628834E-2</v>
      </c>
      <c r="N126" s="22">
        <f t="shared" si="27"/>
        <v>1.5685552742581484E-2</v>
      </c>
      <c r="O126" s="22">
        <f t="shared" si="27"/>
        <v>1.5377401443792467E-2</v>
      </c>
      <c r="P126" s="22">
        <f t="shared" si="27"/>
        <v>1.4979765878707444E-2</v>
      </c>
      <c r="Q126" s="22">
        <f t="shared" si="27"/>
        <v>1.4666139078901097E-2</v>
      </c>
      <c r="R126" s="22">
        <f t="shared" si="27"/>
        <v>1.4369412471908495E-2</v>
      </c>
      <c r="S126" s="22">
        <f t="shared" si="27"/>
        <v>1.2753167977791692E-2</v>
      </c>
      <c r="T126" s="22">
        <f t="shared" si="27"/>
        <v>1.2997110574266151E-2</v>
      </c>
      <c r="U126" s="22">
        <f t="shared" si="27"/>
        <v>1.312753735596061E-2</v>
      </c>
      <c r="V126" s="22">
        <f t="shared" si="27"/>
        <v>1.3227938686323331E-2</v>
      </c>
      <c r="W126" s="22">
        <f t="shared" si="27"/>
        <v>1.337320381397436E-2</v>
      </c>
      <c r="X126" s="22">
        <f t="shared" si="27"/>
        <v>1.349109422233195E-2</v>
      </c>
      <c r="Y126" s="22">
        <f t="shared" si="27"/>
        <v>1.3567092933660515E-2</v>
      </c>
      <c r="Z126" s="22">
        <f t="shared" si="27"/>
        <v>1.3626252243866949E-2</v>
      </c>
      <c r="AA126" s="22">
        <f t="shared" si="27"/>
        <v>1.3662918090761304E-2</v>
      </c>
      <c r="AB126" s="22">
        <f t="shared" si="27"/>
        <v>1.3771463408663595E-2</v>
      </c>
      <c r="AC126" s="22">
        <f t="shared" si="27"/>
        <v>1.3869127985299977E-2</v>
      </c>
      <c r="AD126" s="22">
        <f t="shared" si="27"/>
        <v>1.3874165158237254E-2</v>
      </c>
      <c r="AE126" s="22">
        <f t="shared" si="27"/>
        <v>1.3939591432397862E-2</v>
      </c>
      <c r="AF126" s="22">
        <f t="shared" si="27"/>
        <v>1.4026109087549346E-2</v>
      </c>
      <c r="AG126" s="22">
        <f t="shared" si="27"/>
        <v>1.4171363545535784E-2</v>
      </c>
      <c r="AH126" s="22">
        <f t="shared" si="27"/>
        <v>1.4194563001433364E-2</v>
      </c>
      <c r="AI126" s="22">
        <f t="shared" si="27"/>
        <v>1.4192127730425623E-2</v>
      </c>
      <c r="AJ126" s="22">
        <f t="shared" si="27"/>
        <v>1.4213439295786241E-2</v>
      </c>
      <c r="AK126" s="22">
        <f t="shared" si="27"/>
        <v>1.4209505777208791E-2</v>
      </c>
      <c r="AL126" s="22">
        <f t="shared" si="27"/>
        <v>1.4212515398291981E-2</v>
      </c>
      <c r="AM126" s="22">
        <f t="shared" si="27"/>
        <v>1.4205685138935052E-2</v>
      </c>
      <c r="AN126" s="22">
        <f t="shared" si="27"/>
        <v>1.4307644237551697E-2</v>
      </c>
      <c r="AO126" s="22">
        <f t="shared" si="27"/>
        <v>1.4382233106480177E-2</v>
      </c>
      <c r="AP126" s="22">
        <f t="shared" si="27"/>
        <v>1.4452518387034392E-2</v>
      </c>
      <c r="AQ126" s="22">
        <f t="shared" si="27"/>
        <v>1.4523877764575229E-2</v>
      </c>
      <c r="AR126" s="22">
        <f t="shared" si="27"/>
        <v>1.4597858733758781E-2</v>
      </c>
      <c r="AS126" s="22">
        <f t="shared" si="27"/>
        <v>1.4713795400145288E-2</v>
      </c>
      <c r="AT126" s="22">
        <f t="shared" si="27"/>
        <v>1.4681140753692774E-2</v>
      </c>
      <c r="AU126" s="22">
        <f t="shared" si="27"/>
        <v>1.4632181399957167E-2</v>
      </c>
      <c r="AV126" s="22">
        <f t="shared" si="27"/>
        <v>1.4581472788821714E-2</v>
      </c>
      <c r="AW126" s="22">
        <f t="shared" si="27"/>
        <v>1.4522947460316408E-2</v>
      </c>
      <c r="AY126" s="79"/>
    </row>
    <row r="127" spans="1:51" x14ac:dyDescent="0.2">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0.15836052531214873</v>
      </c>
      <c r="L127" s="22">
        <f t="shared" si="27"/>
        <v>0.16370016056893644</v>
      </c>
      <c r="M127" s="22">
        <f t="shared" si="27"/>
        <v>0.17003774892948584</v>
      </c>
      <c r="N127" s="22">
        <f t="shared" si="27"/>
        <v>0.17476418316081974</v>
      </c>
      <c r="O127" s="22">
        <f t="shared" si="27"/>
        <v>0.17840915017095665</v>
      </c>
      <c r="P127" s="22">
        <f t="shared" si="27"/>
        <v>0.18092055691117107</v>
      </c>
      <c r="Q127" s="22">
        <f t="shared" si="27"/>
        <v>0.18434967364231716</v>
      </c>
      <c r="R127" s="22">
        <f t="shared" si="27"/>
        <v>0.18794438918293385</v>
      </c>
      <c r="S127" s="22">
        <f t="shared" si="27"/>
        <v>0.17354626936315642</v>
      </c>
      <c r="T127" s="22">
        <f t="shared" si="27"/>
        <v>0.18112703744691877</v>
      </c>
      <c r="U127" s="22">
        <f t="shared" si="27"/>
        <v>0.18729176246517146</v>
      </c>
      <c r="V127" s="22">
        <f t="shared" si="27"/>
        <v>0.19315163846975197</v>
      </c>
      <c r="W127" s="22">
        <f t="shared" si="27"/>
        <v>0.1997999174777515</v>
      </c>
      <c r="X127" s="22">
        <f t="shared" si="27"/>
        <v>0.20618321754826516</v>
      </c>
      <c r="Y127" s="22">
        <f t="shared" si="27"/>
        <v>0.21205125968323466</v>
      </c>
      <c r="Z127" s="22">
        <f t="shared" si="27"/>
        <v>0.21776504311044109</v>
      </c>
      <c r="AA127" s="22">
        <f t="shared" si="27"/>
        <v>0.22321845446592189</v>
      </c>
      <c r="AB127" s="22">
        <f t="shared" si="27"/>
        <v>0.22996706841629874</v>
      </c>
      <c r="AC127" s="22">
        <f t="shared" si="27"/>
        <v>0.23668130693108949</v>
      </c>
      <c r="AD127" s="22">
        <f t="shared" si="27"/>
        <v>0.24461911204797512</v>
      </c>
      <c r="AE127" s="22">
        <f t="shared" si="27"/>
        <v>0.25393877237777696</v>
      </c>
      <c r="AF127" s="22">
        <f t="shared" si="27"/>
        <v>0.26402636464996099</v>
      </c>
      <c r="AG127" s="22">
        <f t="shared" si="27"/>
        <v>0.27567496604841074</v>
      </c>
      <c r="AH127" s="22">
        <f t="shared" si="27"/>
        <v>0.28538857228327053</v>
      </c>
      <c r="AI127" s="22">
        <f t="shared" si="27"/>
        <v>0.29495307266242238</v>
      </c>
      <c r="AJ127" s="22">
        <f t="shared" si="27"/>
        <v>0.3053980286161922</v>
      </c>
      <c r="AK127" s="22">
        <f t="shared" si="27"/>
        <v>0.3157092357133186</v>
      </c>
      <c r="AL127" s="22">
        <f t="shared" si="27"/>
        <v>0.32659469477462816</v>
      </c>
      <c r="AM127" s="22">
        <f t="shared" si="27"/>
        <v>0.33769759276940581</v>
      </c>
      <c r="AN127" s="22">
        <f t="shared" si="27"/>
        <v>0.34971796912079089</v>
      </c>
      <c r="AO127" s="22">
        <f t="shared" si="27"/>
        <v>0.36149422928557057</v>
      </c>
      <c r="AP127" s="22">
        <f t="shared" si="27"/>
        <v>0.3735858155993782</v>
      </c>
      <c r="AQ127" s="22">
        <f t="shared" si="27"/>
        <v>0.38614747590772142</v>
      </c>
      <c r="AR127" s="22">
        <f t="shared" si="27"/>
        <v>0.3992463303443215</v>
      </c>
      <c r="AS127" s="22">
        <f t="shared" si="27"/>
        <v>0.41401924594323458</v>
      </c>
      <c r="AT127" s="22">
        <f t="shared" si="27"/>
        <v>0.42507748495703629</v>
      </c>
      <c r="AU127" s="22">
        <f t="shared" si="27"/>
        <v>0.43601753921735037</v>
      </c>
      <c r="AV127" s="22">
        <f t="shared" si="27"/>
        <v>0.44726275396189152</v>
      </c>
      <c r="AW127" s="22">
        <f t="shared" si="27"/>
        <v>0.45863622701416706</v>
      </c>
      <c r="AY127" s="79"/>
    </row>
    <row r="128" spans="1:51" x14ac:dyDescent="0.2">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1.195503235691774E-4</v>
      </c>
      <c r="T128" s="22">
        <f t="shared" si="27"/>
        <v>1.1973238900774034E-4</v>
      </c>
      <c r="U128" s="22">
        <f t="shared" si="27"/>
        <v>1.1993816652481025E-4</v>
      </c>
      <c r="V128" s="22">
        <f t="shared" si="27"/>
        <v>1.2017030175701969E-4</v>
      </c>
      <c r="W128" s="22">
        <f t="shared" si="27"/>
        <v>1.2043143682964787E-4</v>
      </c>
      <c r="X128" s="22">
        <f t="shared" si="27"/>
        <v>1.2071612652319093E-4</v>
      </c>
      <c r="Y128" s="22">
        <f t="shared" si="27"/>
        <v>1.2088927246048491E-4</v>
      </c>
      <c r="Z128" s="22">
        <f t="shared" si="27"/>
        <v>1.2108266651499932E-4</v>
      </c>
      <c r="AA128" s="22">
        <f t="shared" si="27"/>
        <v>1.2129489002398719E-4</v>
      </c>
      <c r="AB128" s="22">
        <f t="shared" si="27"/>
        <v>1.2153074787723059E-4</v>
      </c>
      <c r="AC128" s="22">
        <f t="shared" si="27"/>
        <v>1.2178444503760319E-4</v>
      </c>
      <c r="AD128" s="22">
        <f t="shared" si="27"/>
        <v>1.2195021859922819E-4</v>
      </c>
      <c r="AE128" s="22">
        <f t="shared" si="27"/>
        <v>1.2213630016303642E-4</v>
      </c>
      <c r="AF128" s="22">
        <f t="shared" si="27"/>
        <v>1.2233971704233787E-4</v>
      </c>
      <c r="AG128" s="22">
        <f t="shared" si="27"/>
        <v>1.2256258176640642E-4</v>
      </c>
      <c r="AH128" s="22">
        <f t="shared" si="27"/>
        <v>1.2279204268449652E-4</v>
      </c>
      <c r="AI128" s="22">
        <f t="shared" ref="L128:AW135" si="28">AI1537</f>
        <v>1.2293267358180957E-4</v>
      </c>
      <c r="AJ128" s="22">
        <f t="shared" si="28"/>
        <v>1.230880284078129E-4</v>
      </c>
      <c r="AK128" s="22">
        <f t="shared" si="28"/>
        <v>1.2325414703713089E-4</v>
      </c>
      <c r="AL128" s="22">
        <f t="shared" si="28"/>
        <v>1.2343300581478905E-4</v>
      </c>
      <c r="AM128" s="22">
        <f t="shared" si="28"/>
        <v>1.2362298848343737E-4</v>
      </c>
      <c r="AN128" s="22">
        <f t="shared" si="28"/>
        <v>1.2373316293630814E-4</v>
      </c>
      <c r="AO128" s="22">
        <f t="shared" si="28"/>
        <v>1.2385166980530415E-4</v>
      </c>
      <c r="AP128" s="22">
        <f t="shared" si="28"/>
        <v>1.2398002361906419E-4</v>
      </c>
      <c r="AQ128" s="22">
        <f t="shared" si="28"/>
        <v>1.2411840156820918E-4</v>
      </c>
      <c r="AR128" s="22">
        <f t="shared" si="28"/>
        <v>1.2426670691930035E-4</v>
      </c>
      <c r="AS128" s="22">
        <f t="shared" si="28"/>
        <v>1.2433302167931155E-4</v>
      </c>
      <c r="AT128" s="22">
        <f t="shared" si="28"/>
        <v>1.2439474489368146E-4</v>
      </c>
      <c r="AU128" s="22">
        <f t="shared" si="28"/>
        <v>1.2446317135013558E-4</v>
      </c>
      <c r="AV128" s="22">
        <f t="shared" si="28"/>
        <v>1.2453939785824996E-4</v>
      </c>
      <c r="AW128" s="22">
        <f t="shared" si="28"/>
        <v>1.24622639719568E-4</v>
      </c>
      <c r="AY128" s="79"/>
    </row>
    <row r="129" spans="1:51" x14ac:dyDescent="0.2">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8.2041591156770978E-4</v>
      </c>
      <c r="T129" s="22">
        <f t="shared" si="28"/>
        <v>8.216653384055813E-4</v>
      </c>
      <c r="U129" s="22">
        <f t="shared" si="28"/>
        <v>8.2307748974241456E-4</v>
      </c>
      <c r="V129" s="22">
        <f t="shared" si="28"/>
        <v>8.246705212997898E-4</v>
      </c>
      <c r="W129" s="22">
        <f t="shared" si="28"/>
        <v>8.2646256470257108E-4</v>
      </c>
      <c r="X129" s="22">
        <f t="shared" si="28"/>
        <v>8.284162520491963E-4</v>
      </c>
      <c r="Y129" s="22">
        <f t="shared" si="28"/>
        <v>8.2960446867411488E-4</v>
      </c>
      <c r="Z129" s="22">
        <f t="shared" si="28"/>
        <v>8.3093163831104511E-4</v>
      </c>
      <c r="AA129" s="22">
        <f t="shared" si="28"/>
        <v>8.323880253653359E-4</v>
      </c>
      <c r="AB129" s="22">
        <f t="shared" si="28"/>
        <v>8.3400660346610628E-4</v>
      </c>
      <c r="AC129" s="22">
        <f t="shared" si="28"/>
        <v>8.3574760408304538E-4</v>
      </c>
      <c r="AD129" s="22">
        <f t="shared" si="28"/>
        <v>8.3688522766794265E-4</v>
      </c>
      <c r="AE129" s="22">
        <f t="shared" si="28"/>
        <v>8.3816221522631858E-4</v>
      </c>
      <c r="AF129" s="22">
        <f t="shared" si="28"/>
        <v>8.3955816665060555E-4</v>
      </c>
      <c r="AG129" s="22">
        <f t="shared" si="28"/>
        <v>8.4108757920503671E-4</v>
      </c>
      <c r="AH129" s="22">
        <f t="shared" si="28"/>
        <v>8.4266225824114254E-4</v>
      </c>
      <c r="AI129" s="22">
        <f t="shared" si="28"/>
        <v>8.436273399102601E-4</v>
      </c>
      <c r="AJ129" s="22">
        <f t="shared" si="28"/>
        <v>8.4469346476368369E-4</v>
      </c>
      <c r="AK129" s="22">
        <f t="shared" si="28"/>
        <v>8.4583345638086619E-4</v>
      </c>
      <c r="AL129" s="22">
        <f t="shared" si="28"/>
        <v>8.4706087745956699E-4</v>
      </c>
      <c r="AM129" s="22">
        <f t="shared" si="28"/>
        <v>8.483646364091695E-4</v>
      </c>
      <c r="AN129" s="22">
        <f t="shared" si="28"/>
        <v>8.4912071026564152E-4</v>
      </c>
      <c r="AO129" s="22">
        <f t="shared" si="28"/>
        <v>8.4993396545434991E-4</v>
      </c>
      <c r="AP129" s="22">
        <f t="shared" si="28"/>
        <v>8.5081479545108508E-4</v>
      </c>
      <c r="AQ129" s="22">
        <f t="shared" si="28"/>
        <v>8.5176441622917501E-4</v>
      </c>
      <c r="AR129" s="22">
        <f t="shared" si="28"/>
        <v>8.5278216395392656E-4</v>
      </c>
      <c r="AS129" s="22">
        <f t="shared" si="28"/>
        <v>8.5323725000188266E-4</v>
      </c>
      <c r="AT129" s="22">
        <f t="shared" si="28"/>
        <v>8.5366082649812602E-4</v>
      </c>
      <c r="AU129" s="22">
        <f t="shared" si="28"/>
        <v>8.5413040409500023E-4</v>
      </c>
      <c r="AV129" s="22">
        <f t="shared" si="28"/>
        <v>8.546535096648827E-4</v>
      </c>
      <c r="AW129" s="22">
        <f t="shared" si="28"/>
        <v>8.5522475820269445E-4</v>
      </c>
      <c r="AY129" s="79"/>
    </row>
    <row r="130" spans="1:51" x14ac:dyDescent="0.2">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1.4486129996083081E-5</v>
      </c>
      <c r="L130" s="22">
        <f t="shared" si="28"/>
        <v>1.4523786941695515E-5</v>
      </c>
      <c r="M130" s="22">
        <f t="shared" si="28"/>
        <v>1.4575733367418309E-5</v>
      </c>
      <c r="N130" s="22">
        <f t="shared" si="28"/>
        <v>1.4639017833045651E-5</v>
      </c>
      <c r="O130" s="22">
        <f t="shared" si="28"/>
        <v>1.471355007817218E-5</v>
      </c>
      <c r="P130" s="22">
        <f t="shared" si="28"/>
        <v>1.4798876460462532E-5</v>
      </c>
      <c r="Q130" s="22">
        <f t="shared" si="28"/>
        <v>1.4890706011157255E-5</v>
      </c>
      <c r="R130" s="22">
        <f t="shared" si="28"/>
        <v>1.4988675221399694E-5</v>
      </c>
      <c r="S130" s="22">
        <f t="shared" si="28"/>
        <v>1.5078679643027028E-5</v>
      </c>
      <c r="T130" s="22">
        <f t="shared" si="28"/>
        <v>1.5122495296339113E-5</v>
      </c>
      <c r="U130" s="22">
        <f t="shared" si="28"/>
        <v>1.516958973789732E-5</v>
      </c>
      <c r="V130" s="22">
        <f t="shared" si="28"/>
        <v>1.5220538890996556E-5</v>
      </c>
      <c r="W130" s="22">
        <f t="shared" si="28"/>
        <v>1.5275902163367261E-5</v>
      </c>
      <c r="X130" s="22">
        <f t="shared" si="28"/>
        <v>1.5334694454120534E-5</v>
      </c>
      <c r="Y130" s="22">
        <f t="shared" si="28"/>
        <v>1.5371448915304841E-5</v>
      </c>
      <c r="Z130" s="22">
        <f t="shared" si="28"/>
        <v>1.5411207509365297E-5</v>
      </c>
      <c r="AA130" s="22">
        <f t="shared" si="28"/>
        <v>1.5453736398701918E-5</v>
      </c>
      <c r="AB130" s="22">
        <f t="shared" si="28"/>
        <v>1.5499966763922933E-5</v>
      </c>
      <c r="AC130" s="22">
        <f t="shared" si="28"/>
        <v>1.5548833641447303E-5</v>
      </c>
      <c r="AD130" s="22">
        <f t="shared" si="28"/>
        <v>1.5580602349578564E-5</v>
      </c>
      <c r="AE130" s="22">
        <f t="shared" si="28"/>
        <v>1.5615591404277508E-5</v>
      </c>
      <c r="AF130" s="22">
        <f t="shared" si="28"/>
        <v>1.5653259744642323E-5</v>
      </c>
      <c r="AG130" s="22">
        <f t="shared" si="28"/>
        <v>1.5694012741398928E-5</v>
      </c>
      <c r="AH130" s="22">
        <f t="shared" si="28"/>
        <v>1.5735477279761714E-5</v>
      </c>
      <c r="AI130" s="22">
        <f t="shared" si="28"/>
        <v>1.5760021720349279E-5</v>
      </c>
      <c r="AJ130" s="22">
        <f t="shared" si="28"/>
        <v>1.5786883711006113E-5</v>
      </c>
      <c r="AK130" s="22">
        <f t="shared" si="28"/>
        <v>1.5815340273420816E-5</v>
      </c>
      <c r="AL130" s="22">
        <f t="shared" si="28"/>
        <v>1.5845764593107772E-5</v>
      </c>
      <c r="AM130" s="22">
        <f t="shared" si="28"/>
        <v>1.5877866318833775E-5</v>
      </c>
      <c r="AN130" s="22">
        <f t="shared" si="28"/>
        <v>1.5894983838021428E-5</v>
      </c>
      <c r="AO130" s="22">
        <f t="shared" si="28"/>
        <v>1.5913339031971955E-5</v>
      </c>
      <c r="AP130" s="22">
        <f t="shared" si="28"/>
        <v>1.593321505910849E-5</v>
      </c>
      <c r="AQ130" s="22">
        <f t="shared" si="28"/>
        <v>1.5954648527995344E-5</v>
      </c>
      <c r="AR130" s="22">
        <f t="shared" si="28"/>
        <v>1.5977625288303394E-5</v>
      </c>
      <c r="AS130" s="22">
        <f t="shared" si="28"/>
        <v>1.5985441440203981E-5</v>
      </c>
      <c r="AT130" s="22">
        <f t="shared" si="28"/>
        <v>1.5992226212116376E-5</v>
      </c>
      <c r="AU130" s="22">
        <f t="shared" si="28"/>
        <v>1.6000039436891757E-5</v>
      </c>
      <c r="AV130" s="22">
        <f t="shared" si="28"/>
        <v>1.6009082551352237E-5</v>
      </c>
      <c r="AW130" s="22">
        <f t="shared" si="28"/>
        <v>1.6019215529788255E-5</v>
      </c>
      <c r="AY130" s="79"/>
    </row>
    <row r="131" spans="1:51" x14ac:dyDescent="0.2">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1.4738364076719785E-3</v>
      </c>
      <c r="L131" s="22">
        <f t="shared" si="28"/>
        <v>1.4776676709189833E-3</v>
      </c>
      <c r="M131" s="22">
        <f t="shared" si="28"/>
        <v>1.4829527631761549E-3</v>
      </c>
      <c r="N131" s="22">
        <f t="shared" si="28"/>
        <v>1.4893914013429299E-3</v>
      </c>
      <c r="O131" s="22">
        <f t="shared" si="28"/>
        <v>1.4969744022163664E-3</v>
      </c>
      <c r="P131" s="22">
        <f t="shared" si="28"/>
        <v>1.5056556116759296E-3</v>
      </c>
      <c r="Q131" s="22">
        <f t="shared" si="28"/>
        <v>1.5149984613639165E-3</v>
      </c>
      <c r="R131" s="22">
        <f t="shared" si="28"/>
        <v>1.5249659674490626E-3</v>
      </c>
      <c r="S131" s="22">
        <f t="shared" si="28"/>
        <v>1.5341231262956069E-3</v>
      </c>
      <c r="T131" s="22">
        <f t="shared" si="28"/>
        <v>1.5385809839218152E-3</v>
      </c>
      <c r="U131" s="22">
        <f t="shared" si="28"/>
        <v>1.5433724294346084E-3</v>
      </c>
      <c r="V131" s="22">
        <f t="shared" si="28"/>
        <v>1.5485560579674195E-3</v>
      </c>
      <c r="W131" s="22">
        <f t="shared" si="28"/>
        <v>1.5541887843401544E-3</v>
      </c>
      <c r="X131" s="22">
        <f t="shared" si="28"/>
        <v>1.5601703831954754E-3</v>
      </c>
      <c r="Y131" s="22">
        <f t="shared" si="28"/>
        <v>1.5639098265839071E-3</v>
      </c>
      <c r="Z131" s="22">
        <f t="shared" si="28"/>
        <v>1.5679549140889886E-3</v>
      </c>
      <c r="AA131" s="22">
        <f t="shared" si="28"/>
        <v>1.5722818547901358E-3</v>
      </c>
      <c r="AB131" s="22">
        <f t="shared" si="28"/>
        <v>1.5769853881300361E-3</v>
      </c>
      <c r="AC131" s="22">
        <f t="shared" si="28"/>
        <v>1.5819571634243445E-3</v>
      </c>
      <c r="AD131" s="22">
        <f t="shared" si="28"/>
        <v>1.5851893502596976E-3</v>
      </c>
      <c r="AE131" s="22">
        <f t="shared" si="28"/>
        <v>1.5887491790545015E-3</v>
      </c>
      <c r="AF131" s="22">
        <f t="shared" si="28"/>
        <v>1.5925816016174124E-3</v>
      </c>
      <c r="AG131" s="22">
        <f t="shared" si="28"/>
        <v>1.5967278608569652E-3</v>
      </c>
      <c r="AH131" s="22">
        <f t="shared" si="28"/>
        <v>1.6009465132011667E-3</v>
      </c>
      <c r="AI131" s="22">
        <f t="shared" si="28"/>
        <v>1.6034436943084516E-3</v>
      </c>
      <c r="AJ131" s="22">
        <f t="shared" si="28"/>
        <v>1.6061766657662043E-3</v>
      </c>
      <c r="AK131" s="22">
        <f t="shared" si="28"/>
        <v>1.6090718708855374E-3</v>
      </c>
      <c r="AL131" s="22">
        <f t="shared" si="28"/>
        <v>1.6121672780125896E-3</v>
      </c>
      <c r="AM131" s="22">
        <f t="shared" si="28"/>
        <v>1.6154333464612968E-3</v>
      </c>
      <c r="AN131" s="22">
        <f t="shared" si="28"/>
        <v>1.6171749035917807E-3</v>
      </c>
      <c r="AO131" s="22">
        <f t="shared" si="28"/>
        <v>1.6190423832513916E-3</v>
      </c>
      <c r="AP131" s="22">
        <f t="shared" si="28"/>
        <v>1.6210645943209887E-3</v>
      </c>
      <c r="AQ131" s="22">
        <f t="shared" si="28"/>
        <v>1.6232452614002358E-3</v>
      </c>
      <c r="AR131" s="22">
        <f t="shared" si="28"/>
        <v>1.6255829448175118E-3</v>
      </c>
      <c r="AS131" s="22">
        <f t="shared" si="28"/>
        <v>1.6263781695767885E-3</v>
      </c>
      <c r="AT131" s="22">
        <f t="shared" si="28"/>
        <v>1.6270684604871241E-3</v>
      </c>
      <c r="AU131" s="22">
        <f t="shared" si="28"/>
        <v>1.6278633874371373E-3</v>
      </c>
      <c r="AV131" s="22">
        <f t="shared" si="28"/>
        <v>1.6287834448530387E-3</v>
      </c>
      <c r="AW131" s="22">
        <f t="shared" si="28"/>
        <v>1.6298143863495728E-3</v>
      </c>
      <c r="AY131" s="79"/>
    </row>
    <row r="132" spans="1:51" x14ac:dyDescent="0.2">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2">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2">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0.13004550543955873</v>
      </c>
      <c r="M134" s="22">
        <f t="shared" si="28"/>
        <v>0.13010384136507713</v>
      </c>
      <c r="N134" s="22">
        <f t="shared" si="28"/>
        <v>0.1289093884029483</v>
      </c>
      <c r="O134" s="22">
        <f t="shared" si="28"/>
        <v>0.12695857121838477</v>
      </c>
      <c r="P134" s="22">
        <f t="shared" si="28"/>
        <v>0.12428257569245395</v>
      </c>
      <c r="Q134" s="22">
        <f t="shared" si="28"/>
        <v>0.12233950618032065</v>
      </c>
      <c r="R134" s="22">
        <f t="shared" si="28"/>
        <v>0.12056837226162823</v>
      </c>
      <c r="S134" s="22">
        <f t="shared" si="28"/>
        <v>0.10742568641023791</v>
      </c>
      <c r="T134" s="22">
        <f t="shared" si="28"/>
        <v>0.1091029492210569</v>
      </c>
      <c r="U134" s="22">
        <f t="shared" si="28"/>
        <v>0.1098152981393777</v>
      </c>
      <c r="V134" s="22">
        <f t="shared" si="28"/>
        <v>0.11028443328369632</v>
      </c>
      <c r="W134" s="22">
        <f t="shared" si="28"/>
        <v>0.11115311990923482</v>
      </c>
      <c r="X134" s="22">
        <f t="shared" si="28"/>
        <v>0.11180012354863146</v>
      </c>
      <c r="Y134" s="22">
        <f t="shared" si="28"/>
        <v>0.11213950095917391</v>
      </c>
      <c r="Z134" s="22">
        <f t="shared" si="28"/>
        <v>0.11234743559515332</v>
      </c>
      <c r="AA134" s="22">
        <f t="shared" si="28"/>
        <v>0.11237564219545433</v>
      </c>
      <c r="AB134" s="22">
        <f t="shared" si="28"/>
        <v>0.1130282053559263</v>
      </c>
      <c r="AC134" s="22">
        <f t="shared" si="28"/>
        <v>0.11359821524900583</v>
      </c>
      <c r="AD134" s="22">
        <f t="shared" si="28"/>
        <v>0.11441835566605747</v>
      </c>
      <c r="AE134" s="22">
        <f t="shared" si="28"/>
        <v>0.11580372782809943</v>
      </c>
      <c r="AF134" s="22">
        <f t="shared" si="28"/>
        <v>0.11742607569995514</v>
      </c>
      <c r="AG134" s="22">
        <f t="shared" si="28"/>
        <v>0.11962260335271972</v>
      </c>
      <c r="AH134" s="22">
        <f t="shared" si="28"/>
        <v>0.12080838440395283</v>
      </c>
      <c r="AI134" s="22">
        <f t="shared" si="28"/>
        <v>0.12184404408189208</v>
      </c>
      <c r="AJ134" s="22">
        <f t="shared" si="28"/>
        <v>0.12314557152083414</v>
      </c>
      <c r="AK134" s="22">
        <f t="shared" si="28"/>
        <v>0.12427557755093979</v>
      </c>
      <c r="AL134" s="22">
        <f t="shared" si="28"/>
        <v>0.1255259175330139</v>
      </c>
      <c r="AM134" s="22">
        <f t="shared" si="28"/>
        <v>0.12674552603750175</v>
      </c>
      <c r="AN134" s="22">
        <f t="shared" si="28"/>
        <v>0.12838752833674963</v>
      </c>
      <c r="AO134" s="22">
        <f t="shared" si="28"/>
        <v>0.12981338825169941</v>
      </c>
      <c r="AP134" s="22">
        <f t="shared" si="28"/>
        <v>0.13123798099286382</v>
      </c>
      <c r="AQ134" s="22">
        <f t="shared" si="28"/>
        <v>0.13271316927423235</v>
      </c>
      <c r="AR134" s="22">
        <f t="shared" si="28"/>
        <v>0.13425553565091783</v>
      </c>
      <c r="AS134" s="22">
        <f t="shared" si="28"/>
        <v>0.1362655431555625</v>
      </c>
      <c r="AT134" s="22">
        <f t="shared" si="28"/>
        <v>0.1368880254632967</v>
      </c>
      <c r="AU134" s="22">
        <f t="shared" si="28"/>
        <v>0.13738521125796219</v>
      </c>
      <c r="AV134" s="22">
        <f t="shared" si="28"/>
        <v>0.13789795385940914</v>
      </c>
      <c r="AW134" s="22">
        <f t="shared" si="28"/>
        <v>0.13836722215964953</v>
      </c>
      <c r="AY134" s="79"/>
    </row>
    <row r="135" spans="1:51" x14ac:dyDescent="0.2">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1.2724633182830881E-2</v>
      </c>
      <c r="L135" s="22">
        <f t="shared" si="28"/>
        <v>1.2655466337890216E-2</v>
      </c>
      <c r="M135" s="22">
        <f t="shared" si="28"/>
        <v>1.266114333794641E-2</v>
      </c>
      <c r="N135" s="22">
        <f t="shared" si="28"/>
        <v>1.2544904339887072E-2</v>
      </c>
      <c r="O135" s="22">
        <f t="shared" si="28"/>
        <v>1.2355059245839619E-2</v>
      </c>
      <c r="P135" s="22">
        <f t="shared" si="28"/>
        <v>1.209464293091744E-2</v>
      </c>
      <c r="Q135" s="22">
        <f t="shared" si="28"/>
        <v>1.1905551806853851E-2</v>
      </c>
      <c r="R135" s="22">
        <f t="shared" si="28"/>
        <v>1.1733192711380727E-2</v>
      </c>
      <c r="S135" s="22">
        <f t="shared" si="28"/>
        <v>1.0454203346699911E-2</v>
      </c>
      <c r="T135" s="22">
        <f t="shared" si="28"/>
        <v>1.0617427311806347E-2</v>
      </c>
      <c r="U135" s="22">
        <f t="shared" si="28"/>
        <v>1.0686750028698176E-2</v>
      </c>
      <c r="V135" s="22">
        <f t="shared" si="28"/>
        <v>1.0732404232638389E-2</v>
      </c>
      <c r="W135" s="22">
        <f t="shared" si="28"/>
        <v>1.0816941059270873E-2</v>
      </c>
      <c r="X135" s="22">
        <f t="shared" ref="L135:AW142" si="29">X1544</f>
        <v>1.087990465613799E-2</v>
      </c>
      <c r="Y135" s="22">
        <f t="shared" si="29"/>
        <v>1.0912931398434408E-2</v>
      </c>
      <c r="Z135" s="22">
        <f t="shared" si="29"/>
        <v>1.0933166698202938E-2</v>
      </c>
      <c r="AA135" s="22">
        <f t="shared" si="29"/>
        <v>1.0935911642593046E-2</v>
      </c>
      <c r="AB135" s="22">
        <f t="shared" si="29"/>
        <v>1.0999416268014638E-2</v>
      </c>
      <c r="AC135" s="22">
        <f t="shared" si="29"/>
        <v>1.1054887166372485E-2</v>
      </c>
      <c r="AD135" s="22">
        <f t="shared" si="29"/>
        <v>1.1134699685884465E-2</v>
      </c>
      <c r="AE135" s="22">
        <f t="shared" si="29"/>
        <v>1.1269518115040561E-2</v>
      </c>
      <c r="AF135" s="22">
        <f t="shared" si="29"/>
        <v>1.1427397995711722E-2</v>
      </c>
      <c r="AG135" s="22">
        <f t="shared" si="29"/>
        <v>1.1641154570195772E-2</v>
      </c>
      <c r="AH135" s="22">
        <f t="shared" si="29"/>
        <v>1.1756549655379731E-2</v>
      </c>
      <c r="AI135" s="22">
        <f t="shared" si="29"/>
        <v>1.1857335577564188E-2</v>
      </c>
      <c r="AJ135" s="22">
        <f t="shared" si="29"/>
        <v>1.1983994600770704E-2</v>
      </c>
      <c r="AK135" s="22">
        <f t="shared" si="29"/>
        <v>1.209396190204173E-2</v>
      </c>
      <c r="AL135" s="22">
        <f t="shared" si="29"/>
        <v>1.2215639583254724E-2</v>
      </c>
      <c r="AM135" s="22">
        <f t="shared" si="29"/>
        <v>1.2334326609936505E-2</v>
      </c>
      <c r="AN135" s="22">
        <f t="shared" si="29"/>
        <v>1.2494119174505589E-2</v>
      </c>
      <c r="AO135" s="22">
        <f t="shared" si="29"/>
        <v>1.2632877696725955E-2</v>
      </c>
      <c r="AP135" s="22">
        <f t="shared" si="29"/>
        <v>1.2771512903072156E-2</v>
      </c>
      <c r="AQ135" s="22">
        <f t="shared" si="29"/>
        <v>1.2915071848641296E-2</v>
      </c>
      <c r="AR135" s="22">
        <f t="shared" si="29"/>
        <v>1.3065168276002324E-2</v>
      </c>
      <c r="AS135" s="22">
        <f t="shared" si="29"/>
        <v>1.3260773516090847E-2</v>
      </c>
      <c r="AT135" s="22">
        <f t="shared" si="29"/>
        <v>1.3321350802978501E-2</v>
      </c>
      <c r="AU135" s="22">
        <f t="shared" si="29"/>
        <v>1.3369734774933539E-2</v>
      </c>
      <c r="AV135" s="22">
        <f t="shared" si="29"/>
        <v>1.3419632668064721E-2</v>
      </c>
      <c r="AW135" s="22">
        <f t="shared" si="29"/>
        <v>1.3465299830163544E-2</v>
      </c>
      <c r="AY135" s="79"/>
    </row>
    <row r="136" spans="1:51" x14ac:dyDescent="0.2">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6.4453339767617107E-2</v>
      </c>
      <c r="L136" s="22">
        <f t="shared" si="29"/>
        <v>6.5763803942104557E-2</v>
      </c>
      <c r="M136" s="22">
        <f t="shared" si="29"/>
        <v>6.7295612361813625E-2</v>
      </c>
      <c r="N136" s="22">
        <f t="shared" si="29"/>
        <v>6.8471619369899747E-2</v>
      </c>
      <c r="O136" s="22">
        <f t="shared" si="29"/>
        <v>6.9415657765503513E-2</v>
      </c>
      <c r="P136" s="22">
        <f t="shared" si="29"/>
        <v>7.0122113289878343E-2</v>
      </c>
      <c r="Q136" s="22">
        <f t="shared" si="29"/>
        <v>7.1027984276732931E-2</v>
      </c>
      <c r="R136" s="22">
        <f t="shared" si="29"/>
        <v>7.1969839340941838E-2</v>
      </c>
      <c r="S136" s="22">
        <f t="shared" si="29"/>
        <v>6.9091020117855437E-2</v>
      </c>
      <c r="T136" s="22">
        <f t="shared" si="29"/>
        <v>7.0923520025616846E-2</v>
      </c>
      <c r="U136" s="22">
        <f t="shared" si="29"/>
        <v>7.2452558917721649E-2</v>
      </c>
      <c r="V136" s="22">
        <f t="shared" si="29"/>
        <v>7.3914725789307509E-2</v>
      </c>
      <c r="W136" s="22">
        <f t="shared" si="29"/>
        <v>7.5540335927502686E-2</v>
      </c>
      <c r="X136" s="22">
        <f t="shared" si="29"/>
        <v>7.710742274610026E-2</v>
      </c>
      <c r="Y136" s="22">
        <f t="shared" si="29"/>
        <v>7.8514475152186416E-2</v>
      </c>
      <c r="Z136" s="22">
        <f t="shared" si="29"/>
        <v>7.9886368180485237E-2</v>
      </c>
      <c r="AA136" s="22">
        <f t="shared" si="29"/>
        <v>8.1201368710931643E-2</v>
      </c>
      <c r="AB136" s="22">
        <f t="shared" si="29"/>
        <v>8.2782551319957556E-2</v>
      </c>
      <c r="AC136" s="22">
        <f t="shared" si="29"/>
        <v>8.4352893309328145E-2</v>
      </c>
      <c r="AD136" s="22">
        <f t="shared" si="29"/>
        <v>8.5998825916539595E-2</v>
      </c>
      <c r="AE136" s="22">
        <f t="shared" si="29"/>
        <v>8.791554994164491E-2</v>
      </c>
      <c r="AF136" s="22">
        <f t="shared" si="29"/>
        <v>8.9973918009766785E-2</v>
      </c>
      <c r="AG136" s="22">
        <f t="shared" si="29"/>
        <v>9.2332462068458354E-2</v>
      </c>
      <c r="AH136" s="22">
        <f t="shared" si="29"/>
        <v>9.4282044413809288E-2</v>
      </c>
      <c r="AI136" s="22">
        <f t="shared" si="29"/>
        <v>9.6147404966029248E-2</v>
      </c>
      <c r="AJ136" s="22">
        <f t="shared" si="29"/>
        <v>9.8173701325843382E-2</v>
      </c>
      <c r="AK136" s="22">
        <f t="shared" si="29"/>
        <v>0.1001572245577764</v>
      </c>
      <c r="AL136" s="22">
        <f t="shared" si="29"/>
        <v>0.10223848995104871</v>
      </c>
      <c r="AM136" s="22">
        <f t="shared" si="29"/>
        <v>0.10434595485218236</v>
      </c>
      <c r="AN136" s="22">
        <f t="shared" si="29"/>
        <v>0.10666367827206967</v>
      </c>
      <c r="AO136" s="22">
        <f t="shared" si="29"/>
        <v>0.10891945161625204</v>
      </c>
      <c r="AP136" s="22">
        <f t="shared" si="29"/>
        <v>0.11122270700738313</v>
      </c>
      <c r="AQ136" s="22">
        <f t="shared" si="29"/>
        <v>0.11360290610560657</v>
      </c>
      <c r="AR136" s="22">
        <f t="shared" si="29"/>
        <v>0.11607217368997393</v>
      </c>
      <c r="AS136" s="22">
        <f t="shared" si="29"/>
        <v>0.11880939144121157</v>
      </c>
      <c r="AT136" s="22">
        <f t="shared" si="29"/>
        <v>0.12081746755875615</v>
      </c>
      <c r="AU136" s="22">
        <f t="shared" si="29"/>
        <v>0.12279062605907758</v>
      </c>
      <c r="AV136" s="22">
        <f t="shared" si="29"/>
        <v>0.12480975001742217</v>
      </c>
      <c r="AW136" s="22">
        <f t="shared" si="29"/>
        <v>0.1268408444448812</v>
      </c>
      <c r="AY136" s="79"/>
    </row>
    <row r="137" spans="1:51" x14ac:dyDescent="0.2">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0.31034319165291718</v>
      </c>
      <c r="L137" s="22">
        <f t="shared" si="29"/>
        <v>0.31442985679016988</v>
      </c>
      <c r="M137" s="22">
        <f t="shared" si="29"/>
        <v>0.32099421325528477</v>
      </c>
      <c r="N137" s="22">
        <f t="shared" si="29"/>
        <v>0.3228790317815291</v>
      </c>
      <c r="O137" s="22">
        <f t="shared" si="29"/>
        <v>0.32172327535887091</v>
      </c>
      <c r="P137" s="22">
        <f t="shared" si="29"/>
        <v>0.31753924052538912</v>
      </c>
      <c r="Q137" s="22">
        <f t="shared" si="29"/>
        <v>0.31577785743754239</v>
      </c>
      <c r="R137" s="22">
        <f t="shared" si="29"/>
        <v>0.31441607582114922</v>
      </c>
      <c r="S137" s="22">
        <f t="shared" si="29"/>
        <v>0.26879192155029241</v>
      </c>
      <c r="T137" s="22">
        <f t="shared" si="29"/>
        <v>0.28063901740950847</v>
      </c>
      <c r="U137" s="22">
        <f t="shared" si="29"/>
        <v>0.28880309945041127</v>
      </c>
      <c r="V137" s="22">
        <f t="shared" si="29"/>
        <v>0.29604855006817871</v>
      </c>
      <c r="W137" s="22">
        <f t="shared" si="29"/>
        <v>0.30496938447162802</v>
      </c>
      <c r="X137" s="22">
        <f t="shared" si="29"/>
        <v>0.31306661968905752</v>
      </c>
      <c r="Y137" s="22">
        <f t="shared" si="29"/>
        <v>0.32021357019479407</v>
      </c>
      <c r="Z137" s="22">
        <f t="shared" si="29"/>
        <v>0.32685390014438859</v>
      </c>
      <c r="AA137" s="22">
        <f t="shared" si="29"/>
        <v>0.33276450713212152</v>
      </c>
      <c r="AB137" s="22">
        <f t="shared" si="29"/>
        <v>0.34142456701129209</v>
      </c>
      <c r="AC137" s="22">
        <f t="shared" si="29"/>
        <v>0.34982483105719137</v>
      </c>
      <c r="AD137" s="22">
        <f t="shared" si="29"/>
        <v>0.35965297279223607</v>
      </c>
      <c r="AE137" s="22">
        <f t="shared" si="29"/>
        <v>0.37217634319205956</v>
      </c>
      <c r="AF137" s="22">
        <f t="shared" si="29"/>
        <v>0.3859945703932357</v>
      </c>
      <c r="AG137" s="22">
        <f t="shared" si="29"/>
        <v>0.40272226665089866</v>
      </c>
      <c r="AH137" s="22">
        <f t="shared" si="29"/>
        <v>0.41501766533472662</v>
      </c>
      <c r="AI137" s="22">
        <f t="shared" si="29"/>
        <v>0.42700130219026528</v>
      </c>
      <c r="AJ137" s="22">
        <f t="shared" si="29"/>
        <v>0.44046546100421546</v>
      </c>
      <c r="AK137" s="22">
        <f t="shared" si="29"/>
        <v>0.45333055520989524</v>
      </c>
      <c r="AL137" s="22">
        <f t="shared" si="29"/>
        <v>0.46701619271583805</v>
      </c>
      <c r="AM137" s="22">
        <f t="shared" si="29"/>
        <v>0.48079646315959662</v>
      </c>
      <c r="AN137" s="22">
        <f t="shared" si="29"/>
        <v>0.49715144699339536</v>
      </c>
      <c r="AO137" s="22">
        <f t="shared" si="29"/>
        <v>0.51271284356388047</v>
      </c>
      <c r="AP137" s="22">
        <f t="shared" si="29"/>
        <v>0.52856616956956437</v>
      </c>
      <c r="AQ137" s="22">
        <f t="shared" si="29"/>
        <v>0.54499431888614669</v>
      </c>
      <c r="AR137" s="22">
        <f t="shared" si="29"/>
        <v>0.56210625186052299</v>
      </c>
      <c r="AS137" s="22">
        <f t="shared" si="29"/>
        <v>0.58227066272581418</v>
      </c>
      <c r="AT137" s="22">
        <f t="shared" si="29"/>
        <v>0.59525693388734258</v>
      </c>
      <c r="AU137" s="22">
        <f t="shared" si="29"/>
        <v>0.60778527419801665</v>
      </c>
      <c r="AV137" s="22">
        <f t="shared" si="29"/>
        <v>0.62062894178535877</v>
      </c>
      <c r="AW137" s="22">
        <f t="shared" si="29"/>
        <v>0.63346374044156473</v>
      </c>
      <c r="AY137" s="79"/>
    </row>
    <row r="138" spans="1:51" x14ac:dyDescent="0.2">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8.9709854381943815E-2</v>
      </c>
      <c r="M138" s="22">
        <f t="shared" si="29"/>
        <v>9.0417475033143083E-2</v>
      </c>
      <c r="N138" s="22">
        <f t="shared" si="29"/>
        <v>9.0872196678668984E-2</v>
      </c>
      <c r="O138" s="22">
        <f t="shared" si="29"/>
        <v>9.1174361291842948E-2</v>
      </c>
      <c r="P138" s="22">
        <f t="shared" si="29"/>
        <v>9.1320994898161728E-2</v>
      </c>
      <c r="Q138" s="22">
        <f t="shared" si="29"/>
        <v>9.1644963105957017E-2</v>
      </c>
      <c r="R138" s="22">
        <f t="shared" si="29"/>
        <v>9.2016609055475651E-2</v>
      </c>
      <c r="S138" s="22">
        <f t="shared" si="29"/>
        <v>8.9497634351969751E-2</v>
      </c>
      <c r="T138" s="22">
        <f t="shared" si="29"/>
        <v>9.0526156863539653E-2</v>
      </c>
      <c r="U138" s="22">
        <f t="shared" si="29"/>
        <v>9.133211275409571E-2</v>
      </c>
      <c r="V138" s="22">
        <f t="shared" si="29"/>
        <v>9.2095667401537948E-2</v>
      </c>
      <c r="W138" s="22">
        <f t="shared" si="29"/>
        <v>9.2988337377843094E-2</v>
      </c>
      <c r="X138" s="22">
        <f t="shared" si="29"/>
        <v>9.3843223396191833E-2</v>
      </c>
      <c r="Y138" s="22">
        <f t="shared" si="29"/>
        <v>9.4560210431129388E-2</v>
      </c>
      <c r="Z138" s="22">
        <f t="shared" si="29"/>
        <v>9.5257283424355771E-2</v>
      </c>
      <c r="AA138" s="22">
        <f t="shared" si="29"/>
        <v>9.5918466483612935E-2</v>
      </c>
      <c r="AB138" s="22">
        <f t="shared" si="29"/>
        <v>9.6778548113850782E-2</v>
      </c>
      <c r="AC138" s="22">
        <f t="shared" si="29"/>
        <v>9.7634207071548518E-2</v>
      </c>
      <c r="AD138" s="22">
        <f t="shared" si="29"/>
        <v>9.8526906814348045E-2</v>
      </c>
      <c r="AE138" s="22">
        <f t="shared" si="29"/>
        <v>9.9615980454525591E-2</v>
      </c>
      <c r="AF138" s="22">
        <f t="shared" si="29"/>
        <v>0.1008065868820634</v>
      </c>
      <c r="AG138" s="22">
        <f t="shared" si="29"/>
        <v>0.10221006700957981</v>
      </c>
      <c r="AH138" s="22">
        <f t="shared" si="29"/>
        <v>0.10332162680247739</v>
      </c>
      <c r="AI138" s="22">
        <f t="shared" si="29"/>
        <v>0.10435425380397972</v>
      </c>
      <c r="AJ138" s="22">
        <f t="shared" si="29"/>
        <v>0.10550009187328319</v>
      </c>
      <c r="AK138" s="22">
        <f t="shared" si="29"/>
        <v>0.10661516318950658</v>
      </c>
      <c r="AL138" s="22">
        <f t="shared" si="29"/>
        <v>0.10779775034487957</v>
      </c>
      <c r="AM138" s="22">
        <f t="shared" si="29"/>
        <v>0.10899733735251546</v>
      </c>
      <c r="AN138" s="22">
        <f t="shared" si="29"/>
        <v>0.11032305770963274</v>
      </c>
      <c r="AO138" s="22">
        <f t="shared" si="29"/>
        <v>0.1116034974988518</v>
      </c>
      <c r="AP138" s="22">
        <f t="shared" si="29"/>
        <v>0.11291437639210956</v>
      </c>
      <c r="AQ138" s="22">
        <f t="shared" si="29"/>
        <v>0.11427557081956052</v>
      </c>
      <c r="AR138" s="22">
        <f t="shared" si="29"/>
        <v>0.11569486271533871</v>
      </c>
      <c r="AS138" s="22">
        <f t="shared" si="29"/>
        <v>0.11727523367677491</v>
      </c>
      <c r="AT138" s="22">
        <f t="shared" si="29"/>
        <v>0.11835610910450192</v>
      </c>
      <c r="AU138" s="22">
        <f t="shared" si="29"/>
        <v>0.11941212579472428</v>
      </c>
      <c r="AV138" s="22">
        <f t="shared" si="29"/>
        <v>0.120498066178682</v>
      </c>
      <c r="AW138" s="22">
        <f t="shared" si="29"/>
        <v>0.12159075101335114</v>
      </c>
      <c r="AY138" s="79"/>
    </row>
    <row r="139" spans="1:51" x14ac:dyDescent="0.2">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2.7090100081973278E-2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2.7786681470952927E-2</v>
      </c>
      <c r="S139" s="22">
        <f t="shared" si="29"/>
        <v>2.7026015016948877E-2</v>
      </c>
      <c r="T139" s="22">
        <f t="shared" si="29"/>
        <v>2.7336602721799708E-2</v>
      </c>
      <c r="U139" s="22">
        <f t="shared" si="29"/>
        <v>2.7579980953625429E-2</v>
      </c>
      <c r="V139" s="22">
        <f t="shared" si="29"/>
        <v>2.7810555085751417E-2</v>
      </c>
      <c r="W139" s="22">
        <f t="shared" si="29"/>
        <v>2.8080118771534705E-2</v>
      </c>
      <c r="X139" s="22">
        <f t="shared" si="29"/>
        <v>2.8338272660595177E-2</v>
      </c>
      <c r="Y139" s="22">
        <f t="shared" si="29"/>
        <v>2.8554784555166308E-2</v>
      </c>
      <c r="Z139" s="22">
        <f t="shared" si="29"/>
        <v>2.8765282914360448E-2</v>
      </c>
      <c r="AA139" s="22">
        <f t="shared" si="29"/>
        <v>2.8964943424024437E-2</v>
      </c>
      <c r="AB139" s="22">
        <f t="shared" si="29"/>
        <v>2.9224666256062608E-2</v>
      </c>
      <c r="AC139" s="22">
        <f t="shared" si="29"/>
        <v>2.9483053553196983E-2</v>
      </c>
      <c r="AD139" s="22">
        <f t="shared" si="29"/>
        <v>2.9752626227706403E-2</v>
      </c>
      <c r="AE139" s="22">
        <f t="shared" si="29"/>
        <v>3.0081498837213019E-2</v>
      </c>
      <c r="AF139" s="22">
        <f t="shared" si="29"/>
        <v>3.0441031772612943E-2</v>
      </c>
      <c r="AG139" s="22">
        <f t="shared" si="29"/>
        <v>3.0864847164795019E-2</v>
      </c>
      <c r="AH139" s="22">
        <f t="shared" si="29"/>
        <v>3.1200510021948794E-2</v>
      </c>
      <c r="AI139" s="22">
        <f t="shared" si="29"/>
        <v>3.1512337178628218E-2</v>
      </c>
      <c r="AJ139" s="22">
        <f t="shared" si="29"/>
        <v>3.1858351205615788E-2</v>
      </c>
      <c r="AK139" s="22">
        <f t="shared" si="29"/>
        <v>3.2195074453726519E-2</v>
      </c>
      <c r="AL139" s="22">
        <f t="shared" si="29"/>
        <v>3.2552185772381829E-2</v>
      </c>
      <c r="AM139" s="22">
        <f t="shared" si="29"/>
        <v>3.2914430615133806E-2</v>
      </c>
      <c r="AN139" s="22">
        <f t="shared" si="29"/>
        <v>3.331476452942278E-2</v>
      </c>
      <c r="AO139" s="22">
        <f t="shared" si="29"/>
        <v>3.370142486097568E-2</v>
      </c>
      <c r="AP139" s="22">
        <f t="shared" si="29"/>
        <v>3.4097277029707398E-2</v>
      </c>
      <c r="AQ139" s="22">
        <f t="shared" si="29"/>
        <v>3.4508323213259036E-2</v>
      </c>
      <c r="AR139" s="22">
        <f t="shared" si="29"/>
        <v>3.4936913358311179E-2</v>
      </c>
      <c r="AS139" s="22">
        <f t="shared" si="29"/>
        <v>3.5414145294611905E-2</v>
      </c>
      <c r="AT139" s="22">
        <f t="shared" si="29"/>
        <v>3.5740542251947324E-2</v>
      </c>
      <c r="AU139" s="22">
        <f t="shared" si="29"/>
        <v>3.6059432501223176E-2</v>
      </c>
      <c r="AV139" s="22">
        <f t="shared" si="29"/>
        <v>3.638735894684221E-2</v>
      </c>
      <c r="AW139" s="22">
        <f t="shared" si="29"/>
        <v>3.6717322045469181E-2</v>
      </c>
      <c r="AY139" s="79"/>
    </row>
    <row r="140" spans="1:51" x14ac:dyDescent="0.2">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1.4564639612104711E-3</v>
      </c>
      <c r="M140" s="22">
        <f t="shared" si="29"/>
        <v>1.4679523755410987E-3</v>
      </c>
      <c r="N140" s="22">
        <f t="shared" si="29"/>
        <v>1.4753349055168039E-3</v>
      </c>
      <c r="O140" s="22">
        <f t="shared" si="29"/>
        <v>1.4802406304505133E-3</v>
      </c>
      <c r="P140" s="22">
        <f t="shared" si="29"/>
        <v>1.4826212670547858E-3</v>
      </c>
      <c r="Q140" s="22">
        <f t="shared" si="29"/>
        <v>1.4878809792957942E-3</v>
      </c>
      <c r="R140" s="22">
        <f t="shared" si="29"/>
        <v>1.4939147526814823E-3</v>
      </c>
      <c r="S140" s="22">
        <f t="shared" si="29"/>
        <v>1.4530185111243717E-3</v>
      </c>
      <c r="T140" s="22">
        <f t="shared" si="29"/>
        <v>1.4697168547089842E-3</v>
      </c>
      <c r="U140" s="22">
        <f t="shared" si="29"/>
        <v>1.4828017684791316E-3</v>
      </c>
      <c r="V140" s="22">
        <f t="shared" si="29"/>
        <v>1.4951982864990986E-3</v>
      </c>
      <c r="W140" s="22">
        <f t="shared" si="29"/>
        <v>1.5096910271093734E-3</v>
      </c>
      <c r="X140" s="22">
        <f t="shared" si="29"/>
        <v>1.5235703348537217E-3</v>
      </c>
      <c r="Y140" s="22">
        <f t="shared" si="29"/>
        <v>1.5352108149797475E-3</v>
      </c>
      <c r="Z140" s="22">
        <f t="shared" si="29"/>
        <v>1.5465279852054938E-3</v>
      </c>
      <c r="AA140" s="22">
        <f t="shared" si="29"/>
        <v>1.5572624725614869E-3</v>
      </c>
      <c r="AB140" s="22">
        <f t="shared" si="29"/>
        <v>1.5712261324823602E-3</v>
      </c>
      <c r="AC140" s="22">
        <f t="shared" si="29"/>
        <v>1.5851179891079189E-3</v>
      </c>
      <c r="AD140" s="22">
        <f t="shared" si="29"/>
        <v>1.5996112129853511E-3</v>
      </c>
      <c r="AE140" s="22">
        <f t="shared" si="29"/>
        <v>1.6172926206629243E-3</v>
      </c>
      <c r="AF140" s="22">
        <f t="shared" si="29"/>
        <v>1.636622440844233E-3</v>
      </c>
      <c r="AG140" s="22">
        <f t="shared" si="29"/>
        <v>1.6594083236225038E-3</v>
      </c>
      <c r="AH140" s="22">
        <f t="shared" si="29"/>
        <v>1.6774548001243291E-3</v>
      </c>
      <c r="AI140" s="22">
        <f t="shared" si="29"/>
        <v>1.6942197812228126E-3</v>
      </c>
      <c r="AJ140" s="22">
        <f t="shared" si="29"/>
        <v>1.7128227748941451E-3</v>
      </c>
      <c r="AK140" s="22">
        <f t="shared" si="29"/>
        <v>1.7309262619352049E-3</v>
      </c>
      <c r="AL140" s="22">
        <f t="shared" si="29"/>
        <v>1.7501258870450394E-3</v>
      </c>
      <c r="AM140" s="22">
        <f t="shared" si="29"/>
        <v>1.7696015093943904E-3</v>
      </c>
      <c r="AN140" s="22">
        <f t="shared" si="29"/>
        <v>1.7911249410852239E-3</v>
      </c>
      <c r="AO140" s="22">
        <f t="shared" si="29"/>
        <v>1.8119132304024437E-3</v>
      </c>
      <c r="AP140" s="22">
        <f t="shared" si="29"/>
        <v>1.8331957068783579E-3</v>
      </c>
      <c r="AQ140" s="22">
        <f t="shared" si="29"/>
        <v>1.8552950697793623E-3</v>
      </c>
      <c r="AR140" s="22">
        <f t="shared" si="29"/>
        <v>1.8783376609292489E-3</v>
      </c>
      <c r="AS140" s="22">
        <f t="shared" si="29"/>
        <v>1.9039954146569001E-3</v>
      </c>
      <c r="AT140" s="22">
        <f t="shared" si="29"/>
        <v>1.9215437221186409E-3</v>
      </c>
      <c r="AU140" s="22">
        <f t="shared" si="29"/>
        <v>1.938688441194845E-3</v>
      </c>
      <c r="AV140" s="22">
        <f t="shared" si="29"/>
        <v>1.9563189796028518E-3</v>
      </c>
      <c r="AW140" s="22">
        <f t="shared" si="29"/>
        <v>1.9740590160082297E-3</v>
      </c>
      <c r="AY140" s="79"/>
    </row>
    <row r="141" spans="1:51" x14ac:dyDescent="0.2">
      <c r="A141" s="95" t="str">
        <f t="shared" si="0"/>
        <v>FS MM Leaching</v>
      </c>
      <c r="B141" s="95" t="s">
        <v>1004</v>
      </c>
      <c r="C141" s="95" t="s">
        <v>1333</v>
      </c>
      <c r="D141" t="s">
        <v>369</v>
      </c>
      <c r="E141" t="s">
        <v>64</v>
      </c>
      <c r="F141" t="s">
        <v>63</v>
      </c>
      <c r="G141" t="s">
        <v>1158</v>
      </c>
      <c r="H141" t="s">
        <v>1309</v>
      </c>
      <c r="I141" t="s">
        <v>139</v>
      </c>
      <c r="J141" t="s">
        <v>287</v>
      </c>
      <c r="K141" s="22">
        <f t="shared" si="26"/>
        <v>3.030301439269115E-2</v>
      </c>
      <c r="L141" s="22">
        <f t="shared" si="29"/>
        <v>3.0040206026371367E-2</v>
      </c>
      <c r="M141" s="22">
        <f t="shared" si="29"/>
        <v>2.99401628371932E-2</v>
      </c>
      <c r="N141" s="22">
        <f t="shared" si="29"/>
        <v>2.9540351153331298E-2</v>
      </c>
      <c r="O141" s="22">
        <f t="shared" si="29"/>
        <v>2.896001473012887E-2</v>
      </c>
      <c r="P141" s="22">
        <f t="shared" si="29"/>
        <v>2.8211154016296501E-2</v>
      </c>
      <c r="Q141" s="22">
        <f t="shared" si="29"/>
        <v>2.7620505669412022E-2</v>
      </c>
      <c r="R141" s="22">
        <f t="shared" si="29"/>
        <v>2.7061685185942385E-2</v>
      </c>
      <c r="S141" s="22">
        <f t="shared" si="29"/>
        <v>2.4017837723924858E-2</v>
      </c>
      <c r="T141" s="22">
        <f t="shared" si="29"/>
        <v>2.4477250922769193E-2</v>
      </c>
      <c r="U141" s="22">
        <f t="shared" si="29"/>
        <v>2.4722881599244746E-2</v>
      </c>
      <c r="V141" s="22">
        <f t="shared" si="29"/>
        <v>2.4911965822405392E-2</v>
      </c>
      <c r="W141" s="22">
        <f t="shared" si="29"/>
        <v>2.5185541319014813E-2</v>
      </c>
      <c r="X141" s="22">
        <f t="shared" si="29"/>
        <v>2.5407562443653844E-2</v>
      </c>
      <c r="Y141" s="22">
        <f t="shared" si="29"/>
        <v>2.5550689603830473E-2</v>
      </c>
      <c r="Z141" s="22">
        <f t="shared" si="29"/>
        <v>2.5662103388614917E-2</v>
      </c>
      <c r="AA141" s="22">
        <f t="shared" si="29"/>
        <v>2.5731155592918373E-2</v>
      </c>
      <c r="AB141" s="22">
        <f t="shared" si="29"/>
        <v>2.593557725784186E-2</v>
      </c>
      <c r="AC141" s="22">
        <f t="shared" si="29"/>
        <v>2.611950739638573E-2</v>
      </c>
      <c r="AD141" s="22">
        <f t="shared" si="29"/>
        <v>2.6128993823789925E-2</v>
      </c>
      <c r="AE141" s="22">
        <f t="shared" si="29"/>
        <v>2.6252210081774377E-2</v>
      </c>
      <c r="AF141" s="22">
        <f t="shared" si="29"/>
        <v>2.641514740098018E-2</v>
      </c>
      <c r="AG141" s="22">
        <f t="shared" si="29"/>
        <v>2.6688702803580544E-2</v>
      </c>
      <c r="AH141" s="22">
        <f t="shared" si="29"/>
        <v>2.6732393968630815E-2</v>
      </c>
      <c r="AI141" s="22">
        <f t="shared" si="29"/>
        <v>2.6727807661606592E-2</v>
      </c>
      <c r="AJ141" s="22">
        <f t="shared" si="29"/>
        <v>2.6767943392537564E-2</v>
      </c>
      <c r="AK141" s="22">
        <f t="shared" si="29"/>
        <v>2.6760535459775924E-2</v>
      </c>
      <c r="AL141" s="22">
        <f t="shared" si="29"/>
        <v>2.6766203431131164E-2</v>
      </c>
      <c r="AM141" s="22">
        <f t="shared" si="29"/>
        <v>2.675334011268881E-2</v>
      </c>
      <c r="AN141" s="22">
        <f t="shared" si="29"/>
        <v>2.694535805594156E-2</v>
      </c>
      <c r="AO141" s="22">
        <f t="shared" si="29"/>
        <v>2.7085830082425877E-2</v>
      </c>
      <c r="AP141" s="22">
        <f t="shared" si="29"/>
        <v>2.7218197229606188E-2</v>
      </c>
      <c r="AQ141" s="22">
        <f t="shared" si="29"/>
        <v>2.7352587206499832E-2</v>
      </c>
      <c r="AR141" s="22">
        <f t="shared" si="29"/>
        <v>2.7491914385096024E-2</v>
      </c>
      <c r="AS141" s="22">
        <f t="shared" si="29"/>
        <v>2.7710256058660829E-2</v>
      </c>
      <c r="AT141" s="22">
        <f t="shared" si="29"/>
        <v>2.7648758084134469E-2</v>
      </c>
      <c r="AU141" s="22">
        <f t="shared" si="29"/>
        <v>2.7556553714589756E-2</v>
      </c>
      <c r="AV141" s="22">
        <f t="shared" si="29"/>
        <v>2.7461054996500443E-2</v>
      </c>
      <c r="AW141" s="22">
        <f t="shared" si="29"/>
        <v>2.7350835179335974E-2</v>
      </c>
      <c r="AY141" s="79"/>
    </row>
    <row r="142" spans="1:51" x14ac:dyDescent="0.2">
      <c r="A142" s="95" t="str">
        <f t="shared" si="0"/>
        <v>FS MM Leaching</v>
      </c>
      <c r="B142" s="95" t="s">
        <v>1004</v>
      </c>
      <c r="C142" s="95" t="s">
        <v>1333</v>
      </c>
      <c r="D142" t="s">
        <v>369</v>
      </c>
      <c r="E142" t="s">
        <v>64</v>
      </c>
      <c r="F142" t="s">
        <v>63</v>
      </c>
      <c r="G142" t="s">
        <v>1160</v>
      </c>
      <c r="H142" t="s">
        <v>1310</v>
      </c>
      <c r="I142" t="s">
        <v>139</v>
      </c>
      <c r="J142" t="s">
        <v>287</v>
      </c>
      <c r="K142" s="22">
        <f t="shared" si="26"/>
        <v>4.0226293185258936E-2</v>
      </c>
      <c r="L142" s="22">
        <f t="shared" si="29"/>
        <v>3.9877423391049029E-2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3.1882919944479234E-2</v>
      </c>
      <c r="T142" s="22">
        <f t="shared" si="30"/>
        <v>3.2492776435665373E-2</v>
      </c>
      <c r="U142" s="22">
        <f t="shared" si="30"/>
        <v>3.2818843389901528E-2</v>
      </c>
      <c r="V142" s="22">
        <f t="shared" si="30"/>
        <v>3.3069846715808329E-2</v>
      </c>
      <c r="W142" s="22">
        <f t="shared" si="30"/>
        <v>3.3433009534935908E-2</v>
      </c>
      <c r="X142" s="22">
        <f t="shared" si="30"/>
        <v>3.372773555582987E-2</v>
      </c>
      <c r="Y142" s="22">
        <f t="shared" si="30"/>
        <v>3.3917732334151289E-2</v>
      </c>
      <c r="Z142" s="22">
        <f t="shared" si="30"/>
        <v>3.4065630609667365E-2</v>
      </c>
      <c r="AA142" s="22">
        <f t="shared" si="30"/>
        <v>3.4157295226903257E-2</v>
      </c>
      <c r="AB142" s="22">
        <f t="shared" si="30"/>
        <v>3.4428658521658995E-2</v>
      </c>
      <c r="AC142" s="22">
        <f t="shared" si="30"/>
        <v>3.4672819963249946E-2</v>
      </c>
      <c r="AD142" s="22">
        <f t="shared" si="30"/>
        <v>3.4685412895593133E-2</v>
      </c>
      <c r="AE142" s="22">
        <f t="shared" si="30"/>
        <v>3.4848978580994651E-2</v>
      </c>
      <c r="AF142" s="22">
        <f t="shared" si="30"/>
        <v>3.5065272718873365E-2</v>
      </c>
      <c r="AG142" s="22">
        <f t="shared" si="30"/>
        <v>3.542840886383946E-2</v>
      </c>
      <c r="AH142" s="22">
        <f t="shared" si="30"/>
        <v>3.5486407503583416E-2</v>
      </c>
      <c r="AI142" s="22">
        <f t="shared" si="30"/>
        <v>3.5480319326064061E-2</v>
      </c>
      <c r="AJ142" s="22">
        <f t="shared" si="30"/>
        <v>3.5533598239465607E-2</v>
      </c>
      <c r="AK142" s="22">
        <f t="shared" si="30"/>
        <v>3.5523764443021973E-2</v>
      </c>
      <c r="AL142" s="22">
        <f t="shared" si="30"/>
        <v>3.5531288495729951E-2</v>
      </c>
      <c r="AM142" s="22">
        <f t="shared" si="30"/>
        <v>3.5514212847337627E-2</v>
      </c>
      <c r="AN142" s="22">
        <f t="shared" si="30"/>
        <v>3.5769110593879244E-2</v>
      </c>
      <c r="AO142" s="22">
        <f t="shared" si="30"/>
        <v>3.5955582766200436E-2</v>
      </c>
      <c r="AP142" s="22">
        <f t="shared" si="30"/>
        <v>3.6131295967585977E-2</v>
      </c>
      <c r="AQ142" s="22">
        <f t="shared" si="30"/>
        <v>3.6309694411438075E-2</v>
      </c>
      <c r="AR142" s="22">
        <f t="shared" si="30"/>
        <v>3.6494646834396953E-2</v>
      </c>
      <c r="AS142" s="22">
        <f t="shared" si="30"/>
        <v>3.678448850036322E-2</v>
      </c>
      <c r="AT142" s="22">
        <f t="shared" si="30"/>
        <v>3.6702851884231939E-2</v>
      </c>
      <c r="AU142" s="22">
        <f t="shared" si="30"/>
        <v>3.6580453499892925E-2</v>
      </c>
      <c r="AV142" s="22">
        <f t="shared" si="30"/>
        <v>3.6453681972054293E-2</v>
      </c>
      <c r="AW142" s="22">
        <f t="shared" si="30"/>
        <v>3.6307368650791018E-2</v>
      </c>
      <c r="AY142" s="79"/>
    </row>
    <row r="143" spans="1:51" x14ac:dyDescent="0.2">
      <c r="A143" s="95" t="str">
        <f t="shared" si="0"/>
        <v>FS MM Leaching</v>
      </c>
      <c r="B143" s="95" t="s">
        <v>1004</v>
      </c>
      <c r="C143" s="95" t="s">
        <v>1333</v>
      </c>
      <c r="D143" t="s">
        <v>369</v>
      </c>
      <c r="E143" t="s">
        <v>64</v>
      </c>
      <c r="F143" t="s">
        <v>63</v>
      </c>
      <c r="G143" t="s">
        <v>1162</v>
      </c>
      <c r="H143" t="s">
        <v>1311</v>
      </c>
      <c r="I143" t="s">
        <v>139</v>
      </c>
      <c r="J143" t="s">
        <v>287</v>
      </c>
      <c r="K143" s="22">
        <f t="shared" si="26"/>
        <v>4.1968337096859203E-2</v>
      </c>
      <c r="L143" s="22">
        <f t="shared" si="30"/>
        <v>4.3383434779753476E-2</v>
      </c>
      <c r="M143" s="22">
        <f t="shared" si="30"/>
        <v>4.5063007666824861E-2</v>
      </c>
      <c r="N143" s="22">
        <f t="shared" si="30"/>
        <v>4.6315596244033502E-2</v>
      </c>
      <c r="O143" s="22">
        <f t="shared" si="30"/>
        <v>4.7281576900430208E-2</v>
      </c>
      <c r="P143" s="22">
        <f t="shared" si="30"/>
        <v>4.7947144057730852E-2</v>
      </c>
      <c r="Q143" s="22">
        <f t="shared" si="30"/>
        <v>4.8855920576585825E-2</v>
      </c>
      <c r="R143" s="22">
        <f t="shared" si="30"/>
        <v>4.9808583705724517E-2</v>
      </c>
      <c r="S143" s="22">
        <f t="shared" si="30"/>
        <v>4.5992827569741108E-2</v>
      </c>
      <c r="T143" s="22">
        <f t="shared" si="30"/>
        <v>4.8001865047769987E-2</v>
      </c>
      <c r="U143" s="22">
        <f t="shared" si="30"/>
        <v>4.9635626095010099E-2</v>
      </c>
      <c r="V143" s="22">
        <f t="shared" si="30"/>
        <v>5.1188596767602117E-2</v>
      </c>
      <c r="W143" s="22">
        <f t="shared" si="30"/>
        <v>5.2950508165481844E-2</v>
      </c>
      <c r="X143" s="22">
        <f t="shared" si="30"/>
        <v>5.4642195463321171E-2</v>
      </c>
      <c r="Y143" s="22">
        <f t="shared" si="30"/>
        <v>5.6197330304744171E-2</v>
      </c>
      <c r="Z143" s="22">
        <f t="shared" si="30"/>
        <v>5.7711583863191099E-2</v>
      </c>
      <c r="AA143" s="22">
        <f t="shared" si="30"/>
        <v>5.9156834222417472E-2</v>
      </c>
      <c r="AB143" s="22">
        <f t="shared" si="30"/>
        <v>6.0945336152729353E-2</v>
      </c>
      <c r="AC143" s="22">
        <f t="shared" si="30"/>
        <v>6.2724727985271067E-2</v>
      </c>
      <c r="AD143" s="22">
        <f t="shared" si="30"/>
        <v>6.4828386585152428E-2</v>
      </c>
      <c r="AE143" s="22">
        <f t="shared" si="30"/>
        <v>6.7298261230859621E-2</v>
      </c>
      <c r="AF143" s="22">
        <f t="shared" si="30"/>
        <v>6.9971651409000274E-2</v>
      </c>
      <c r="AG143" s="22">
        <f t="shared" si="30"/>
        <v>7.3058736585267875E-2</v>
      </c>
      <c r="AH143" s="22">
        <f t="shared" si="30"/>
        <v>7.563301385599043E-2</v>
      </c>
      <c r="AI143" s="22">
        <f t="shared" si="30"/>
        <v>7.8167775440571283E-2</v>
      </c>
      <c r="AJ143" s="22">
        <f t="shared" si="30"/>
        <v>8.0935873308178169E-2</v>
      </c>
      <c r="AK143" s="22">
        <f t="shared" si="30"/>
        <v>8.3668525365720503E-2</v>
      </c>
      <c r="AL143" s="22">
        <f t="shared" si="30"/>
        <v>8.6553364339565772E-2</v>
      </c>
      <c r="AM143" s="22">
        <f t="shared" si="30"/>
        <v>8.9495828472457392E-2</v>
      </c>
      <c r="AN143" s="22">
        <f t="shared" si="30"/>
        <v>9.2681440579714905E-2</v>
      </c>
      <c r="AO143" s="22">
        <f t="shared" si="30"/>
        <v>9.5802357584515191E-2</v>
      </c>
      <c r="AP143" s="22">
        <f t="shared" si="30"/>
        <v>9.9006841589941233E-2</v>
      </c>
      <c r="AQ143" s="22">
        <f t="shared" si="30"/>
        <v>0.10233590350911345</v>
      </c>
      <c r="AR143" s="22">
        <f t="shared" si="30"/>
        <v>0.10580733136333606</v>
      </c>
      <c r="AS143" s="22">
        <f t="shared" si="30"/>
        <v>0.10972241500262403</v>
      </c>
      <c r="AT143" s="22">
        <f t="shared" si="30"/>
        <v>0.11265304371652905</v>
      </c>
      <c r="AU143" s="22">
        <f t="shared" si="30"/>
        <v>0.11555235138269004</v>
      </c>
      <c r="AV143" s="22">
        <f t="shared" si="30"/>
        <v>0.11853253196869915</v>
      </c>
      <c r="AW143" s="22">
        <f t="shared" si="30"/>
        <v>0.12154670327230575</v>
      </c>
      <c r="AY143" s="79"/>
    </row>
    <row r="144" spans="1:51" x14ac:dyDescent="0.2">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4.4831371338441527E-3</v>
      </c>
      <c r="T144" s="22">
        <f t="shared" si="30"/>
        <v>4.4899645877902617E-3</v>
      </c>
      <c r="U144" s="22">
        <f t="shared" si="30"/>
        <v>4.4976812446803844E-3</v>
      </c>
      <c r="V144" s="22">
        <f t="shared" si="30"/>
        <v>4.5063863158882386E-3</v>
      </c>
      <c r="W144" s="22">
        <f t="shared" si="30"/>
        <v>4.5161788811117947E-3</v>
      </c>
      <c r="X144" s="22">
        <f t="shared" si="30"/>
        <v>4.5268547446196596E-3</v>
      </c>
      <c r="Y144" s="22">
        <f t="shared" si="30"/>
        <v>4.5333477172681842E-3</v>
      </c>
      <c r="Z144" s="22">
        <f t="shared" si="30"/>
        <v>4.5405999943124754E-3</v>
      </c>
      <c r="AA144" s="22">
        <f t="shared" si="30"/>
        <v>4.5485583758995193E-3</v>
      </c>
      <c r="AB144" s="22">
        <f t="shared" si="30"/>
        <v>4.5574030453961476E-3</v>
      </c>
      <c r="AC144" s="22">
        <f t="shared" si="30"/>
        <v>4.5669166889101189E-3</v>
      </c>
      <c r="AD144" s="22">
        <f t="shared" si="30"/>
        <v>4.5731331974710569E-3</v>
      </c>
      <c r="AE144" s="22">
        <f t="shared" si="30"/>
        <v>4.5801112561138658E-3</v>
      </c>
      <c r="AF144" s="22">
        <f t="shared" si="30"/>
        <v>4.5877393890876687E-3</v>
      </c>
      <c r="AG144" s="22">
        <f t="shared" si="30"/>
        <v>4.5960968162402412E-3</v>
      </c>
      <c r="AH144" s="22">
        <f t="shared" si="30"/>
        <v>4.60470160066862E-3</v>
      </c>
      <c r="AI144" s="22">
        <f t="shared" si="30"/>
        <v>4.6099752593178585E-3</v>
      </c>
      <c r="AJ144" s="22">
        <f t="shared" si="30"/>
        <v>4.6158010652929838E-3</v>
      </c>
      <c r="AK144" s="22">
        <f t="shared" si="30"/>
        <v>4.6220305138924079E-3</v>
      </c>
      <c r="AL144" s="22">
        <f t="shared" si="30"/>
        <v>4.6287377180545888E-3</v>
      </c>
      <c r="AM144" s="22">
        <f t="shared" si="30"/>
        <v>4.635862068128902E-3</v>
      </c>
      <c r="AN144" s="22">
        <f t="shared" si="30"/>
        <v>4.6399936101115553E-3</v>
      </c>
      <c r="AO144" s="22">
        <f t="shared" si="30"/>
        <v>4.6444376176989054E-3</v>
      </c>
      <c r="AP144" s="22">
        <f t="shared" si="30"/>
        <v>4.6492508857149065E-3</v>
      </c>
      <c r="AQ144" s="22">
        <f t="shared" si="30"/>
        <v>4.6544400588078442E-3</v>
      </c>
      <c r="AR144" s="22">
        <f t="shared" si="30"/>
        <v>4.6600015094737631E-3</v>
      </c>
      <c r="AS144" s="22">
        <f t="shared" si="30"/>
        <v>4.6624883129741824E-3</v>
      </c>
      <c r="AT144" s="22">
        <f t="shared" si="30"/>
        <v>4.6648029335130551E-3</v>
      </c>
      <c r="AU144" s="22">
        <f t="shared" si="30"/>
        <v>4.6673689256300846E-3</v>
      </c>
      <c r="AV144" s="22">
        <f t="shared" si="30"/>
        <v>4.6702274196843731E-3</v>
      </c>
      <c r="AW144" s="22">
        <f t="shared" si="30"/>
        <v>4.6733489894838004E-3</v>
      </c>
      <c r="AY144" s="79"/>
    </row>
    <row r="145" spans="1:51" x14ac:dyDescent="0.2">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3.7291632343986812E-3</v>
      </c>
      <c r="T145" s="22">
        <f t="shared" si="30"/>
        <v>3.7348424472980965E-3</v>
      </c>
      <c r="U145" s="22">
        <f t="shared" si="30"/>
        <v>3.7412613170109757E-3</v>
      </c>
      <c r="V145" s="22">
        <f t="shared" si="30"/>
        <v>3.7485023695444986E-3</v>
      </c>
      <c r="W145" s="22">
        <f t="shared" si="30"/>
        <v>3.7566480213753234E-3</v>
      </c>
      <c r="X145" s="22">
        <f t="shared" si="30"/>
        <v>3.7655284184054385E-3</v>
      </c>
      <c r="Y145" s="22">
        <f t="shared" si="30"/>
        <v>3.770929403064159E-3</v>
      </c>
      <c r="Z145" s="22">
        <f t="shared" si="30"/>
        <v>3.7769619923229323E-3</v>
      </c>
      <c r="AA145" s="22">
        <f t="shared" si="30"/>
        <v>3.7835819334787997E-3</v>
      </c>
      <c r="AB145" s="22">
        <f t="shared" si="30"/>
        <v>3.7909391066641191E-3</v>
      </c>
      <c r="AC145" s="22">
        <f t="shared" si="30"/>
        <v>3.7988527458320239E-3</v>
      </c>
      <c r="AD145" s="22">
        <f t="shared" si="30"/>
        <v>3.8040237621270109E-3</v>
      </c>
      <c r="AE145" s="22">
        <f t="shared" si="30"/>
        <v>3.8098282510287203E-3</v>
      </c>
      <c r="AF145" s="22">
        <f t="shared" si="30"/>
        <v>3.8161734847754797E-3</v>
      </c>
      <c r="AG145" s="22">
        <f t="shared" si="30"/>
        <v>3.823125360022894E-3</v>
      </c>
      <c r="AH145" s="22">
        <f t="shared" si="30"/>
        <v>3.8302829920051928E-3</v>
      </c>
      <c r="AI145" s="22">
        <f t="shared" si="30"/>
        <v>3.834669726864819E-3</v>
      </c>
      <c r="AJ145" s="22">
        <f t="shared" si="30"/>
        <v>3.8395157489258354E-3</v>
      </c>
      <c r="AK145" s="22">
        <f t="shared" si="30"/>
        <v>3.8446975290039364E-3</v>
      </c>
      <c r="AL145" s="22">
        <f t="shared" si="30"/>
        <v>3.8502767157253038E-3</v>
      </c>
      <c r="AM145" s="22">
        <f t="shared" si="30"/>
        <v>3.8562028927689521E-3</v>
      </c>
      <c r="AN145" s="22">
        <f t="shared" si="30"/>
        <v>3.8596395921165526E-3</v>
      </c>
      <c r="AO145" s="22">
        <f t="shared" si="30"/>
        <v>3.8633362066106815E-3</v>
      </c>
      <c r="AP145" s="22">
        <f t="shared" si="30"/>
        <v>3.8673399793231139E-3</v>
      </c>
      <c r="AQ145" s="22">
        <f t="shared" si="30"/>
        <v>3.8716564374053405E-3</v>
      </c>
      <c r="AR145" s="22">
        <f t="shared" si="30"/>
        <v>3.8762825634269383E-3</v>
      </c>
      <c r="AS145" s="22">
        <f t="shared" si="30"/>
        <v>3.8783511363721934E-3</v>
      </c>
      <c r="AT145" s="22">
        <f t="shared" si="30"/>
        <v>3.8802764840823911E-3</v>
      </c>
      <c r="AU145" s="22">
        <f t="shared" si="30"/>
        <v>3.8824109277045466E-3</v>
      </c>
      <c r="AV145" s="22">
        <f t="shared" si="30"/>
        <v>3.8847886802949221E-3</v>
      </c>
      <c r="AW145" s="22">
        <f t="shared" si="30"/>
        <v>3.8873852645577018E-3</v>
      </c>
      <c r="AY145" s="79"/>
    </row>
    <row r="146" spans="1:51" x14ac:dyDescent="0.2">
      <c r="A146" s="95" t="str">
        <f t="shared" si="0"/>
        <v>FS MM Leaching</v>
      </c>
      <c r="B146" s="95" t="s">
        <v>1004</v>
      </c>
      <c r="C146" s="95" t="s">
        <v>1333</v>
      </c>
      <c r="D146" t="s">
        <v>369</v>
      </c>
      <c r="E146" t="s">
        <v>64</v>
      </c>
      <c r="F146" t="s">
        <v>63</v>
      </c>
      <c r="G146" t="s">
        <v>1168</v>
      </c>
      <c r="H146" t="s">
        <v>1314</v>
      </c>
      <c r="I146" t="s">
        <v>139</v>
      </c>
      <c r="J146" t="s">
        <v>287</v>
      </c>
      <c r="K146" s="22">
        <f t="shared" si="26"/>
        <v>5.4322987485311551E-4</v>
      </c>
      <c r="L146" s="22">
        <f t="shared" si="30"/>
        <v>5.4464201031358182E-4</v>
      </c>
      <c r="M146" s="22">
        <f t="shared" si="30"/>
        <v>5.4659000127818655E-4</v>
      </c>
      <c r="N146" s="22">
        <f t="shared" si="30"/>
        <v>5.4896316873921192E-4</v>
      </c>
      <c r="O146" s="22">
        <f t="shared" si="30"/>
        <v>5.5175812793145673E-4</v>
      </c>
      <c r="P146" s="22">
        <f t="shared" si="30"/>
        <v>5.5495786726734487E-4</v>
      </c>
      <c r="Q146" s="22">
        <f t="shared" si="30"/>
        <v>5.5840147541839707E-4</v>
      </c>
      <c r="R146" s="22">
        <f t="shared" si="30"/>
        <v>5.620753208024884E-4</v>
      </c>
      <c r="S146" s="22">
        <f t="shared" si="30"/>
        <v>5.6545048661351359E-4</v>
      </c>
      <c r="T146" s="22">
        <f t="shared" si="30"/>
        <v>5.6709357361271675E-4</v>
      </c>
      <c r="U146" s="22">
        <f t="shared" si="30"/>
        <v>5.688596151711496E-4</v>
      </c>
      <c r="V146" s="22">
        <f t="shared" si="30"/>
        <v>5.7077020841237065E-4</v>
      </c>
      <c r="W146" s="22">
        <f t="shared" si="30"/>
        <v>5.7284633112627235E-4</v>
      </c>
      <c r="X146" s="22">
        <f t="shared" si="30"/>
        <v>5.7505104202951998E-4</v>
      </c>
      <c r="Y146" s="22">
        <f t="shared" si="30"/>
        <v>5.7642933432393154E-4</v>
      </c>
      <c r="Z146" s="22">
        <f t="shared" si="30"/>
        <v>5.7792028160119863E-4</v>
      </c>
      <c r="AA146" s="22">
        <f t="shared" si="30"/>
        <v>5.7951511495132196E-4</v>
      </c>
      <c r="AB146" s="22">
        <f t="shared" si="30"/>
        <v>5.8124875364710992E-4</v>
      </c>
      <c r="AC146" s="22">
        <f t="shared" si="30"/>
        <v>5.8308126155427384E-4</v>
      </c>
      <c r="AD146" s="22">
        <f t="shared" si="30"/>
        <v>5.8427258810919626E-4</v>
      </c>
      <c r="AE146" s="22">
        <f t="shared" si="30"/>
        <v>5.8558467766040652E-4</v>
      </c>
      <c r="AF146" s="22">
        <f t="shared" si="30"/>
        <v>5.8699724042408691E-4</v>
      </c>
      <c r="AG146" s="22">
        <f t="shared" si="30"/>
        <v>5.8852547780245982E-4</v>
      </c>
      <c r="AH146" s="22">
        <f t="shared" si="30"/>
        <v>5.9008039799106414E-4</v>
      </c>
      <c r="AI146" s="22">
        <f t="shared" si="30"/>
        <v>5.9100081451309786E-4</v>
      </c>
      <c r="AJ146" s="22">
        <f t="shared" si="30"/>
        <v>5.9200813916272929E-4</v>
      </c>
      <c r="AK146" s="22">
        <f t="shared" si="30"/>
        <v>5.9307526025328071E-4</v>
      </c>
      <c r="AL146" s="22">
        <f t="shared" si="30"/>
        <v>5.942161722415414E-4</v>
      </c>
      <c r="AM146" s="22">
        <f t="shared" si="30"/>
        <v>5.9541998695626641E-4</v>
      </c>
      <c r="AN146" s="22">
        <f t="shared" si="30"/>
        <v>5.9606189392580344E-4</v>
      </c>
      <c r="AO146" s="22">
        <f t="shared" si="30"/>
        <v>5.9675021369894824E-4</v>
      </c>
      <c r="AP146" s="22">
        <f t="shared" si="30"/>
        <v>5.9749556471656829E-4</v>
      </c>
      <c r="AQ146" s="22">
        <f t="shared" si="30"/>
        <v>5.9829931979982535E-4</v>
      </c>
      <c r="AR146" s="22">
        <f t="shared" si="30"/>
        <v>5.9916094831137718E-4</v>
      </c>
      <c r="AS146" s="22">
        <f t="shared" si="30"/>
        <v>5.9945405400764929E-4</v>
      </c>
      <c r="AT146" s="22">
        <f t="shared" si="30"/>
        <v>5.9970848295436412E-4</v>
      </c>
      <c r="AU146" s="22">
        <f t="shared" si="30"/>
        <v>6.00001478883441E-4</v>
      </c>
      <c r="AV146" s="22">
        <f t="shared" si="30"/>
        <v>6.0034059567570894E-4</v>
      </c>
      <c r="AW146" s="22">
        <f t="shared" si="30"/>
        <v>6.0072058236705953E-4</v>
      </c>
      <c r="AY146" s="79"/>
    </row>
    <row r="147" spans="1:51" x14ac:dyDescent="0.2">
      <c r="A147" s="95" t="str">
        <f t="shared" si="0"/>
        <v>FS MM Leaching</v>
      </c>
      <c r="B147" s="95" t="s">
        <v>1004</v>
      </c>
      <c r="C147" s="95" t="s">
        <v>1333</v>
      </c>
      <c r="D147" t="s">
        <v>369</v>
      </c>
      <c r="E147" t="s">
        <v>64</v>
      </c>
      <c r="F147" t="s">
        <v>63</v>
      </c>
      <c r="G147" t="s">
        <v>1170</v>
      </c>
      <c r="H147" t="s">
        <v>1315</v>
      </c>
      <c r="I147" t="s">
        <v>139</v>
      </c>
      <c r="J147" t="s">
        <v>287</v>
      </c>
      <c r="K147" s="22">
        <f t="shared" si="26"/>
        <v>6.6992563985089938E-3</v>
      </c>
      <c r="L147" s="22">
        <f t="shared" si="30"/>
        <v>6.716671231449923E-3</v>
      </c>
      <c r="M147" s="22">
        <f t="shared" si="30"/>
        <v>6.7406943780734313E-3</v>
      </c>
      <c r="N147" s="22">
        <f t="shared" si="30"/>
        <v>6.769960915195136E-3</v>
      </c>
      <c r="O147" s="22">
        <f t="shared" si="30"/>
        <v>6.8044291009834836E-3</v>
      </c>
      <c r="P147" s="22">
        <f t="shared" si="30"/>
        <v>6.8438891439814974E-3</v>
      </c>
      <c r="Q147" s="22">
        <f t="shared" si="30"/>
        <v>6.8863566425632549E-3</v>
      </c>
      <c r="R147" s="22">
        <f t="shared" si="30"/>
        <v>6.9316634884048298E-3</v>
      </c>
      <c r="S147" s="22">
        <f t="shared" si="30"/>
        <v>6.973286937707302E-3</v>
      </c>
      <c r="T147" s="22">
        <f t="shared" si="30"/>
        <v>6.9935499269173423E-3</v>
      </c>
      <c r="U147" s="22">
        <f t="shared" si="30"/>
        <v>7.0153292247027649E-3</v>
      </c>
      <c r="V147" s="22">
        <f t="shared" si="30"/>
        <v>7.0388911725791786E-3</v>
      </c>
      <c r="W147" s="22">
        <f t="shared" si="30"/>
        <v>7.0644944742734297E-3</v>
      </c>
      <c r="X147" s="22">
        <f t="shared" si="30"/>
        <v>7.0916835599794349E-3</v>
      </c>
      <c r="Y147" s="22">
        <f t="shared" si="30"/>
        <v>7.1086810299268487E-3</v>
      </c>
      <c r="Z147" s="22">
        <f t="shared" si="30"/>
        <v>7.1270677913135832E-3</v>
      </c>
      <c r="AA147" s="22">
        <f t="shared" si="30"/>
        <v>7.1467357035915266E-3</v>
      </c>
      <c r="AB147" s="22">
        <f t="shared" si="30"/>
        <v>7.1681154005910717E-3</v>
      </c>
      <c r="AC147" s="22">
        <f t="shared" si="30"/>
        <v>7.1907143792015659E-3</v>
      </c>
      <c r="AD147" s="22">
        <f t="shared" si="30"/>
        <v>7.2054061375440787E-3</v>
      </c>
      <c r="AE147" s="22">
        <f t="shared" si="30"/>
        <v>7.2215871775204617E-3</v>
      </c>
      <c r="AF147" s="22">
        <f t="shared" si="30"/>
        <v>7.2390072800791469E-3</v>
      </c>
      <c r="AG147" s="22">
        <f t="shared" si="30"/>
        <v>7.2578539129862047E-3</v>
      </c>
      <c r="AH147" s="22">
        <f t="shared" si="30"/>
        <v>7.277029605459848E-3</v>
      </c>
      <c r="AI147" s="22">
        <f t="shared" si="30"/>
        <v>7.2883804286747794E-3</v>
      </c>
      <c r="AJ147" s="22">
        <f t="shared" si="30"/>
        <v>7.3008030262100192E-3</v>
      </c>
      <c r="AK147" s="22">
        <f t="shared" si="30"/>
        <v>7.3139630494797169E-3</v>
      </c>
      <c r="AL147" s="22">
        <f t="shared" si="30"/>
        <v>7.3280330818754061E-3</v>
      </c>
      <c r="AM147" s="22">
        <f t="shared" si="30"/>
        <v>7.3428788475513491E-3</v>
      </c>
      <c r="AN147" s="22">
        <f t="shared" si="30"/>
        <v>7.3507950163262765E-3</v>
      </c>
      <c r="AO147" s="22">
        <f t="shared" si="30"/>
        <v>7.3592835602335977E-3</v>
      </c>
      <c r="AP147" s="22">
        <f t="shared" si="30"/>
        <v>7.3684754287317664E-3</v>
      </c>
      <c r="AQ147" s="22">
        <f t="shared" si="30"/>
        <v>7.3783875518192519E-3</v>
      </c>
      <c r="AR147" s="22">
        <f t="shared" si="30"/>
        <v>7.3890133855341444E-3</v>
      </c>
      <c r="AS147" s="22">
        <f t="shared" si="30"/>
        <v>7.3926280435308569E-3</v>
      </c>
      <c r="AT147" s="22">
        <f t="shared" si="30"/>
        <v>7.3957657294869287E-3</v>
      </c>
      <c r="AU147" s="22">
        <f t="shared" si="30"/>
        <v>7.3993790338051698E-3</v>
      </c>
      <c r="AV147" s="22">
        <f t="shared" si="30"/>
        <v>7.4035611129683564E-3</v>
      </c>
      <c r="AW147" s="22">
        <f t="shared" si="30"/>
        <v>7.4082472106798752E-3</v>
      </c>
      <c r="AY147" s="79"/>
    </row>
    <row r="148" spans="1:51" x14ac:dyDescent="0.2">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2">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2">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2.6729002214214585E-2</v>
      </c>
      <c r="M150" s="22">
        <f t="shared" si="31"/>
        <v>2.6740992333189322E-2</v>
      </c>
      <c r="N150" s="22">
        <f t="shared" si="31"/>
        <v>2.6495489531984443E-2</v>
      </c>
      <c r="O150" s="22">
        <f t="shared" si="31"/>
        <v>2.609452683304702E-2</v>
      </c>
      <c r="P150" s="22">
        <f t="shared" si="31"/>
        <v>2.5544514050244028E-2</v>
      </c>
      <c r="Q150" s="22">
        <f t="shared" si="31"/>
        <v>2.5145143775072754E-2</v>
      </c>
      <c r="R150" s="22">
        <f t="shared" si="31"/>
        <v>2.4781112413324518E-2</v>
      </c>
      <c r="S150" s="22">
        <f t="shared" si="31"/>
        <v>2.20798204460615E-2</v>
      </c>
      <c r="T150" s="22">
        <f t="shared" si="31"/>
        <v>2.2424557938008405E-2</v>
      </c>
      <c r="U150" s="22">
        <f t="shared" si="31"/>
        <v>2.2570971116616413E-2</v>
      </c>
      <c r="V150" s="22">
        <f t="shared" si="31"/>
        <v>2.2667395166558576E-2</v>
      </c>
      <c r="W150" s="22">
        <f t="shared" si="31"/>
        <v>2.284594133514007E-2</v>
      </c>
      <c r="X150" s="22">
        <f t="shared" si="31"/>
        <v>2.2978923721971391E-2</v>
      </c>
      <c r="Y150" s="22">
        <f t="shared" si="31"/>
        <v>2.3048677917067804E-2</v>
      </c>
      <c r="Z150" s="22">
        <f t="shared" si="31"/>
        <v>2.3091415921174294E-2</v>
      </c>
      <c r="AA150" s="22">
        <f t="shared" si="31"/>
        <v>2.3097213386295078E-2</v>
      </c>
      <c r="AB150" s="22">
        <f t="shared" si="31"/>
        <v>2.323133845353377E-2</v>
      </c>
      <c r="AC150" s="22">
        <f t="shared" si="31"/>
        <v>2.3348495871952417E-2</v>
      </c>
      <c r="AD150" s="22">
        <f t="shared" si="31"/>
        <v>2.3517064058520994E-2</v>
      </c>
      <c r="AE150" s="22">
        <f t="shared" si="31"/>
        <v>2.3801807583193908E-2</v>
      </c>
      <c r="AF150" s="22">
        <f t="shared" si="31"/>
        <v>2.4135258091248658E-2</v>
      </c>
      <c r="AG150" s="22">
        <f t="shared" si="31"/>
        <v>2.4586723078799614E-2</v>
      </c>
      <c r="AH150" s="22">
        <f t="shared" si="31"/>
        <v>2.483044349217995E-2</v>
      </c>
      <c r="AI150" s="22">
        <f t="shared" si="31"/>
        <v>2.5043308594524263E-2</v>
      </c>
      <c r="AJ150" s="22">
        <f t="shared" si="31"/>
        <v>2.531081903004264E-2</v>
      </c>
      <c r="AK150" s="22">
        <f t="shared" si="31"/>
        <v>2.5543075681886771E-2</v>
      </c>
      <c r="AL150" s="22">
        <f t="shared" si="31"/>
        <v>2.5800065264390357E-2</v>
      </c>
      <c r="AM150" s="22">
        <f t="shared" si="31"/>
        <v>2.6050738429193292E-2</v>
      </c>
      <c r="AN150" s="22">
        <f t="shared" si="31"/>
        <v>2.6388228624982798E-2</v>
      </c>
      <c r="AO150" s="22">
        <f t="shared" si="31"/>
        <v>2.6681293830850793E-2</v>
      </c>
      <c r="AP150" s="22">
        <f t="shared" si="31"/>
        <v>2.6974098587187682E-2</v>
      </c>
      <c r="AQ150" s="22">
        <f t="shared" si="31"/>
        <v>2.7277302536496094E-2</v>
      </c>
      <c r="AR150" s="22">
        <f t="shared" si="31"/>
        <v>2.759431398689733E-2</v>
      </c>
      <c r="AS150" s="22">
        <f t="shared" si="31"/>
        <v>2.800744241344803E-2</v>
      </c>
      <c r="AT150" s="22">
        <f t="shared" si="31"/>
        <v>2.8135384789660874E-2</v>
      </c>
      <c r="AU150" s="22">
        <f t="shared" si="31"/>
        <v>2.8237574251430975E-2</v>
      </c>
      <c r="AV150" s="22">
        <f t="shared" si="31"/>
        <v>2.8342961193356213E-2</v>
      </c>
      <c r="AW150" s="22">
        <f t="shared" si="31"/>
        <v>2.8439412611602398E-2</v>
      </c>
      <c r="AY150" s="79"/>
    </row>
    <row r="151" spans="1:51" x14ac:dyDescent="0.2">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3.9947810410006996E-3</v>
      </c>
      <c r="M151" s="22">
        <f t="shared" si="31"/>
        <v>3.9965730233416704E-3</v>
      </c>
      <c r="N151" s="22">
        <f t="shared" si="31"/>
        <v>3.9598814204188995E-3</v>
      </c>
      <c r="O151" s="22">
        <f t="shared" si="31"/>
        <v>3.8999555700251322E-3</v>
      </c>
      <c r="P151" s="22">
        <f t="shared" si="31"/>
        <v>3.8177534504158584E-3</v>
      </c>
      <c r="Q151" s="22">
        <f t="shared" si="31"/>
        <v>3.7580655955978051E-3</v>
      </c>
      <c r="R151" s="22">
        <f t="shared" si="31"/>
        <v>3.7036593154610876E-3</v>
      </c>
      <c r="S151" s="22">
        <f t="shared" si="31"/>
        <v>3.2999379250946686E-3</v>
      </c>
      <c r="T151" s="22">
        <f t="shared" si="31"/>
        <v>3.3514606413530125E-3</v>
      </c>
      <c r="U151" s="22">
        <f t="shared" si="31"/>
        <v>3.3733428120890697E-3</v>
      </c>
      <c r="V151" s="22">
        <f t="shared" si="31"/>
        <v>3.3877538613126231E-3</v>
      </c>
      <c r="W151" s="22">
        <f t="shared" si="31"/>
        <v>3.4144384656789365E-3</v>
      </c>
      <c r="X151" s="22">
        <f t="shared" si="31"/>
        <v>3.4343133384273955E-3</v>
      </c>
      <c r="Y151" s="22">
        <f t="shared" si="31"/>
        <v>3.4447384464755082E-3</v>
      </c>
      <c r="Z151" s="22">
        <f t="shared" si="31"/>
        <v>3.4511258517054724E-3</v>
      </c>
      <c r="AA151" s="22">
        <f t="shared" si="31"/>
        <v>3.4519923114245724E-3</v>
      </c>
      <c r="AB151" s="22">
        <f t="shared" si="31"/>
        <v>3.4720379633884583E-3</v>
      </c>
      <c r="AC151" s="22">
        <f t="shared" si="31"/>
        <v>3.4895477166579812E-3</v>
      </c>
      <c r="AD151" s="22">
        <f t="shared" si="31"/>
        <v>3.5147410624635305E-3</v>
      </c>
      <c r="AE151" s="22">
        <f t="shared" si="31"/>
        <v>3.5572973847981574E-3</v>
      </c>
      <c r="AF151" s="22">
        <f t="shared" si="31"/>
        <v>3.6071332057170833E-3</v>
      </c>
      <c r="AG151" s="22">
        <f t="shared" si="31"/>
        <v>3.6746068719052303E-3</v>
      </c>
      <c r="AH151" s="22">
        <f t="shared" si="31"/>
        <v>3.7110320881880462E-3</v>
      </c>
      <c r="AI151" s="22">
        <f t="shared" si="31"/>
        <v>3.7428458262513211E-3</v>
      </c>
      <c r="AJ151" s="22">
        <f t="shared" si="31"/>
        <v>3.7828265785261059E-3</v>
      </c>
      <c r="AK151" s="22">
        <f t="shared" si="31"/>
        <v>3.8175384791798387E-3</v>
      </c>
      <c r="AL151" s="22">
        <f t="shared" si="31"/>
        <v>3.8559468381485868E-3</v>
      </c>
      <c r="AM151" s="22">
        <f t="shared" si="31"/>
        <v>3.8934111773789473E-3</v>
      </c>
      <c r="AN151" s="22">
        <f t="shared" si="31"/>
        <v>3.9438507495282793E-3</v>
      </c>
      <c r="AO151" s="22">
        <f t="shared" si="31"/>
        <v>3.9876507881079406E-3</v>
      </c>
      <c r="AP151" s="22">
        <f t="shared" si="31"/>
        <v>4.0314119012222708E-3</v>
      </c>
      <c r="AQ151" s="22">
        <f t="shared" si="31"/>
        <v>4.0767272249499047E-3</v>
      </c>
      <c r="AR151" s="22">
        <f t="shared" si="31"/>
        <v>4.1241061477280058E-3</v>
      </c>
      <c r="AS151" s="22">
        <f t="shared" si="31"/>
        <v>4.1858502260387767E-3</v>
      </c>
      <c r="AT151" s="22">
        <f t="shared" si="31"/>
        <v>4.2049718443745261E-3</v>
      </c>
      <c r="AU151" s="22">
        <f t="shared" si="31"/>
        <v>4.2202445627946769E-3</v>
      </c>
      <c r="AV151" s="22">
        <f t="shared" si="31"/>
        <v>4.2359951603739652E-3</v>
      </c>
      <c r="AW151" s="22">
        <f t="shared" si="31"/>
        <v>4.2504102999253611E-3</v>
      </c>
      <c r="AY151" s="79"/>
    </row>
    <row r="152" spans="1:51" x14ac:dyDescent="0.2">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1.7066731126843742E-2</v>
      </c>
      <c r="M152" s="22">
        <f t="shared" si="31"/>
        <v>1.7464259263446445E-2</v>
      </c>
      <c r="N152" s="22">
        <f t="shared" si="31"/>
        <v>1.77694513935726E-2</v>
      </c>
      <c r="O152" s="22">
        <f t="shared" si="31"/>
        <v>1.8014444056791572E-2</v>
      </c>
      <c r="P152" s="22">
        <f t="shared" si="31"/>
        <v>1.8197780265539365E-2</v>
      </c>
      <c r="Q152" s="22">
        <f t="shared" si="31"/>
        <v>1.8432867891885713E-2</v>
      </c>
      <c r="R152" s="22">
        <f t="shared" si="31"/>
        <v>1.8677293946611207E-2</v>
      </c>
      <c r="S152" s="22">
        <f t="shared" si="31"/>
        <v>1.7930195532315427E-2</v>
      </c>
      <c r="T152" s="22">
        <f t="shared" si="31"/>
        <v>1.8405757792115097E-2</v>
      </c>
      <c r="U152" s="22">
        <f t="shared" si="31"/>
        <v>1.880256719318036E-2</v>
      </c>
      <c r="V152" s="22">
        <f t="shared" si="31"/>
        <v>1.9182022263661121E-2</v>
      </c>
      <c r="W152" s="22">
        <f t="shared" si="31"/>
        <v>1.9603893406791358E-2</v>
      </c>
      <c r="X152" s="22">
        <f t="shared" si="31"/>
        <v>2.0010576837223248E-2</v>
      </c>
      <c r="Y152" s="22">
        <f t="shared" si="31"/>
        <v>2.0375728845723119E-2</v>
      </c>
      <c r="Z152" s="22">
        <f t="shared" si="31"/>
        <v>2.0731756448222814E-2</v>
      </c>
      <c r="AA152" s="22">
        <f t="shared" si="31"/>
        <v>2.1073019561660463E-2</v>
      </c>
      <c r="AB152" s="22">
        <f t="shared" si="31"/>
        <v>2.148336106919314E-2</v>
      </c>
      <c r="AC152" s="22">
        <f t="shared" si="31"/>
        <v>2.1890889267126682E-2</v>
      </c>
      <c r="AD152" s="22">
        <f t="shared" si="31"/>
        <v>2.231803440740647E-2</v>
      </c>
      <c r="AE152" s="22">
        <f t="shared" si="31"/>
        <v>2.2815454137105083E-2</v>
      </c>
      <c r="AF152" s="22">
        <f t="shared" si="31"/>
        <v>2.3349632701496571E-2</v>
      </c>
      <c r="AG152" s="22">
        <f t="shared" si="31"/>
        <v>2.396171160946152E-2</v>
      </c>
      <c r="AH152" s="22">
        <f t="shared" si="31"/>
        <v>2.4467658584898602E-2</v>
      </c>
      <c r="AI152" s="22">
        <f t="shared" si="31"/>
        <v>2.4951748693606203E-2</v>
      </c>
      <c r="AJ152" s="22">
        <f t="shared" si="31"/>
        <v>2.5477604150305377E-2</v>
      </c>
      <c r="AK152" s="22">
        <f t="shared" si="31"/>
        <v>2.5992359314301834E-2</v>
      </c>
      <c r="AL152" s="22">
        <f t="shared" si="31"/>
        <v>2.6532480091102609E-2</v>
      </c>
      <c r="AM152" s="22">
        <f t="shared" si="31"/>
        <v>2.7079400048144214E-2</v>
      </c>
      <c r="AN152" s="22">
        <f t="shared" si="31"/>
        <v>2.7680885364723965E-2</v>
      </c>
      <c r="AO152" s="22">
        <f t="shared" si="31"/>
        <v>2.8266293672037732E-2</v>
      </c>
      <c r="AP152" s="22">
        <f t="shared" si="31"/>
        <v>2.886402430987451E-2</v>
      </c>
      <c r="AQ152" s="22">
        <f t="shared" si="31"/>
        <v>2.9481723037787178E-2</v>
      </c>
      <c r="AR152" s="22">
        <f t="shared" si="31"/>
        <v>3.0122536424733722E-2</v>
      </c>
      <c r="AS152" s="22">
        <f t="shared" si="31"/>
        <v>3.0832887052217536E-2</v>
      </c>
      <c r="AT152" s="22">
        <f t="shared" si="31"/>
        <v>3.1354014072341549E-2</v>
      </c>
      <c r="AU152" s="22">
        <f t="shared" si="31"/>
        <v>3.1866079427096267E-2</v>
      </c>
      <c r="AV152" s="22">
        <f t="shared" si="31"/>
        <v>3.2390073533933091E-2</v>
      </c>
      <c r="AW152" s="22">
        <f t="shared" si="31"/>
        <v>3.2917174163896501E-2</v>
      </c>
      <c r="AY152" s="79"/>
    </row>
    <row r="153" spans="1:51" x14ac:dyDescent="0.2">
      <c r="A153" s="95" t="str">
        <f t="shared" si="0"/>
        <v>FS MM Leaching</v>
      </c>
      <c r="B153" s="95" t="s">
        <v>1004</v>
      </c>
      <c r="C153" s="95" t="s">
        <v>1333</v>
      </c>
      <c r="D153" t="s">
        <v>369</v>
      </c>
      <c r="E153" t="s">
        <v>64</v>
      </c>
      <c r="F153" t="s">
        <v>63</v>
      </c>
      <c r="G153" t="s">
        <v>1182</v>
      </c>
      <c r="H153" t="s">
        <v>1321</v>
      </c>
      <c r="I153" t="s">
        <v>139</v>
      </c>
      <c r="J153" t="s">
        <v>287</v>
      </c>
      <c r="K153" s="22">
        <f t="shared" si="26"/>
        <v>7.758579791322931E-2</v>
      </c>
      <c r="L153" s="22">
        <f t="shared" si="31"/>
        <v>7.860746419754247E-2</v>
      </c>
      <c r="M153" s="22">
        <f t="shared" si="31"/>
        <v>8.0248553313821205E-2</v>
      </c>
      <c r="N153" s="22">
        <f t="shared" si="31"/>
        <v>8.0719757945382262E-2</v>
      </c>
      <c r="O153" s="22">
        <f t="shared" si="31"/>
        <v>8.0430818839717741E-2</v>
      </c>
      <c r="P153" s="22">
        <f t="shared" si="31"/>
        <v>7.938481013134728E-2</v>
      </c>
      <c r="Q153" s="22">
        <f t="shared" si="31"/>
        <v>7.8944464359385597E-2</v>
      </c>
      <c r="R153" s="22">
        <f t="shared" si="31"/>
        <v>7.8604018955287305E-2</v>
      </c>
      <c r="S153" s="22">
        <f t="shared" si="31"/>
        <v>6.7197980387573103E-2</v>
      </c>
      <c r="T153" s="22">
        <f t="shared" si="31"/>
        <v>7.0159754352377118E-2</v>
      </c>
      <c r="U153" s="22">
        <f t="shared" si="31"/>
        <v>7.2200774862602818E-2</v>
      </c>
      <c r="V153" s="22">
        <f t="shared" si="31"/>
        <v>7.4012137517044677E-2</v>
      </c>
      <c r="W153" s="22">
        <f t="shared" si="31"/>
        <v>7.624234611790702E-2</v>
      </c>
      <c r="X153" s="22">
        <f t="shared" si="31"/>
        <v>7.8266654922264395E-2</v>
      </c>
      <c r="Y153" s="22">
        <f t="shared" si="31"/>
        <v>8.0053392548698518E-2</v>
      </c>
      <c r="Z153" s="22">
        <f t="shared" si="31"/>
        <v>8.1713475036097147E-2</v>
      </c>
      <c r="AA153" s="22">
        <f t="shared" si="31"/>
        <v>8.3191126783030381E-2</v>
      </c>
      <c r="AB153" s="22">
        <f t="shared" si="31"/>
        <v>8.5356141752823037E-2</v>
      </c>
      <c r="AC153" s="22">
        <f t="shared" si="31"/>
        <v>8.7456207764297841E-2</v>
      </c>
      <c r="AD153" s="22">
        <f t="shared" si="31"/>
        <v>8.9913243198059017E-2</v>
      </c>
      <c r="AE153" s="22">
        <f t="shared" si="31"/>
        <v>9.3044085798014903E-2</v>
      </c>
      <c r="AF153" s="22">
        <f t="shared" si="31"/>
        <v>9.6498642598308926E-2</v>
      </c>
      <c r="AG153" s="22">
        <f t="shared" si="31"/>
        <v>0.10068056666272467</v>
      </c>
      <c r="AH153" s="22">
        <f t="shared" si="31"/>
        <v>0.10375441633368165</v>
      </c>
      <c r="AI153" s="22">
        <f t="shared" si="31"/>
        <v>0.10675032554756632</v>
      </c>
      <c r="AJ153" s="22">
        <f t="shared" si="31"/>
        <v>0.11011636525105389</v>
      </c>
      <c r="AK153" s="22">
        <f t="shared" si="31"/>
        <v>0.11333263880247381</v>
      </c>
      <c r="AL153" s="22">
        <f t="shared" si="31"/>
        <v>0.11675404817895949</v>
      </c>
      <c r="AM153" s="22">
        <f t="shared" si="31"/>
        <v>0.12019911578989917</v>
      </c>
      <c r="AN153" s="22">
        <f t="shared" si="31"/>
        <v>0.12428786174834884</v>
      </c>
      <c r="AO153" s="22">
        <f t="shared" si="31"/>
        <v>0.12817821089097012</v>
      </c>
      <c r="AP153" s="22">
        <f t="shared" si="31"/>
        <v>0.13214154239239112</v>
      </c>
      <c r="AQ153" s="22">
        <f t="shared" si="31"/>
        <v>0.13624857972153667</v>
      </c>
      <c r="AR153" s="22">
        <f t="shared" si="31"/>
        <v>0.14052656296513075</v>
      </c>
      <c r="AS153" s="22">
        <f t="shared" si="31"/>
        <v>0.14556766568145355</v>
      </c>
      <c r="AT153" s="22">
        <f t="shared" si="31"/>
        <v>0.14881423347183564</v>
      </c>
      <c r="AU153" s="22">
        <f t="shared" si="31"/>
        <v>0.15194631854950416</v>
      </c>
      <c r="AV153" s="22">
        <f t="shared" si="31"/>
        <v>0.15515723544633972</v>
      </c>
      <c r="AW153" s="22">
        <f t="shared" si="31"/>
        <v>0.15836593511039121</v>
      </c>
      <c r="AY153" s="79"/>
    </row>
    <row r="154" spans="1:51" x14ac:dyDescent="0.2">
      <c r="A154" s="95"/>
      <c r="B154" s="95"/>
      <c r="C154" s="95"/>
    </row>
    <row r="155" spans="1:51" x14ac:dyDescent="0.2">
      <c r="A155" s="95"/>
      <c r="B155" s="95"/>
      <c r="C155" s="95"/>
    </row>
    <row r="156" spans="1:51" x14ac:dyDescent="0.2">
      <c r="A156" s="95"/>
      <c r="B156" s="95"/>
      <c r="C156" s="95"/>
    </row>
    <row r="157" spans="1:51" x14ac:dyDescent="0.2">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72.649957574793405</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73.83596289834658</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74.518042528471312</v>
      </c>
      <c r="S157" s="93">
        <f>IF('Net zero activities &amp; levers'!$C$6="Off",('Activity data'!AL5*EF!$H4)*kgtoGg,IF('Net zero activities &amp; levers'!$C$6="On",(('Net zero supporting data'!J40*EF!$H4)+('Net zero supporting data'!J38*'Net zero supporting data'!J42))*kgtoGg,"ERROR"))</f>
        <v>72.478094892813189</v>
      </c>
      <c r="T157" s="93">
        <f>IF('Net zero activities &amp; levers'!$C$6="Off",('Activity data'!AM5*EF!$H4)*kgtoGg,IF('Net zero activities &amp; levers'!$C$6="On",(('Net zero supporting data'!K40*EF!$H4)+('Net zero supporting data'!K38*'Net zero supporting data'!K42))*kgtoGg,"ERROR"))</f>
        <v>72.622748054972817</v>
      </c>
      <c r="U157" s="93">
        <f>IF('Net zero activities &amp; levers'!$C$6="Off",('Activity data'!AN5*EF!$H4)*kgtoGg,IF('Net zero activities &amp; levers'!$C$6="On",(('Net zero supporting data'!L40*EF!$H4)+('Net zero supporting data'!L38*'Net zero supporting data'!L42))*kgtoGg,"ERROR"))</f>
        <v>72.372774577264565</v>
      </c>
      <c r="V157" s="93">
        <f>IF('Net zero activities &amp; levers'!$C$6="Off",('Activity data'!AO5*EF!$H4)*kgtoGg,IF('Net zero activities &amp; levers'!$C$6="On",(('Net zero supporting data'!M40*EF!$H4)+('Net zero supporting data'!M38*'Net zero supporting data'!M42))*kgtoGg,"ERROR"))</f>
        <v>71.874987794655809</v>
      </c>
      <c r="W157" s="93">
        <f>IF('Net zero activities &amp; levers'!$C$6="Off",('Activity data'!AP5*EF!$H4)*kgtoGg,IF('Net zero activities &amp; levers'!$C$6="On",(('Net zero supporting data'!N40*EF!$H4)+('Net zero supporting data'!N38*'Net zero supporting data'!N42))*kgtoGg,"ERROR"))</f>
        <v>71.2624605686281</v>
      </c>
      <c r="X157" s="93">
        <f>IF('Net zero activities &amp; levers'!$C$6="Off",('Activity data'!AQ5*EF!$H4)*kgtoGg,IF('Net zero activities &amp; levers'!$C$6="On",(('Net zero supporting data'!O40*EF!$H4)+('Net zero supporting data'!O38*'Net zero supporting data'!O42))*kgtoGg,"ERROR"))</f>
        <v>70.404007350049255</v>
      </c>
      <c r="Y157" s="93">
        <f>IF('Net zero activities &amp; levers'!$C$6="Off",('Activity data'!AR5*EF!$H4)*kgtoGg,IF('Net zero activities &amp; levers'!$C$6="On",(('Net zero supporting data'!P40*EF!$H4)+('Net zero supporting data'!P38*'Net zero supporting data'!P42))*kgtoGg,"ERROR"))</f>
        <v>69.228055945128588</v>
      </c>
      <c r="Z157" s="93">
        <f>IF('Net zero activities &amp; levers'!$C$6="Off",('Activity data'!AS5*EF!$H4)*kgtoGg,IF('Net zero activities &amp; levers'!$C$6="On",(('Net zero supporting data'!Q40*EF!$H4)+('Net zero supporting data'!Q38*'Net zero supporting data'!Q42))*kgtoGg,"ERROR"))</f>
        <v>67.826999866919849</v>
      </c>
      <c r="AA157" s="93">
        <f>IF('Net zero activities &amp; levers'!$C$6="Off",('Activity data'!AT5*EF!$H4)*kgtoGg,IF('Net zero activities &amp; levers'!$C$6="On",(('Net zero supporting data'!R40*EF!$H4)+('Net zero supporting data'!R38*'Net zero supporting data'!R42))*kgtoGg,"ERROR"))</f>
        <v>66.192174852512068</v>
      </c>
      <c r="AB157" s="93">
        <f>IF('Net zero activities &amp; levers'!$C$6="Off",('Activity data'!AU5*EF!$H4)*kgtoGg,IF('Net zero activities &amp; levers'!$C$6="On",(('Net zero supporting data'!S40*EF!$H4)+('Net zero supporting data'!S38*'Net zero supporting data'!S42))*kgtoGg,"ERROR"))</f>
        <v>64.483896758946528</v>
      </c>
      <c r="AC157" s="93">
        <f>IF('Net zero activities &amp; levers'!$C$6="Off",('Activity data'!AV5*EF!$H4)*kgtoGg,IF('Net zero activities &amp; levers'!$C$6="On",(('Net zero supporting data'!T40*EF!$H4)+('Net zero supporting data'!T38*'Net zero supporting data'!T42))*kgtoGg,"ERROR"))</f>
        <v>62.558294173436238</v>
      </c>
      <c r="AD157" s="93">
        <f>IF('Net zero activities &amp; levers'!$C$6="Off",('Activity data'!AW5*EF!$H4)*kgtoGg,IF('Net zero activities &amp; levers'!$C$6="On",(('Net zero supporting data'!U40*EF!$H4)+('Net zero supporting data'!U38*'Net zero supporting data'!U42))*kgtoGg,"ERROR"))</f>
        <v>62.587638605218032</v>
      </c>
      <c r="AE157" s="93">
        <f>IF('Net zero activities &amp; levers'!$C$6="Off",('Activity data'!AX5*EF!$H4)*kgtoGg,IF('Net zero activities &amp; levers'!$C$6="On",(('Net zero supporting data'!V40*EF!$H4)+('Net zero supporting data'!V38*'Net zero supporting data'!V42))*kgtoGg,"ERROR"))</f>
        <v>62.732263693221554</v>
      </c>
      <c r="AF157" s="93">
        <f>IF('Net zero activities &amp; levers'!$C$6="Off",('Activity data'!AY5*EF!$H4)*kgtoGg,IF('Net zero activities &amp; levers'!$C$6="On",(('Net zero supporting data'!W40*EF!$H4)+('Net zero supporting data'!W38*'Net zero supporting data'!W42))*kgtoGg,"ERROR"))</f>
        <v>62.929775260344265</v>
      </c>
      <c r="AG157" s="93">
        <f>IF('Net zero activities &amp; levers'!$C$6="Off",('Activity data'!AZ5*EF!$H4)*kgtoGg,IF('Net zero activities &amp; levers'!$C$6="On",(('Net zero supporting data'!X40*EF!$H4)+('Net zero supporting data'!X38*'Net zero supporting data'!X42))*kgtoGg,"ERROR"))</f>
        <v>63.247454259812358</v>
      </c>
      <c r="AH157" s="93">
        <f>IF('Net zero activities &amp; levers'!$C$6="Off",('Activity data'!BA5*EF!$H4)*kgtoGg,IF('Net zero activities &amp; levers'!$C$6="On",(('Net zero supporting data'!Y40*EF!$H4)+('Net zero supporting data'!Y38*'Net zero supporting data'!Y42))*kgtoGg,"ERROR"))</f>
        <v>63.372257615073487</v>
      </c>
      <c r="AI157" s="93">
        <f>IF('Net zero activities &amp; levers'!$C$6="Off",('Activity data'!BB5*EF!$H4)*kgtoGg,IF('Net zero activities &amp; levers'!$C$6="On",(('Net zero supporting data'!Z40*EF!$H4)+('Net zero supporting data'!Z38*'Net zero supporting data'!Z42))*kgtoGg,"ERROR"))</f>
        <v>63.438484458360058</v>
      </c>
      <c r="AJ157" s="93">
        <f>IF('Net zero activities &amp; levers'!$C$6="Off",('Activity data'!BC5*EF!$H4)*kgtoGg,IF('Net zero activities &amp; levers'!$C$6="On",(('Net zero supporting data'!AA40*EF!$H4)+('Net zero supporting data'!AA38*'Net zero supporting data'!AA42))*kgtoGg,"ERROR"))</f>
        <v>63.563232507078077</v>
      </c>
      <c r="AK157" s="93">
        <f>IF('Net zero activities &amp; levers'!$C$6="Off",('Activity data'!BD5*EF!$H4)*kgtoGg,IF('Net zero activities &amp; levers'!$C$6="On",(('Net zero supporting data'!AB40*EF!$H4)+('Net zero supporting data'!AB38*'Net zero supporting data'!AB42))*kgtoGg,"ERROR"))</f>
        <v>63.658743438044993</v>
      </c>
      <c r="AL157" s="93">
        <f>IF('Net zero activities &amp; levers'!$C$6="Off",('Activity data'!BE5*EF!$H4)*kgtoGg,IF('Net zero activities &amp; levers'!$C$6="On",(('Net zero supporting data'!AC40*EF!$H4)+('Net zero supporting data'!AC38*'Net zero supporting data'!AC42))*kgtoGg,"ERROR"))</f>
        <v>63.783718565069215</v>
      </c>
      <c r="AM157" s="93">
        <f>IF('Net zero activities &amp; levers'!$C$6="Off",('Activity data'!BF5*EF!$H4)*kgtoGg,IF('Net zero activities &amp; levers'!$C$6="On",(('Net zero supporting data'!AD40*EF!$H4)+('Net zero supporting data'!AD38*'Net zero supporting data'!AD42))*kgtoGg,"ERROR"))</f>
        <v>63.907499057790211</v>
      </c>
      <c r="AN157" s="93">
        <f>IF('Net zero activities &amp; levers'!$C$6="Off",('Activity data'!BG5*EF!$H4)*kgtoGg,IF('Net zero activities &amp; levers'!$C$6="On",(('Net zero supporting data'!AE40*EF!$H4)+('Net zero supporting data'!AE38*'Net zero supporting data'!AE42))*kgtoGg,"ERROR"))</f>
        <v>64.577585237854279</v>
      </c>
      <c r="AO157" s="93">
        <f>IF('Net zero activities &amp; levers'!$C$6="Off",('Activity data'!BH5*EF!$H4)*kgtoGg,IF('Net zero activities &amp; levers'!$C$6="On",(('Net zero supporting data'!AF40*EF!$H4)+('Net zero supporting data'!AF38*'Net zero supporting data'!AF42))*kgtoGg,"ERROR"))</f>
        <v>65.218633767857114</v>
      </c>
      <c r="AP157" s="93">
        <f>IF('Net zero activities &amp; levers'!$C$6="Off",('Activity data'!BI5*EF!$H4)*kgtoGg,IF('Net zero activities &amp; levers'!$C$6="On",(('Net zero supporting data'!AG40*EF!$H4)+('Net zero supporting data'!AG38*'Net zero supporting data'!AG42))*kgtoGg,"ERROR"))</f>
        <v>65.874951988532089</v>
      </c>
      <c r="AQ157" s="93">
        <f>IF('Net zero activities &amp; levers'!$C$6="Off",('Activity data'!BJ5*EF!$H4)*kgtoGg,IF('Net zero activities &amp; levers'!$C$6="On",(('Net zero supporting data'!AH40*EF!$H4)+('Net zero supporting data'!AH38*'Net zero supporting data'!AH42))*kgtoGg,"ERROR"))</f>
        <v>66.558027874791904</v>
      </c>
      <c r="AR157" s="93">
        <f>IF('Net zero activities &amp; levers'!$C$6="Off",('Activity data'!BK5*EF!$H4)*kgtoGg,IF('Net zero activities &amp; levers'!$C$6="On",(('Net zero supporting data'!AI40*EF!$H4)+('Net zero supporting data'!AI38*'Net zero supporting data'!AI42))*kgtoGg,"ERROR"))</f>
        <v>67.272239640068634</v>
      </c>
      <c r="AS157" s="93">
        <f>IF('Net zero activities &amp; levers'!$C$6="Off",('Activity data'!BL5*EF!$H4)*kgtoGg,IF('Net zero activities &amp; levers'!$C$6="On",(('Net zero supporting data'!AJ40*EF!$H4)+('Net zero supporting data'!AJ38*'Net zero supporting data'!AJ42))*kgtoGg,"ERROR"))</f>
        <v>68.077197779280567</v>
      </c>
      <c r="AT157" s="93">
        <f>IF('Net zero activities &amp; levers'!$C$6="Off",('Activity data'!BM5*EF!$H4)*kgtoGg,IF('Net zero activities &amp; levers'!$C$6="On",(('Net zero supporting data'!AK40*EF!$H4)+('Net zero supporting data'!AK38*'Net zero supporting data'!AK42))*kgtoGg,"ERROR"))</f>
        <v>68.58961713188701</v>
      </c>
      <c r="AU157" s="93">
        <f>IF('Net zero activities &amp; levers'!$C$6="Off",('Activity data'!BN5*EF!$H4)*kgtoGg,IF('Net zero activities &amp; levers'!$C$6="On",(('Net zero supporting data'!AL40*EF!$H4)+('Net zero supporting data'!AL38*'Net zero supporting data'!AL42))*kgtoGg,"ERROR"))</f>
        <v>69.085553733156431</v>
      </c>
      <c r="AV157" s="93">
        <f>IF('Net zero activities &amp; levers'!$C$6="Off",('Activity data'!BO5*EF!$H4)*kgtoGg,IF('Net zero activities &amp; levers'!$C$6="On",(('Net zero supporting data'!AM40*EF!$H4)+('Net zero supporting data'!AM38*'Net zero supporting data'!AM42))*kgtoGg,"ERROR"))</f>
        <v>69.596721042207264</v>
      </c>
      <c r="AW157" s="93">
        <f>IF('Net zero activities &amp; levers'!$C$6="Off",('Activity data'!BP5*EF!$H4)*kgtoGg,IF('Net zero activities &amp; levers'!$C$6="On",(('Net zero supporting data'!AN40*EF!$H4)+('Net zero supporting data'!AN38*'Net zero supporting data'!AN42))*kgtoGg,"ERROR"))</f>
        <v>70.109666583837225</v>
      </c>
      <c r="AY157" s="79"/>
    </row>
    <row r="158" spans="1:51" x14ac:dyDescent="0.2">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58.1066387636453</v>
      </c>
      <c r="M158" s="27">
        <f t="shared" si="33"/>
        <v>58.564977012483297</v>
      </c>
      <c r="N158" s="27">
        <f t="shared" si="33"/>
        <v>58.859508160444918</v>
      </c>
      <c r="O158" s="27">
        <f t="shared" si="33"/>
        <v>59.055225455337663</v>
      </c>
      <c r="P158" s="27">
        <f t="shared" si="33"/>
        <v>59.150202601958597</v>
      </c>
      <c r="Q158" s="27">
        <f t="shared" si="33"/>
        <v>59.360042465716688</v>
      </c>
      <c r="R158" s="27">
        <f t="shared" si="33"/>
        <v>59.600764035107602</v>
      </c>
      <c r="S158" s="27">
        <f t="shared" si="33"/>
        <v>57.969180145469302</v>
      </c>
      <c r="T158" s="27">
        <f t="shared" si="33"/>
        <v>58.635372131308685</v>
      </c>
      <c r="U158" s="27">
        <f t="shared" si="33"/>
        <v>59.157403831333383</v>
      </c>
      <c r="V158" s="27">
        <f t="shared" si="33"/>
        <v>59.65197150598739</v>
      </c>
      <c r="W158" s="27">
        <f t="shared" si="33"/>
        <v>60.230169433134556</v>
      </c>
      <c r="X158" s="27">
        <f t="shared" si="33"/>
        <v>60.783894031112283</v>
      </c>
      <c r="Y158" s="27">
        <f t="shared" si="33"/>
        <v>61.248299050208132</v>
      </c>
      <c r="Z158" s="27">
        <f t="shared" si="33"/>
        <v>61.699805396844816</v>
      </c>
      <c r="AA158" s="27">
        <f t="shared" ref="L158:AW161" si="34">AA1380</f>
        <v>62.128065206712812</v>
      </c>
      <c r="AB158" s="27">
        <f t="shared" si="34"/>
        <v>62.685155093211797</v>
      </c>
      <c r="AC158" s="27">
        <f t="shared" si="34"/>
        <v>63.239380337499199</v>
      </c>
      <c r="AD158" s="27">
        <f t="shared" si="34"/>
        <v>63.817597544924432</v>
      </c>
      <c r="AE158" s="27">
        <f t="shared" si="34"/>
        <v>64.523009553814518</v>
      </c>
      <c r="AF158" s="27">
        <f t="shared" si="34"/>
        <v>65.294186121553309</v>
      </c>
      <c r="AG158" s="27">
        <f t="shared" si="34"/>
        <v>66.203244700941269</v>
      </c>
      <c r="AH158" s="27">
        <f t="shared" si="34"/>
        <v>66.923221383492788</v>
      </c>
      <c r="AI158" s="27">
        <f t="shared" si="34"/>
        <v>67.592071919114218</v>
      </c>
      <c r="AJ158" s="27">
        <f t="shared" si="34"/>
        <v>68.334251239695618</v>
      </c>
      <c r="AK158" s="27">
        <f t="shared" si="34"/>
        <v>69.056502397206529</v>
      </c>
      <c r="AL158" s="27">
        <f t="shared" si="34"/>
        <v>69.822484742370364</v>
      </c>
      <c r="AM158" s="27">
        <f t="shared" si="34"/>
        <v>70.599478188614199</v>
      </c>
      <c r="AN158" s="27">
        <f t="shared" si="34"/>
        <v>71.458170407248886</v>
      </c>
      <c r="AO158" s="27">
        <f t="shared" si="34"/>
        <v>72.287533611585175</v>
      </c>
      <c r="AP158" s="27">
        <f t="shared" si="34"/>
        <v>73.136612754988022</v>
      </c>
      <c r="AQ158" s="27">
        <f t="shared" si="34"/>
        <v>74.018282148254812</v>
      </c>
      <c r="AR158" s="27">
        <f t="shared" si="34"/>
        <v>74.937582285974699</v>
      </c>
      <c r="AS158" s="27">
        <f t="shared" si="34"/>
        <v>75.96121614650643</v>
      </c>
      <c r="AT158" s="27">
        <f t="shared" si="34"/>
        <v>76.661318030074682</v>
      </c>
      <c r="AU158" s="27">
        <f t="shared" si="34"/>
        <v>77.345318475397917</v>
      </c>
      <c r="AV158" s="27">
        <f t="shared" si="34"/>
        <v>78.048701019536637</v>
      </c>
      <c r="AW158" s="27">
        <f t="shared" si="34"/>
        <v>78.756452062140184</v>
      </c>
      <c r="AY158" s="79"/>
    </row>
    <row r="159" spans="1:51" x14ac:dyDescent="0.2">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26.272250579806308</v>
      </c>
      <c r="M159" s="27">
        <f t="shared" si="34"/>
        <v>26.479482964607669</v>
      </c>
      <c r="N159" s="27">
        <f t="shared" si="34"/>
        <v>26.61265184663991</v>
      </c>
      <c r="O159" s="27">
        <f t="shared" si="34"/>
        <v>26.701143177813606</v>
      </c>
      <c r="P159" s="27">
        <f t="shared" si="34"/>
        <v>26.744086005835889</v>
      </c>
      <c r="Q159" s="27">
        <f t="shared" si="34"/>
        <v>26.838962694620271</v>
      </c>
      <c r="R159" s="27">
        <f t="shared" si="34"/>
        <v>26.947802192577246</v>
      </c>
      <c r="S159" s="27">
        <f t="shared" si="34"/>
        <v>26.210100241429942</v>
      </c>
      <c r="T159" s="27">
        <f t="shared" si="34"/>
        <v>26.511311310571692</v>
      </c>
      <c r="U159" s="27">
        <f t="shared" si="34"/>
        <v>26.747341959142467</v>
      </c>
      <c r="V159" s="27">
        <f t="shared" si="34"/>
        <v>26.970955063490745</v>
      </c>
      <c r="W159" s="27">
        <f t="shared" si="34"/>
        <v>27.232380627762737</v>
      </c>
      <c r="X159" s="27">
        <f t="shared" si="34"/>
        <v>27.482740856814136</v>
      </c>
      <c r="Y159" s="27">
        <f t="shared" si="34"/>
        <v>27.692716262237859</v>
      </c>
      <c r="Z159" s="27">
        <f t="shared" si="34"/>
        <v>27.896859680780135</v>
      </c>
      <c r="AA159" s="27">
        <f t="shared" si="34"/>
        <v>28.09049244422182</v>
      </c>
      <c r="AB159" s="27">
        <f t="shared" si="34"/>
        <v>28.342374249898288</v>
      </c>
      <c r="AC159" s="27">
        <f t="shared" si="34"/>
        <v>28.592960840439176</v>
      </c>
      <c r="AD159" s="27">
        <f t="shared" si="34"/>
        <v>28.854395122067867</v>
      </c>
      <c r="AE159" s="27">
        <f t="shared" si="34"/>
        <v>29.173339075011846</v>
      </c>
      <c r="AF159" s="27">
        <f t="shared" si="34"/>
        <v>29.522017719311339</v>
      </c>
      <c r="AG159" s="27">
        <f t="shared" si="34"/>
        <v>29.9330381344923</v>
      </c>
      <c r="AH159" s="27">
        <f t="shared" si="34"/>
        <v>30.258567337662207</v>
      </c>
      <c r="AI159" s="27">
        <f t="shared" si="34"/>
        <v>30.560980439610169</v>
      </c>
      <c r="AJ159" s="27">
        <f t="shared" si="34"/>
        <v>30.896548311033232</v>
      </c>
      <c r="AK159" s="27">
        <f t="shared" si="34"/>
        <v>31.223105891981344</v>
      </c>
      <c r="AL159" s="27">
        <f t="shared" si="34"/>
        <v>31.569436028090372</v>
      </c>
      <c r="AM159" s="27">
        <f t="shared" si="34"/>
        <v>31.920744707320974</v>
      </c>
      <c r="AN159" s="27">
        <f t="shared" si="34"/>
        <v>32.308992549889602</v>
      </c>
      <c r="AO159" s="27">
        <f t="shared" si="34"/>
        <v>32.683979614872385</v>
      </c>
      <c r="AP159" s="27">
        <f t="shared" si="34"/>
        <v>33.067881015679681</v>
      </c>
      <c r="AQ159" s="27">
        <f t="shared" si="34"/>
        <v>33.466517724346836</v>
      </c>
      <c r="AR159" s="27">
        <f t="shared" si="34"/>
        <v>33.882168742717873</v>
      </c>
      <c r="AS159" s="27">
        <f t="shared" si="34"/>
        <v>34.344993057771696</v>
      </c>
      <c r="AT159" s="27">
        <f t="shared" si="34"/>
        <v>34.661536098426936</v>
      </c>
      <c r="AU159" s="27">
        <f t="shared" si="34"/>
        <v>34.970799058367312</v>
      </c>
      <c r="AV159" s="27">
        <f t="shared" si="34"/>
        <v>35.288825412089835</v>
      </c>
      <c r="AW159" s="27">
        <f t="shared" si="34"/>
        <v>35.608826932312567</v>
      </c>
      <c r="AY159" s="79"/>
    </row>
    <row r="160" spans="1:51" x14ac:dyDescent="0.2">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463.23498593143194</v>
      </c>
      <c r="L160" s="27">
        <f t="shared" si="34"/>
        <v>459.21749683621613</v>
      </c>
      <c r="M160" s="27">
        <f t="shared" si="34"/>
        <v>457.68816035731248</v>
      </c>
      <c r="N160" s="27">
        <f t="shared" si="34"/>
        <v>451.57633407663525</v>
      </c>
      <c r="O160" s="27">
        <f t="shared" si="34"/>
        <v>442.70486896910745</v>
      </c>
      <c r="P160" s="27">
        <f t="shared" si="34"/>
        <v>431.25721304480408</v>
      </c>
      <c r="Q160" s="27">
        <f t="shared" si="34"/>
        <v>422.22811200839215</v>
      </c>
      <c r="R160" s="27">
        <f t="shared" si="34"/>
        <v>413.68555596285586</v>
      </c>
      <c r="S160" s="27">
        <f t="shared" si="34"/>
        <v>367.15498253629937</v>
      </c>
      <c r="T160" s="27">
        <f t="shared" si="34"/>
        <v>374.17792302484366</v>
      </c>
      <c r="U160" s="27">
        <f t="shared" si="34"/>
        <v>377.93282085404854</v>
      </c>
      <c r="V160" s="27">
        <f t="shared" si="34"/>
        <v>380.82330647770999</v>
      </c>
      <c r="W160" s="27">
        <f t="shared" si="34"/>
        <v>385.00539013713677</v>
      </c>
      <c r="X160" s="27">
        <f t="shared" si="34"/>
        <v>388.39937435322344</v>
      </c>
      <c r="Y160" s="27">
        <f t="shared" si="34"/>
        <v>390.58732526700504</v>
      </c>
      <c r="Z160" s="27">
        <f t="shared" si="34"/>
        <v>392.29048134112935</v>
      </c>
      <c r="AA160" s="27">
        <f t="shared" si="34"/>
        <v>393.3460659926933</v>
      </c>
      <c r="AB160" s="27">
        <f t="shared" si="34"/>
        <v>396.4710114468906</v>
      </c>
      <c r="AC160" s="27">
        <f t="shared" si="34"/>
        <v>399.28270780279126</v>
      </c>
      <c r="AD160" s="27">
        <f t="shared" si="34"/>
        <v>399.42772456608003</v>
      </c>
      <c r="AE160" s="27">
        <f t="shared" si="34"/>
        <v>401.31130224565624</v>
      </c>
      <c r="AF160" s="27">
        <f t="shared" si="34"/>
        <v>403.80208635683084</v>
      </c>
      <c r="AG160" s="27">
        <f t="shared" si="34"/>
        <v>407.98386284391222</v>
      </c>
      <c r="AH160" s="27">
        <f t="shared" si="34"/>
        <v>408.65175931008923</v>
      </c>
      <c r="AI160" s="27">
        <f t="shared" si="34"/>
        <v>408.58164952357384</v>
      </c>
      <c r="AJ160" s="27">
        <f t="shared" si="34"/>
        <v>409.1951949125646</v>
      </c>
      <c r="AK160" s="27">
        <f t="shared" si="34"/>
        <v>409.08195160336288</v>
      </c>
      <c r="AL160" s="27">
        <f t="shared" si="34"/>
        <v>409.16859653567815</v>
      </c>
      <c r="AM160" s="27">
        <f t="shared" si="34"/>
        <v>408.97195804089159</v>
      </c>
      <c r="AN160" s="27">
        <f t="shared" si="34"/>
        <v>411.90729074702386</v>
      </c>
      <c r="AO160" s="27">
        <f t="shared" si="34"/>
        <v>414.05465326248105</v>
      </c>
      <c r="AP160" s="27">
        <f t="shared" si="34"/>
        <v>416.07811841242483</v>
      </c>
      <c r="AQ160" s="27">
        <f t="shared" si="34"/>
        <v>418.1325060798996</v>
      </c>
      <c r="AR160" s="27">
        <f t="shared" si="34"/>
        <v>420.26236757752156</v>
      </c>
      <c r="AS160" s="27">
        <f t="shared" si="34"/>
        <v>423.60010489867818</v>
      </c>
      <c r="AT160" s="27">
        <f t="shared" si="34"/>
        <v>422.65999996405498</v>
      </c>
      <c r="AU160" s="27">
        <f t="shared" si="34"/>
        <v>421.25049365965373</v>
      </c>
      <c r="AV160" s="27">
        <f t="shared" si="34"/>
        <v>419.79062743125479</v>
      </c>
      <c r="AW160" s="27">
        <f t="shared" si="34"/>
        <v>418.10572325664367</v>
      </c>
      <c r="AY160" s="79"/>
    </row>
    <row r="161" spans="1:51" x14ac:dyDescent="0.2">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326.20040935577742</v>
      </c>
      <c r="L161" s="27">
        <f t="shared" si="34"/>
        <v>323.37137738012325</v>
      </c>
      <c r="M161" s="27">
        <f t="shared" si="34"/>
        <v>322.29445054900748</v>
      </c>
      <c r="N161" s="27">
        <f t="shared" si="34"/>
        <v>317.99063003627219</v>
      </c>
      <c r="O161" s="27">
        <f t="shared" si="34"/>
        <v>311.74352945546798</v>
      </c>
      <c r="P161" s="27">
        <f t="shared" si="34"/>
        <v>303.68232906672063</v>
      </c>
      <c r="Q161" s="27">
        <f t="shared" si="34"/>
        <v>297.32422455466599</v>
      </c>
      <c r="R161" s="27">
        <f t="shared" si="34"/>
        <v>291.30873487096773</v>
      </c>
      <c r="S161" s="27">
        <f t="shared" si="34"/>
        <v>258.54287615936238</v>
      </c>
      <c r="T161" s="27">
        <f t="shared" si="34"/>
        <v>263.48828428227887</v>
      </c>
      <c r="U161" s="27">
        <f t="shared" si="34"/>
        <v>266.13240496870094</v>
      </c>
      <c r="V161" s="27">
        <f t="shared" si="34"/>
        <v>268.167824620305</v>
      </c>
      <c r="W161" s="27">
        <f t="shared" si="34"/>
        <v>271.11276065297989</v>
      </c>
      <c r="X161" s="27">
        <f t="shared" si="34"/>
        <v>273.50273350532916</v>
      </c>
      <c r="Y161" s="27">
        <f t="shared" si="34"/>
        <v>275.0434428761701</v>
      </c>
      <c r="Z161" s="27">
        <f t="shared" si="34"/>
        <v>276.2427698386166</v>
      </c>
      <c r="AA161" s="27">
        <f t="shared" si="34"/>
        <v>276.98609052014405</v>
      </c>
      <c r="AB161" s="27">
        <f t="shared" si="34"/>
        <v>279.18661189122298</v>
      </c>
      <c r="AC161" s="27">
        <f t="shared" si="34"/>
        <v>281.1665497848058</v>
      </c>
      <c r="AD161" s="27">
        <f t="shared" si="34"/>
        <v>281.26866756300677</v>
      </c>
      <c r="AE161" s="27">
        <f t="shared" si="34"/>
        <v>282.59504365460464</v>
      </c>
      <c r="AF161" s="27">
        <f t="shared" si="34"/>
        <v>284.34900184290586</v>
      </c>
      <c r="AG161" s="27">
        <f t="shared" si="34"/>
        <v>287.29372157122594</v>
      </c>
      <c r="AH161" s="27">
        <f t="shared" si="34"/>
        <v>287.76404032367537</v>
      </c>
      <c r="AI161" s="27">
        <f t="shared" si="34"/>
        <v>287.71467047520593</v>
      </c>
      <c r="AJ161" s="27">
        <f t="shared" si="34"/>
        <v>288.14671633341055</v>
      </c>
      <c r="AK161" s="27">
        <f t="shared" si="34"/>
        <v>288.06697275846409</v>
      </c>
      <c r="AL161" s="27">
        <f t="shared" si="34"/>
        <v>288.12798631151645</v>
      </c>
      <c r="AM161" s="27">
        <f t="shared" si="34"/>
        <v>287.98951758734296</v>
      </c>
      <c r="AN161" s="27">
        <f t="shared" si="34"/>
        <v>290.05651761846218</v>
      </c>
      <c r="AO161" s="27">
        <f t="shared" si="34"/>
        <v>291.56864548628482</v>
      </c>
      <c r="AP161" s="27">
        <f t="shared" si="34"/>
        <v>292.99352741505732</v>
      </c>
      <c r="AQ161" s="27">
        <f t="shared" si="34"/>
        <v>294.44018433532034</v>
      </c>
      <c r="AR161" s="27">
        <f t="shared" si="34"/>
        <v>295.93998835163069</v>
      </c>
      <c r="AS161" s="27">
        <f t="shared" si="34"/>
        <v>298.29035331444567</v>
      </c>
      <c r="AT161" s="27">
        <f t="shared" si="34"/>
        <v>297.62835103952062</v>
      </c>
      <c r="AU161" s="27">
        <f t="shared" si="34"/>
        <v>296.63580611642783</v>
      </c>
      <c r="AV161" s="27">
        <f t="shared" si="34"/>
        <v>295.60779878586987</v>
      </c>
      <c r="AW161" s="27">
        <f t="shared" si="34"/>
        <v>294.42132443014248</v>
      </c>
      <c r="AY161" s="79"/>
    </row>
    <row r="162" spans="1:51" x14ac:dyDescent="0.2">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32.967337371253549</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35.929559405213347</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34.950230908345851</v>
      </c>
      <c r="T162" s="93">
        <f>IF('Net zero activities &amp; levers'!$C$6="Off",('Activity data'!AM10*EF!$H9)*kgtoGg,IF('Net zero activities &amp; levers'!$C$6="On",(('Net zero supporting data'!K41*EF!$H9)+('Net zero supporting data'!K39*'Net zero supporting data'!K43))*kgtoGg,"ERROR"))</f>
        <v>36.525548770728307</v>
      </c>
      <c r="U162" s="93">
        <f>IF('Net zero activities &amp; levers'!$C$6="Off",('Activity data'!AN10*EF!$H9)*kgtoGg,IF('Net zero activities &amp; levers'!$C$6="On",(('Net zero supporting data'!L41*EF!$H9)+('Net zero supporting data'!L39*'Net zero supporting data'!L43))*kgtoGg,"ERROR"))</f>
        <v>37.713086882370234</v>
      </c>
      <c r="V162" s="93">
        <f>IF('Net zero activities &amp; levers'!$C$6="Off",('Activity data'!AO10*EF!$H9)*kgtoGg,IF('Net zero activities &amp; levers'!$C$6="On",(('Net zero supporting data'!M41*EF!$H9)+('Net zero supporting data'!M39*'Net zero supporting data'!M43))*kgtoGg,"ERROR"))</f>
        <v>38.725538144891757</v>
      </c>
      <c r="W162" s="93">
        <f>IF('Net zero activities &amp; levers'!$C$6="Off",('Activity data'!AP10*EF!$H9)*kgtoGg,IF('Net zero activities &amp; levers'!$C$6="On",(('Net zero supporting data'!N41*EF!$H9)+('Net zero supporting data'!N39*'Net zero supporting data'!N43))*kgtoGg,"ERROR"))</f>
        <v>39.770346860839936</v>
      </c>
      <c r="X162" s="93">
        <f>IF('Net zero activities &amp; levers'!$C$6="Off",('Activity data'!AQ10*EF!$H9)*kgtoGg,IF('Net zero activities &amp; levers'!$C$6="On",(('Net zero supporting data'!O41*EF!$H9)+('Net zero supporting data'!O39*'Net zero supporting data'!O43))*kgtoGg,"ERROR"))</f>
        <v>40.624099965956376</v>
      </c>
      <c r="Y162" s="93">
        <f>IF('Net zero activities &amp; levers'!$C$6="Off",('Activity data'!AR10*EF!$H9)*kgtoGg,IF('Net zero activities &amp; levers'!$C$6="On",(('Net zero supporting data'!P41*EF!$H9)+('Net zero supporting data'!P39*'Net zero supporting data'!P43))*kgtoGg,"ERROR"))</f>
        <v>41.227619489178245</v>
      </c>
      <c r="Z162" s="93">
        <f>IF('Net zero activities &amp; levers'!$C$6="Off",('Activity data'!AS10*EF!$H9)*kgtoGg,IF('Net zero activities &amp; levers'!$C$6="On",(('Net zero supporting data'!Q41*EF!$H9)+('Net zero supporting data'!Q39*'Net zero supporting data'!Q43))*kgtoGg,"ERROR"))</f>
        <v>41.642616620959998</v>
      </c>
      <c r="AA162" s="93">
        <f>IF('Net zero activities &amp; levers'!$C$6="Off",('Activity data'!AT10*EF!$H9)*kgtoGg,IF('Net zero activities &amp; levers'!$C$6="On",(('Net zero supporting data'!R41*EF!$H9)+('Net zero supporting data'!R39*'Net zero supporting data'!R43))*kgtoGg,"ERROR"))</f>
        <v>41.839476051833586</v>
      </c>
      <c r="AB162" s="93">
        <f>IF('Net zero activities &amp; levers'!$C$6="Off",('Activity data'!AU10*EF!$H9)*kgtoGg,IF('Net zero activities &amp; levers'!$C$6="On",(('Net zero supporting data'!S41*EF!$H9)+('Net zero supporting data'!S39*'Net zero supporting data'!S43))*kgtoGg,"ERROR"))</f>
        <v>42.095040570651811</v>
      </c>
      <c r="AC162" s="93">
        <f>IF('Net zero activities &amp; levers'!$C$6="Off",('Activity data'!AV10*EF!$H9)*kgtoGg,IF('Net zero activities &amp; levers'!$C$6="On",(('Net zero supporting data'!T41*EF!$H9)+('Net zero supporting data'!T39*'Net zero supporting data'!T43))*kgtoGg,"ERROR"))</f>
        <v>42.142183845164752</v>
      </c>
      <c r="AD162" s="93">
        <f>IF('Net zero activities &amp; levers'!$C$6="Off",('Activity data'!AW10*EF!$H9)*kgtoGg,IF('Net zero activities &amp; levers'!$C$6="On",(('Net zero supporting data'!U41*EF!$H9)+('Net zero supporting data'!U39*'Net zero supporting data'!U43))*kgtoGg,"ERROR"))</f>
        <v>43.206213555185151</v>
      </c>
      <c r="AE162" s="93">
        <f>IF('Net zero activities &amp; levers'!$C$6="Off",('Activity data'!AX10*EF!$H9)*kgtoGg,IF('Net zero activities &amp; levers'!$C$6="On",(('Net zero supporting data'!V41*EF!$H9)+('Net zero supporting data'!V39*'Net zero supporting data'!V43))*kgtoGg,"ERROR"))</f>
        <v>44.490432242234988</v>
      </c>
      <c r="AF162" s="93">
        <f>IF('Net zero activities &amp; levers'!$C$6="Off",('Activity data'!AY10*EF!$H9)*kgtoGg,IF('Net zero activities &amp; levers'!$C$6="On",(('Net zero supporting data'!W41*EF!$H9)+('Net zero supporting data'!W39*'Net zero supporting data'!W43))*kgtoGg,"ERROR"))</f>
        <v>45.88232636594995</v>
      </c>
      <c r="AG162" s="93">
        <f>IF('Net zero activities &amp; levers'!$C$6="Off",('Activity data'!AZ10*EF!$H9)*kgtoGg,IF('Net zero activities &amp; levers'!$C$6="On",(('Net zero supporting data'!X41*EF!$H9)+('Net zero supporting data'!X39*'Net zero supporting data'!X43))*kgtoGg,"ERROR"))</f>
        <v>47.515402609512755</v>
      </c>
      <c r="AH162" s="93">
        <f>IF('Net zero activities &amp; levers'!$C$6="Off",('Activity data'!BA10*EF!$H9)*kgtoGg,IF('Net zero activities &amp; levers'!$C$6="On",(('Net zero supporting data'!Y41*EF!$H9)+('Net zero supporting data'!Y39*'Net zero supporting data'!Y43))*kgtoGg,"ERROR"))</f>
        <v>48.78549539699673</v>
      </c>
      <c r="AI162" s="93">
        <f>IF('Net zero activities &amp; levers'!$C$6="Off",('Activity data'!BB10*EF!$H9)*kgtoGg,IF('Net zero activities &amp; levers'!$C$6="On",(('Net zero supporting data'!Z41*EF!$H9)+('Net zero supporting data'!Z39*'Net zero supporting data'!Z43))*kgtoGg,"ERROR"))</f>
        <v>50.003672670089763</v>
      </c>
      <c r="AJ162" s="93">
        <f>IF('Net zero activities &amp; levers'!$C$6="Off",('Activity data'!BC10*EF!$H9)*kgtoGg,IF('Net zero activities &amp; levers'!$C$6="On",(('Net zero supporting data'!AA41*EF!$H9)+('Net zero supporting data'!AA39*'Net zero supporting data'!AA43))*kgtoGg,"ERROR"))</f>
        <v>51.343739333857094</v>
      </c>
      <c r="AK162" s="93">
        <f>IF('Net zero activities &amp; levers'!$C$6="Off",('Activity data'!BD10*EF!$H9)*kgtoGg,IF('Net zero activities &amp; levers'!$C$6="On",(('Net zero supporting data'!AB41*EF!$H9)+('Net zero supporting data'!AB39*'Net zero supporting data'!AB43))*kgtoGg,"ERROR"))</f>
        <v>52.632978549332293</v>
      </c>
      <c r="AL162" s="93">
        <f>IF('Net zero activities &amp; levers'!$C$6="Off",('Activity data'!BE10*EF!$H9)*kgtoGg,IF('Net zero activities &amp; levers'!$C$6="On",(('Net zero supporting data'!AC41*EF!$H9)+('Net zero supporting data'!AC39*'Net zero supporting data'!AC43))*kgtoGg,"ERROR"))</f>
        <v>53.989082011789868</v>
      </c>
      <c r="AM162" s="93">
        <f>IF('Net zero activities &amp; levers'!$C$6="Off",('Activity data'!BF10*EF!$H9)*kgtoGg,IF('Net zero activities &amp; levers'!$C$6="On",(('Net zero supporting data'!AD41*EF!$H9)+('Net zero supporting data'!AD39*'Net zero supporting data'!AD43))*kgtoGg,"ERROR"))</f>
        <v>55.35123869438781</v>
      </c>
      <c r="AN162" s="93">
        <f>IF('Net zero activities &amp; levers'!$C$6="Off",('Activity data'!BG10*EF!$H9)*kgtoGg,IF('Net zero activities &amp; levers'!$C$6="On",(('Net zero supporting data'!AE41*EF!$H9)+('Net zero supporting data'!AE39*'Net zero supporting data'!AE43))*kgtoGg,"ERROR"))</f>
        <v>57.261844703531331</v>
      </c>
      <c r="AO162" s="93">
        <f>IF('Net zero activities &amp; levers'!$C$6="Off",('Activity data'!BH10*EF!$H9)*kgtoGg,IF('Net zero activities &amp; levers'!$C$6="On",(('Net zero supporting data'!AF41*EF!$H9)+('Net zero supporting data'!AF39*'Net zero supporting data'!AF43))*kgtoGg,"ERROR"))</f>
        <v>59.128550613602883</v>
      </c>
      <c r="AP162" s="93">
        <f>IF('Net zero activities &amp; levers'!$C$6="Off",('Activity data'!BI10*EF!$H9)*kgtoGg,IF('Net zero activities &amp; levers'!$C$6="On",(('Net zero supporting data'!AG41*EF!$H9)+('Net zero supporting data'!AG39*'Net zero supporting data'!AG43))*kgtoGg,"ERROR"))</f>
        <v>61.042904489607068</v>
      </c>
      <c r="AQ162" s="93">
        <f>IF('Net zero activities &amp; levers'!$C$6="Off",('Activity data'!BJ10*EF!$H9)*kgtoGg,IF('Net zero activities &amp; levers'!$C$6="On",(('Net zero supporting data'!AH41*EF!$H9)+('Net zero supporting data'!AH39*'Net zero supporting data'!AH43))*kgtoGg,"ERROR"))</f>
        <v>63.030017258618393</v>
      </c>
      <c r="AR162" s="93">
        <f>IF('Net zero activities &amp; levers'!$C$6="Off",('Activity data'!BK10*EF!$H9)*kgtoGg,IF('Net zero activities &amp; levers'!$C$6="On",(('Net zero supporting data'!AI41*EF!$H9)+('Net zero supporting data'!AI39*'Net zero supporting data'!AI43))*kgtoGg,"ERROR"))</f>
        <v>65.100607333049865</v>
      </c>
      <c r="AS162" s="93">
        <f>IF('Net zero activities &amp; levers'!$C$6="Off",('Activity data'!BL10*EF!$H9)*kgtoGg,IF('Net zero activities &amp; levers'!$C$6="On",(('Net zero supporting data'!AJ41*EF!$H9)+('Net zero supporting data'!AJ39*'Net zero supporting data'!AJ43))*kgtoGg,"ERROR"))</f>
        <v>67.439599843675509</v>
      </c>
      <c r="AT162" s="93">
        <f>IF('Net zero activities &amp; levers'!$C$6="Off",('Activity data'!BM10*EF!$H9)*kgtoGg,IF('Net zero activities &amp; levers'!$C$6="On",(('Net zero supporting data'!AK41*EF!$H9)+('Net zero supporting data'!AK39*'Net zero supporting data'!AK43))*kgtoGg,"ERROR"))</f>
        <v>69.169298249241493</v>
      </c>
      <c r="AU162" s="93">
        <f>IF('Net zero activities &amp; levers'!$C$6="Off",('Activity data'!BN10*EF!$H9)*kgtoGg,IF('Net zero activities &amp; levers'!$C$6="On",(('Net zero supporting data'!AL41*EF!$H9)+('Net zero supporting data'!AL39*'Net zero supporting data'!AL43))*kgtoGg,"ERROR"))</f>
        <v>70.876212815368632</v>
      </c>
      <c r="AV162" s="93">
        <f>IF('Net zero activities &amp; levers'!$C$6="Off",('Activity data'!BO10*EF!$H9)*kgtoGg,IF('Net zero activities &amp; levers'!$C$6="On",(('Net zero supporting data'!AM41*EF!$H9)+('Net zero supporting data'!AM39*'Net zero supporting data'!AM43))*kgtoGg,"ERROR"))</f>
        <v>72.629159347406286</v>
      </c>
      <c r="AW162" s="93">
        <f>IF('Net zero activities &amp; levers'!$C$6="Off",('Activity data'!BP10*EF!$H9)*kgtoGg,IF('Net zero activities &amp; levers'!$C$6="On",(('Net zero supporting data'!AN41*EF!$H9)+('Net zero supporting data'!AN39*'Net zero supporting data'!AN43))*kgtoGg,"ERROR"))</f>
        <v>74.399298716410811</v>
      </c>
      <c r="AY162" s="79"/>
    </row>
    <row r="163" spans="1:51" x14ac:dyDescent="0.2">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135.26278530113291</v>
      </c>
      <c r="T163" s="27">
        <f t="shared" si="42"/>
        <v>135.46877954348926</v>
      </c>
      <c r="U163" s="27">
        <f t="shared" si="42"/>
        <v>135.70160233543365</v>
      </c>
      <c r="V163" s="27">
        <f t="shared" si="42"/>
        <v>135.96424702879582</v>
      </c>
      <c r="W163" s="27">
        <f t="shared" si="42"/>
        <v>136.25970300255619</v>
      </c>
      <c r="X163" s="27">
        <f t="shared" si="42"/>
        <v>136.58180937371023</v>
      </c>
      <c r="Y163" s="27">
        <f t="shared" si="42"/>
        <v>136.77771182752844</v>
      </c>
      <c r="Z163" s="27">
        <f t="shared" si="42"/>
        <v>136.99652360229675</v>
      </c>
      <c r="AA163" s="27">
        <f t="shared" ref="L163:AW164" si="43">AA1385</f>
        <v>137.23663958086595</v>
      </c>
      <c r="AB163" s="27">
        <f t="shared" si="43"/>
        <v>137.50349615818331</v>
      </c>
      <c r="AC163" s="27">
        <f t="shared" si="43"/>
        <v>137.79053665720062</v>
      </c>
      <c r="AD163" s="27">
        <f t="shared" si="43"/>
        <v>137.97809778631554</v>
      </c>
      <c r="AE163" s="27">
        <f t="shared" si="43"/>
        <v>138.18863599200537</v>
      </c>
      <c r="AF163" s="27">
        <f t="shared" si="43"/>
        <v>138.41878788829575</v>
      </c>
      <c r="AG163" s="27">
        <f t="shared" si="43"/>
        <v>138.67094365352415</v>
      </c>
      <c r="AH163" s="27">
        <f t="shared" si="43"/>
        <v>138.93056254849651</v>
      </c>
      <c r="AI163" s="27">
        <f t="shared" si="43"/>
        <v>139.08967652077243</v>
      </c>
      <c r="AJ163" s="27">
        <f t="shared" si="43"/>
        <v>139.2654495830931</v>
      </c>
      <c r="AK163" s="27">
        <f t="shared" si="43"/>
        <v>139.4534011320402</v>
      </c>
      <c r="AL163" s="27">
        <f t="shared" si="43"/>
        <v>139.65576726304948</v>
      </c>
      <c r="AM163" s="27">
        <f t="shared" si="43"/>
        <v>139.87071929457153</v>
      </c>
      <c r="AN163" s="27">
        <f t="shared" si="43"/>
        <v>139.99537394141325</v>
      </c>
      <c r="AO163" s="27">
        <f t="shared" si="43"/>
        <v>140.12945613123219</v>
      </c>
      <c r="AP163" s="27">
        <f t="shared" si="43"/>
        <v>140.27467944669363</v>
      </c>
      <c r="AQ163" s="27">
        <f t="shared" si="43"/>
        <v>140.43124436652656</v>
      </c>
      <c r="AR163" s="27">
        <f t="shared" si="43"/>
        <v>140.59904144364654</v>
      </c>
      <c r="AS163" s="27">
        <f t="shared" si="43"/>
        <v>140.67407193187856</v>
      </c>
      <c r="AT163" s="27">
        <f t="shared" si="43"/>
        <v>140.74390740905804</v>
      </c>
      <c r="AU163" s="27">
        <f t="shared" si="43"/>
        <v>140.82132713333769</v>
      </c>
      <c r="AV163" s="27">
        <f t="shared" si="43"/>
        <v>140.90757206763405</v>
      </c>
      <c r="AW163" s="27">
        <f t="shared" si="43"/>
        <v>141.00175438081712</v>
      </c>
      <c r="AY163" s="79"/>
    </row>
    <row r="164" spans="1:51" x14ac:dyDescent="0.2">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14.658944228555331</v>
      </c>
      <c r="T164" s="27">
        <f t="shared" si="43"/>
        <v>14.681268610708063</v>
      </c>
      <c r="U164" s="27">
        <f t="shared" si="43"/>
        <v>14.706500505161891</v>
      </c>
      <c r="V164" s="27">
        <f t="shared" si="43"/>
        <v>14.734964312877745</v>
      </c>
      <c r="W164" s="27">
        <f t="shared" si="43"/>
        <v>14.766984004263698</v>
      </c>
      <c r="X164" s="27">
        <f t="shared" si="43"/>
        <v>14.801891900917591</v>
      </c>
      <c r="Y164" s="27">
        <f t="shared" si="43"/>
        <v>14.823122597434484</v>
      </c>
      <c r="Z164" s="27">
        <f t="shared" si="43"/>
        <v>14.846836064488549</v>
      </c>
      <c r="AA164" s="27">
        <f t="shared" si="43"/>
        <v>14.872858349408936</v>
      </c>
      <c r="AB164" s="27">
        <f t="shared" si="43"/>
        <v>14.901778615062266</v>
      </c>
      <c r="AC164" s="27">
        <f t="shared" si="43"/>
        <v>14.932886289335453</v>
      </c>
      <c r="AD164" s="27">
        <f t="shared" si="43"/>
        <v>14.953213004662359</v>
      </c>
      <c r="AE164" s="27">
        <f t="shared" si="43"/>
        <v>14.976029833462063</v>
      </c>
      <c r="AF164" s="27">
        <f t="shared" si="43"/>
        <v>15.000972272761286</v>
      </c>
      <c r="AG164" s="27">
        <f t="shared" si="43"/>
        <v>15.02829935530777</v>
      </c>
      <c r="AH164" s="27">
        <f t="shared" si="43"/>
        <v>15.056435245705167</v>
      </c>
      <c r="AI164" s="27">
        <f t="shared" si="43"/>
        <v>15.073679034086307</v>
      </c>
      <c r="AJ164" s="27">
        <f t="shared" si="43"/>
        <v>15.092728231629481</v>
      </c>
      <c r="AK164" s="27">
        <f t="shared" si="43"/>
        <v>15.11309725824351</v>
      </c>
      <c r="AL164" s="27">
        <f t="shared" si="43"/>
        <v>15.135028448124075</v>
      </c>
      <c r="AM164" s="27">
        <f t="shared" si="43"/>
        <v>15.158323620073121</v>
      </c>
      <c r="AN164" s="27">
        <f t="shared" si="43"/>
        <v>15.171832919854392</v>
      </c>
      <c r="AO164" s="27">
        <f t="shared" si="43"/>
        <v>15.186363918445194</v>
      </c>
      <c r="AP164" s="27">
        <f t="shared" si="43"/>
        <v>15.202102323338273</v>
      </c>
      <c r="AQ164" s="27">
        <f t="shared" si="43"/>
        <v>15.219069861178557</v>
      </c>
      <c r="AR164" s="27">
        <f t="shared" si="43"/>
        <v>15.237254670767834</v>
      </c>
      <c r="AS164" s="27">
        <f t="shared" si="43"/>
        <v>15.245386011106461</v>
      </c>
      <c r="AT164" s="27">
        <f t="shared" si="43"/>
        <v>15.252954348272294</v>
      </c>
      <c r="AU164" s="27">
        <f t="shared" si="43"/>
        <v>15.261344619239132</v>
      </c>
      <c r="AV164" s="27">
        <f t="shared" si="43"/>
        <v>15.270691311893962</v>
      </c>
      <c r="AW164" s="27">
        <f t="shared" si="43"/>
        <v>15.280898208589107</v>
      </c>
      <c r="AY164" s="79"/>
    </row>
    <row r="165" spans="1:51" x14ac:dyDescent="0.2">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15.123414197798356</v>
      </c>
      <c r="L165" s="27">
        <f t="shared" ref="L165:AW172" si="46">L1387</f>
        <v>15.162727774721576</v>
      </c>
      <c r="M165" s="27">
        <f t="shared" si="46"/>
        <v>15.216959464794312</v>
      </c>
      <c r="N165" s="27">
        <f t="shared" si="46"/>
        <v>15.283027985940226</v>
      </c>
      <c r="O165" s="27">
        <f t="shared" si="46"/>
        <v>15.360839106953575</v>
      </c>
      <c r="P165" s="27">
        <f t="shared" si="46"/>
        <v>15.449919228540612</v>
      </c>
      <c r="Q165" s="27">
        <f t="shared" si="46"/>
        <v>15.545788610572219</v>
      </c>
      <c r="R165" s="27">
        <f t="shared" si="46"/>
        <v>15.648067752449878</v>
      </c>
      <c r="S165" s="27">
        <f t="shared" si="46"/>
        <v>15.742031713029512</v>
      </c>
      <c r="T165" s="27">
        <f t="shared" si="46"/>
        <v>15.78777493593066</v>
      </c>
      <c r="U165" s="27">
        <f t="shared" si="46"/>
        <v>15.836941189877804</v>
      </c>
      <c r="V165" s="27">
        <f t="shared" si="46"/>
        <v>15.890131734595759</v>
      </c>
      <c r="W165" s="27">
        <f t="shared" si="46"/>
        <v>15.947930587680338</v>
      </c>
      <c r="X165" s="27">
        <f t="shared" si="46"/>
        <v>16.009309310979074</v>
      </c>
      <c r="Y165" s="27">
        <f t="shared" si="46"/>
        <v>16.047680700733103</v>
      </c>
      <c r="Z165" s="27">
        <f t="shared" si="46"/>
        <v>16.089188383327485</v>
      </c>
      <c r="AA165" s="27">
        <f t="shared" si="46"/>
        <v>16.133588234011135</v>
      </c>
      <c r="AB165" s="27">
        <f t="shared" si="46"/>
        <v>16.181852398556252</v>
      </c>
      <c r="AC165" s="27">
        <f t="shared" si="46"/>
        <v>16.232869062741507</v>
      </c>
      <c r="AD165" s="27">
        <f t="shared" si="46"/>
        <v>16.26603536262477</v>
      </c>
      <c r="AE165" s="27">
        <f t="shared" si="46"/>
        <v>16.302563680867436</v>
      </c>
      <c r="AF165" s="27">
        <f t="shared" si="46"/>
        <v>16.341889153829143</v>
      </c>
      <c r="AG165" s="27">
        <f t="shared" si="46"/>
        <v>16.384434985595004</v>
      </c>
      <c r="AH165" s="27">
        <f t="shared" si="46"/>
        <v>16.427723661614785</v>
      </c>
      <c r="AI165" s="27">
        <f t="shared" si="46"/>
        <v>16.453347878804561</v>
      </c>
      <c r="AJ165" s="27">
        <f t="shared" si="46"/>
        <v>16.481391601385443</v>
      </c>
      <c r="AK165" s="27">
        <f t="shared" si="46"/>
        <v>16.511100045266552</v>
      </c>
      <c r="AL165" s="27">
        <f t="shared" si="46"/>
        <v>16.542862813406586</v>
      </c>
      <c r="AM165" s="27">
        <f t="shared" si="46"/>
        <v>16.576376781233034</v>
      </c>
      <c r="AN165" s="27">
        <f t="shared" si="46"/>
        <v>16.594247346579589</v>
      </c>
      <c r="AO165" s="27">
        <f t="shared" si="46"/>
        <v>16.613410035363255</v>
      </c>
      <c r="AP165" s="27">
        <f t="shared" si="46"/>
        <v>16.634160462915251</v>
      </c>
      <c r="AQ165" s="27">
        <f t="shared" si="46"/>
        <v>16.656536848310051</v>
      </c>
      <c r="AR165" s="27">
        <f t="shared" si="46"/>
        <v>16.680524418707119</v>
      </c>
      <c r="AS165" s="27">
        <f t="shared" si="46"/>
        <v>16.68868442435787</v>
      </c>
      <c r="AT165" s="27">
        <f t="shared" si="46"/>
        <v>16.695767676813599</v>
      </c>
      <c r="AU165" s="27">
        <f t="shared" si="46"/>
        <v>16.703924626566948</v>
      </c>
      <c r="AV165" s="27">
        <f t="shared" si="46"/>
        <v>16.713365572192938</v>
      </c>
      <c r="AW165" s="27">
        <f t="shared" si="46"/>
        <v>16.723944327870726</v>
      </c>
      <c r="AY165" s="79"/>
    </row>
    <row r="166" spans="1:51" x14ac:dyDescent="0.2">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22.381101687842737</v>
      </c>
      <c r="L166" s="27">
        <f t="shared" si="47"/>
        <v>22.439281748993185</v>
      </c>
      <c r="M166" s="27">
        <f t="shared" si="47"/>
        <v>22.519539087339325</v>
      </c>
      <c r="N166" s="27">
        <f t="shared" si="47"/>
        <v>22.617313721478972</v>
      </c>
      <c r="O166" s="27">
        <f t="shared" si="47"/>
        <v>22.73246619889365</v>
      </c>
      <c r="P166" s="27">
        <f t="shared" si="47"/>
        <v>22.864295641209328</v>
      </c>
      <c r="Q166" s="27">
        <f t="shared" si="47"/>
        <v>23.006172492556328</v>
      </c>
      <c r="R166" s="27">
        <f t="shared" si="47"/>
        <v>23.157535130977113</v>
      </c>
      <c r="S166" s="27">
        <f t="shared" si="47"/>
        <v>23.296592154028918</v>
      </c>
      <c r="T166" s="27">
        <f t="shared" si="47"/>
        <v>23.36428743168846</v>
      </c>
      <c r="U166" s="27">
        <f t="shared" si="47"/>
        <v>23.437048444169463</v>
      </c>
      <c r="V166" s="27">
        <f t="shared" si="47"/>
        <v>23.51576499418881</v>
      </c>
      <c r="W166" s="27">
        <f t="shared" si="47"/>
        <v>23.601301367881135</v>
      </c>
      <c r="X166" s="27">
        <f t="shared" si="47"/>
        <v>23.692135582275586</v>
      </c>
      <c r="Y166" s="27">
        <f t="shared" si="47"/>
        <v>23.748921303063014</v>
      </c>
      <c r="Z166" s="27">
        <f t="shared" si="47"/>
        <v>23.810348415540492</v>
      </c>
      <c r="AA166" s="27">
        <f t="shared" si="46"/>
        <v>23.876055640118153</v>
      </c>
      <c r="AB166" s="27">
        <f t="shared" si="46"/>
        <v>23.947481652818404</v>
      </c>
      <c r="AC166" s="27">
        <f t="shared" si="46"/>
        <v>24.022981082641</v>
      </c>
      <c r="AD166" s="27">
        <f t="shared" si="46"/>
        <v>24.072063804345781</v>
      </c>
      <c r="AE166" s="27">
        <f t="shared" si="46"/>
        <v>24.126121968354415</v>
      </c>
      <c r="AF166" s="27">
        <f t="shared" si="46"/>
        <v>24.184319634421552</v>
      </c>
      <c r="AG166" s="27">
        <f t="shared" si="46"/>
        <v>24.247283101181864</v>
      </c>
      <c r="AH166" s="27">
        <f t="shared" si="46"/>
        <v>24.311345901238735</v>
      </c>
      <c r="AI166" s="27">
        <f t="shared" si="46"/>
        <v>24.34926711420659</v>
      </c>
      <c r="AJ166" s="27">
        <f t="shared" si="46"/>
        <v>24.390768946966002</v>
      </c>
      <c r="AK166" s="27">
        <f t="shared" si="46"/>
        <v>24.434734396486487</v>
      </c>
      <c r="AL166" s="27">
        <f t="shared" si="46"/>
        <v>24.481740035182341</v>
      </c>
      <c r="AM166" s="27">
        <f t="shared" si="46"/>
        <v>24.531337269780067</v>
      </c>
      <c r="AN166" s="27">
        <f t="shared" si="46"/>
        <v>24.557783873371651</v>
      </c>
      <c r="AO166" s="27">
        <f t="shared" si="46"/>
        <v>24.586142687107124</v>
      </c>
      <c r="AP166" s="27">
        <f t="shared" si="46"/>
        <v>24.616851191353145</v>
      </c>
      <c r="AQ166" s="27">
        <f t="shared" si="46"/>
        <v>24.649965946419517</v>
      </c>
      <c r="AR166" s="27">
        <f t="shared" si="46"/>
        <v>24.685465090017612</v>
      </c>
      <c r="AS166" s="27">
        <f t="shared" si="46"/>
        <v>24.697541061346186</v>
      </c>
      <c r="AT166" s="27">
        <f t="shared" si="46"/>
        <v>24.708023548396984</v>
      </c>
      <c r="AU166" s="27">
        <f t="shared" si="46"/>
        <v>24.720094997310881</v>
      </c>
      <c r="AV166" s="27">
        <f t="shared" si="46"/>
        <v>24.734066628406943</v>
      </c>
      <c r="AW166" s="27">
        <f t="shared" si="46"/>
        <v>24.749722101665743</v>
      </c>
      <c r="AY166" s="79"/>
    </row>
    <row r="167" spans="1:51" x14ac:dyDescent="0.2">
      <c r="A167" s="95" t="str">
        <f t="shared" si="45"/>
        <v>FA Horses</v>
      </c>
      <c r="B167" s="95" t="s">
        <v>962</v>
      </c>
      <c r="C167" s="95" t="s">
        <v>3</v>
      </c>
      <c r="D167" t="s">
        <v>15</v>
      </c>
      <c r="E167" t="s">
        <v>16</v>
      </c>
      <c r="F167" t="s">
        <v>20</v>
      </c>
      <c r="G167" t="s">
        <v>3</v>
      </c>
      <c r="H167" t="s">
        <v>1020</v>
      </c>
      <c r="I167" t="s">
        <v>121</v>
      </c>
      <c r="J167" t="s">
        <v>286</v>
      </c>
      <c r="K167" s="27">
        <f t="shared" si="47"/>
        <v>5.5526214800767892</v>
      </c>
      <c r="L167" s="27">
        <f t="shared" si="46"/>
        <v>5.579523571019652</v>
      </c>
      <c r="M167" s="27">
        <f t="shared" si="46"/>
        <v>5.6203482259438022</v>
      </c>
      <c r="N167" s="27">
        <f t="shared" si="46"/>
        <v>5.629075655008374</v>
      </c>
      <c r="O167" s="27">
        <f t="shared" si="46"/>
        <v>5.6165815405282284</v>
      </c>
      <c r="P167" s="27">
        <f t="shared" si="46"/>
        <v>5.5833231296706103</v>
      </c>
      <c r="Q167" s="27">
        <f t="shared" si="46"/>
        <v>5.5648827699457346</v>
      </c>
      <c r="R167" s="27">
        <f t="shared" si="46"/>
        <v>5.5483103177944013</v>
      </c>
      <c r="S167" s="27">
        <f t="shared" si="46"/>
        <v>5.2545848231765602</v>
      </c>
      <c r="T167" s="27">
        <f t="shared" si="46"/>
        <v>5.3277448648735932</v>
      </c>
      <c r="U167" s="27">
        <f t="shared" si="46"/>
        <v>5.3771318788227438</v>
      </c>
      <c r="V167" s="27">
        <f t="shared" si="46"/>
        <v>5.4200550937003218</v>
      </c>
      <c r="W167" s="27">
        <f t="shared" si="46"/>
        <v>5.4726184084270573</v>
      </c>
      <c r="X167" s="27">
        <f t="shared" si="46"/>
        <v>5.5193093093258572</v>
      </c>
      <c r="Y167" s="27">
        <f t="shared" si="46"/>
        <v>5.5623143429133499</v>
      </c>
      <c r="Z167" s="27">
        <f t="shared" si="46"/>
        <v>5.6016190467987945</v>
      </c>
      <c r="AA167" s="27">
        <f t="shared" si="46"/>
        <v>5.6358734850599594</v>
      </c>
      <c r="AB167" s="27">
        <f t="shared" si="46"/>
        <v>5.6864221774832213</v>
      </c>
      <c r="AC167" s="27">
        <f t="shared" si="46"/>
        <v>5.734761216152096</v>
      </c>
      <c r="AD167" s="27">
        <f t="shared" si="46"/>
        <v>5.7937893665421401</v>
      </c>
      <c r="AE167" s="27">
        <f t="shared" si="46"/>
        <v>5.868728906856421</v>
      </c>
      <c r="AF167" s="27">
        <f t="shared" si="46"/>
        <v>5.95097387412393</v>
      </c>
      <c r="AG167" s="27">
        <f t="shared" si="46"/>
        <v>6.0502809540907023</v>
      </c>
      <c r="AH167" s="27">
        <f t="shared" si="46"/>
        <v>6.1220107529838179</v>
      </c>
      <c r="AI167" s="27">
        <f t="shared" si="46"/>
        <v>6.1941308642978408</v>
      </c>
      <c r="AJ167" s="27">
        <f t="shared" si="46"/>
        <v>6.2747694866131836</v>
      </c>
      <c r="AK167" s="27">
        <f t="shared" si="46"/>
        <v>6.3513096084096698</v>
      </c>
      <c r="AL167" s="27">
        <f t="shared" si="46"/>
        <v>6.4323283925814563</v>
      </c>
      <c r="AM167" s="27">
        <f t="shared" si="46"/>
        <v>6.5134158744418782</v>
      </c>
      <c r="AN167" s="27">
        <f t="shared" si="46"/>
        <v>6.6126163316975539</v>
      </c>
      <c r="AO167" s="27">
        <f t="shared" si="46"/>
        <v>6.7066735285892829</v>
      </c>
      <c r="AP167" s="27">
        <f t="shared" si="46"/>
        <v>6.8021224333407027</v>
      </c>
      <c r="AQ167" s="27">
        <f t="shared" si="46"/>
        <v>6.9006513009384864</v>
      </c>
      <c r="AR167" s="27">
        <f t="shared" si="46"/>
        <v>7.0028965831984893</v>
      </c>
      <c r="AS167" s="27">
        <f t="shared" si="46"/>
        <v>7.1267607896665828</v>
      </c>
      <c r="AT167" s="27">
        <f t="shared" si="46"/>
        <v>7.2071584727038323</v>
      </c>
      <c r="AU167" s="27">
        <f t="shared" si="46"/>
        <v>7.2845566532149562</v>
      </c>
      <c r="AV167" s="27">
        <f t="shared" si="46"/>
        <v>7.3636089922437549</v>
      </c>
      <c r="AW167" s="27">
        <f t="shared" si="46"/>
        <v>7.4423534956754249</v>
      </c>
      <c r="AY167" s="79"/>
    </row>
    <row r="168" spans="1:51" x14ac:dyDescent="0.2">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2">
      <c r="A169" s="95" t="str">
        <f t="shared" si="45"/>
        <v>FA Swine</v>
      </c>
      <c r="B169" s="95" t="s">
        <v>962</v>
      </c>
      <c r="C169" s="95" t="s">
        <v>155</v>
      </c>
      <c r="D169" t="s">
        <v>15</v>
      </c>
      <c r="E169" t="s">
        <v>16</v>
      </c>
      <c r="F169" t="s">
        <v>21</v>
      </c>
      <c r="G169" t="s">
        <v>122</v>
      </c>
      <c r="H169" t="s">
        <v>1020</v>
      </c>
      <c r="I169" t="s">
        <v>121</v>
      </c>
      <c r="J169" t="s">
        <v>286</v>
      </c>
      <c r="K169" s="27">
        <f t="shared" si="47"/>
        <v>1.8400999552016304</v>
      </c>
      <c r="L169" s="27">
        <f t="shared" si="46"/>
        <v>1.8300977880312255</v>
      </c>
      <c r="M169" s="27">
        <f t="shared" si="46"/>
        <v>1.8309187348828158</v>
      </c>
      <c r="N169" s="27">
        <f t="shared" si="46"/>
        <v>1.8141094978660448</v>
      </c>
      <c r="O169" s="27">
        <f t="shared" si="46"/>
        <v>1.7866561368117302</v>
      </c>
      <c r="P169" s="27">
        <f t="shared" si="46"/>
        <v>1.7489975228040084</v>
      </c>
      <c r="Q169" s="27">
        <f t="shared" si="46"/>
        <v>1.7216531928010095</v>
      </c>
      <c r="R169" s="27">
        <f t="shared" si="46"/>
        <v>1.6967284692901876</v>
      </c>
      <c r="S169" s="27">
        <f t="shared" si="46"/>
        <v>1.5117747469441463</v>
      </c>
      <c r="T169" s="27">
        <f t="shared" si="46"/>
        <v>1.5353784458928466</v>
      </c>
      <c r="U169" s="27">
        <f t="shared" si="46"/>
        <v>1.5454031535928081</v>
      </c>
      <c r="V169" s="27">
        <f t="shared" si="46"/>
        <v>1.5520051748391652</v>
      </c>
      <c r="W169" s="27">
        <f t="shared" si="46"/>
        <v>1.564229983889788</v>
      </c>
      <c r="X169" s="27">
        <f t="shared" si="46"/>
        <v>1.5733351038653358</v>
      </c>
      <c r="Y169" s="27">
        <f t="shared" si="46"/>
        <v>1.5781110770621192</v>
      </c>
      <c r="Z169" s="27">
        <f t="shared" si="46"/>
        <v>1.5810372890528743</v>
      </c>
      <c r="AA169" s="27">
        <f t="shared" si="46"/>
        <v>1.5814342334658642</v>
      </c>
      <c r="AB169" s="27">
        <f t="shared" si="46"/>
        <v>1.5906175911874081</v>
      </c>
      <c r="AC169" s="27">
        <f t="shared" si="46"/>
        <v>1.598639197477874</v>
      </c>
      <c r="AD169" s="27">
        <f t="shared" si="46"/>
        <v>1.6101808279098371</v>
      </c>
      <c r="AE169" s="27">
        <f t="shared" si="46"/>
        <v>1.6296768229523677</v>
      </c>
      <c r="AF169" s="27">
        <f t="shared" si="46"/>
        <v>1.6525077177354268</v>
      </c>
      <c r="AG169" s="27">
        <f t="shared" si="46"/>
        <v>1.6834189005947389</v>
      </c>
      <c r="AH169" s="27">
        <f t="shared" si="46"/>
        <v>1.7001060999840301</v>
      </c>
      <c r="AI169" s="27">
        <f t="shared" si="46"/>
        <v>1.714680678931171</v>
      </c>
      <c r="AJ169" s="27">
        <f t="shared" si="46"/>
        <v>1.7329967482102966</v>
      </c>
      <c r="AK169" s="27">
        <f t="shared" si="46"/>
        <v>1.7488990397133231</v>
      </c>
      <c r="AL169" s="27">
        <f t="shared" si="46"/>
        <v>1.7664947607476369</v>
      </c>
      <c r="AM169" s="27">
        <f t="shared" si="46"/>
        <v>1.7836580054040596</v>
      </c>
      <c r="AN169" s="27">
        <f t="shared" si="46"/>
        <v>1.8067654920152938</v>
      </c>
      <c r="AO169" s="27">
        <f t="shared" si="46"/>
        <v>1.8268312610518465</v>
      </c>
      <c r="AP169" s="27">
        <f t="shared" si="46"/>
        <v>1.8468791974694727</v>
      </c>
      <c r="AQ169" s="27">
        <f t="shared" si="46"/>
        <v>1.8676391522371276</v>
      </c>
      <c r="AR169" s="27">
        <f t="shared" si="46"/>
        <v>1.8893444874946981</v>
      </c>
      <c r="AS169" s="27">
        <f t="shared" si="46"/>
        <v>1.9176308190810374</v>
      </c>
      <c r="AT169" s="27">
        <f t="shared" si="46"/>
        <v>1.9263908565050327</v>
      </c>
      <c r="AU169" s="27">
        <f t="shared" si="46"/>
        <v>1.9333876275197814</v>
      </c>
      <c r="AV169" s="27">
        <f t="shared" si="46"/>
        <v>1.9406033255753634</v>
      </c>
      <c r="AW169" s="27">
        <f t="shared" si="46"/>
        <v>1.947207220691618</v>
      </c>
      <c r="AY169" s="79"/>
    </row>
    <row r="170" spans="1:51" x14ac:dyDescent="0.2">
      <c r="A170" s="95" t="str">
        <f t="shared" si="45"/>
        <v>FA Swine</v>
      </c>
      <c r="B170" s="95" t="s">
        <v>962</v>
      </c>
      <c r="C170" s="95" t="s">
        <v>155</v>
      </c>
      <c r="D170" t="s">
        <v>15</v>
      </c>
      <c r="E170" t="s">
        <v>16</v>
      </c>
      <c r="F170" t="s">
        <v>21</v>
      </c>
      <c r="G170" t="s">
        <v>123</v>
      </c>
      <c r="H170" t="s">
        <v>1020</v>
      </c>
      <c r="I170" t="s">
        <v>121</v>
      </c>
      <c r="J170" t="s">
        <v>286</v>
      </c>
      <c r="K170" s="27">
        <f t="shared" si="47"/>
        <v>0.25496723934882609</v>
      </c>
      <c r="L170" s="27">
        <f t="shared" si="46"/>
        <v>0.25358132281546897</v>
      </c>
      <c r="M170" s="27">
        <f t="shared" si="46"/>
        <v>0.25369507454499346</v>
      </c>
      <c r="N170" s="27">
        <f t="shared" si="46"/>
        <v>0.25136595935447842</v>
      </c>
      <c r="O170" s="27">
        <f t="shared" si="46"/>
        <v>0.24756197704412711</v>
      </c>
      <c r="P170" s="27">
        <f t="shared" si="46"/>
        <v>0.2423439383043785</v>
      </c>
      <c r="Q170" s="27">
        <f t="shared" si="46"/>
        <v>0.23855506351363703</v>
      </c>
      <c r="R170" s="27">
        <f t="shared" si="46"/>
        <v>0.23510145332951488</v>
      </c>
      <c r="S170" s="27">
        <f t="shared" si="46"/>
        <v>0.20947396507239346</v>
      </c>
      <c r="T170" s="27">
        <f t="shared" si="46"/>
        <v>0.21274453194695842</v>
      </c>
      <c r="U170" s="27">
        <f t="shared" si="46"/>
        <v>0.21413357173271183</v>
      </c>
      <c r="V170" s="27">
        <f t="shared" si="46"/>
        <v>0.21504835852271614</v>
      </c>
      <c r="W170" s="27">
        <f t="shared" si="46"/>
        <v>0.21674224792605687</v>
      </c>
      <c r="X170" s="27">
        <f t="shared" si="46"/>
        <v>0.21800386814268849</v>
      </c>
      <c r="Y170" s="27">
        <f t="shared" si="46"/>
        <v>0.21866563474821746</v>
      </c>
      <c r="Z170" s="27">
        <f t="shared" si="46"/>
        <v>0.21907109543578676</v>
      </c>
      <c r="AA170" s="27">
        <f t="shared" si="46"/>
        <v>0.21912609669855451</v>
      </c>
      <c r="AB170" s="27">
        <f t="shared" si="46"/>
        <v>0.22039855766438188</v>
      </c>
      <c r="AC170" s="27">
        <f t="shared" si="46"/>
        <v>0.22151004446445585</v>
      </c>
      <c r="AD170" s="27">
        <f t="shared" si="46"/>
        <v>0.22310927152845497</v>
      </c>
      <c r="AE170" s="27">
        <f t="shared" si="46"/>
        <v>0.22581066827611573</v>
      </c>
      <c r="AF170" s="27">
        <f t="shared" si="46"/>
        <v>0.22897415414993735</v>
      </c>
      <c r="AG170" s="27">
        <f t="shared" si="46"/>
        <v>0.23325725786741008</v>
      </c>
      <c r="AH170" s="27">
        <f t="shared" si="46"/>
        <v>0.2355694633259906</v>
      </c>
      <c r="AI170" s="27">
        <f t="shared" si="46"/>
        <v>0.23758894066379471</v>
      </c>
      <c r="AJ170" s="27">
        <f t="shared" si="46"/>
        <v>0.24012684498068754</v>
      </c>
      <c r="AK170" s="27">
        <f t="shared" si="46"/>
        <v>0.24233029232733053</v>
      </c>
      <c r="AL170" s="27">
        <f t="shared" si="46"/>
        <v>0.24476838402109372</v>
      </c>
      <c r="AM170" s="27">
        <f t="shared" si="46"/>
        <v>0.2471465510853047</v>
      </c>
      <c r="AN170" s="27">
        <f t="shared" si="46"/>
        <v>0.25034836197220872</v>
      </c>
      <c r="AO170" s="27">
        <f t="shared" si="46"/>
        <v>0.25312870753017624</v>
      </c>
      <c r="AP170" s="27">
        <f t="shared" si="46"/>
        <v>0.25590658217149315</v>
      </c>
      <c r="AQ170" s="27">
        <f t="shared" si="46"/>
        <v>0.25878311523218522</v>
      </c>
      <c r="AR170" s="27">
        <f t="shared" si="46"/>
        <v>0.26179064174949174</v>
      </c>
      <c r="AS170" s="27">
        <f t="shared" si="46"/>
        <v>0.26571004181006297</v>
      </c>
      <c r="AT170" s="27">
        <f t="shared" si="46"/>
        <v>0.26692384682770609</v>
      </c>
      <c r="AU170" s="27">
        <f t="shared" si="46"/>
        <v>0.26789333078695698</v>
      </c>
      <c r="AV170" s="27">
        <f t="shared" si="46"/>
        <v>0.26889314963267008</v>
      </c>
      <c r="AW170" s="27">
        <f t="shared" si="46"/>
        <v>0.26980819606913181</v>
      </c>
      <c r="AY170" s="79"/>
    </row>
    <row r="171" spans="1:51" x14ac:dyDescent="0.2">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7.3924283487896005</v>
      </c>
      <c r="M171" s="27">
        <f t="shared" si="46"/>
        <v>7.4507389435191715</v>
      </c>
      <c r="N171" s="27">
        <f t="shared" si="46"/>
        <v>7.4882097119910753</v>
      </c>
      <c r="O171" s="27">
        <f t="shared" si="46"/>
        <v>7.5131092090175455</v>
      </c>
      <c r="P171" s="27">
        <f t="shared" si="46"/>
        <v>7.5251923679492405</v>
      </c>
      <c r="Q171" s="27">
        <f t="shared" si="46"/>
        <v>7.5518885629203734</v>
      </c>
      <c r="R171" s="27">
        <f t="shared" si="46"/>
        <v>7.5825135825669046</v>
      </c>
      <c r="S171" s="27">
        <f t="shared" si="46"/>
        <v>7.3749406226465846</v>
      </c>
      <c r="T171" s="27">
        <f t="shared" si="46"/>
        <v>7.4596947338228921</v>
      </c>
      <c r="U171" s="27">
        <f t="shared" si="46"/>
        <v>7.5261085209621994</v>
      </c>
      <c r="V171" s="27">
        <f t="shared" si="46"/>
        <v>7.5890282866946253</v>
      </c>
      <c r="W171" s="27">
        <f t="shared" si="46"/>
        <v>7.6625876396153867</v>
      </c>
      <c r="X171" s="27">
        <f t="shared" si="46"/>
        <v>7.733033452737752</v>
      </c>
      <c r="Y171" s="27">
        <f t="shared" si="46"/>
        <v>7.7921158726045912</v>
      </c>
      <c r="Z171" s="27">
        <f t="shared" si="46"/>
        <v>7.8495573007710338</v>
      </c>
      <c r="AA171" s="27">
        <f t="shared" si="46"/>
        <v>7.9040412638168576</v>
      </c>
      <c r="AB171" s="27">
        <f t="shared" si="46"/>
        <v>7.9749152148387106</v>
      </c>
      <c r="AC171" s="27">
        <f t="shared" si="46"/>
        <v>8.0454247210614032</v>
      </c>
      <c r="AD171" s="27">
        <f t="shared" si="46"/>
        <v>8.118986526852904</v>
      </c>
      <c r="AE171" s="27">
        <f t="shared" si="46"/>
        <v>8.2087302780498543</v>
      </c>
      <c r="AF171" s="27">
        <f t="shared" si="46"/>
        <v>8.3068407116005449</v>
      </c>
      <c r="AG171" s="27">
        <f t="shared" si="46"/>
        <v>8.4224927361534156</v>
      </c>
      <c r="AH171" s="27">
        <f t="shared" si="46"/>
        <v>8.5140894306414712</v>
      </c>
      <c r="AI171" s="27">
        <f t="shared" si="46"/>
        <v>8.5991817671771109</v>
      </c>
      <c r="AJ171" s="27">
        <f t="shared" si="46"/>
        <v>8.6936031201600006</v>
      </c>
      <c r="AK171" s="27">
        <f t="shared" si="46"/>
        <v>8.7854891773357977</v>
      </c>
      <c r="AL171" s="27">
        <f t="shared" si="46"/>
        <v>8.8829387927935777</v>
      </c>
      <c r="AM171" s="27">
        <f t="shared" si="46"/>
        <v>8.981789259815093</v>
      </c>
      <c r="AN171" s="27">
        <f t="shared" si="46"/>
        <v>9.0910335877436168</v>
      </c>
      <c r="AO171" s="27">
        <f t="shared" si="46"/>
        <v>9.1965466271076242</v>
      </c>
      <c r="AP171" s="27">
        <f t="shared" si="46"/>
        <v>9.3045679627692603</v>
      </c>
      <c r="AQ171" s="27">
        <f t="shared" si="46"/>
        <v>9.416735487095643</v>
      </c>
      <c r="AR171" s="27">
        <f t="shared" si="46"/>
        <v>9.5336904606360946</v>
      </c>
      <c r="AS171" s="27">
        <f t="shared" si="46"/>
        <v>9.6639189531179213</v>
      </c>
      <c r="AT171" s="27">
        <f t="shared" si="46"/>
        <v>9.7529871408715216</v>
      </c>
      <c r="AU171" s="27">
        <f t="shared" si="46"/>
        <v>9.8400068754522785</v>
      </c>
      <c r="AV171" s="27">
        <f t="shared" si="46"/>
        <v>9.9294924345892497</v>
      </c>
      <c r="AW171" s="27">
        <f t="shared" si="46"/>
        <v>10.019533761751701</v>
      </c>
      <c r="AY171" s="79"/>
    </row>
    <row r="172" spans="1:51" x14ac:dyDescent="0.2">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2.1061581299686476</v>
      </c>
      <c r="M172" s="27">
        <f t="shared" si="46"/>
        <v>2.1227712545548472</v>
      </c>
      <c r="N172" s="27">
        <f t="shared" si="46"/>
        <v>2.1334469567638776</v>
      </c>
      <c r="O172" s="27">
        <f t="shared" si="46"/>
        <v>2.1405410097083362</v>
      </c>
      <c r="P172" s="27">
        <f t="shared" ref="L172:AW178" si="48">P1394</f>
        <v>2.143983592066792</v>
      </c>
      <c r="Q172" s="27">
        <f t="shared" si="48"/>
        <v>2.151589537694508</v>
      </c>
      <c r="R172" s="27">
        <f t="shared" si="48"/>
        <v>2.1603148348588084</v>
      </c>
      <c r="S172" s="27">
        <f t="shared" si="48"/>
        <v>2.1011757459869611</v>
      </c>
      <c r="T172" s="27">
        <f t="shared" si="48"/>
        <v>2.1253228261993073</v>
      </c>
      <c r="U172" s="27">
        <f t="shared" si="48"/>
        <v>2.1442446109127653</v>
      </c>
      <c r="V172" s="27">
        <f t="shared" si="48"/>
        <v>2.162170922793051</v>
      </c>
      <c r="W172" s="27">
        <f t="shared" si="48"/>
        <v>2.1831285326445773</v>
      </c>
      <c r="X172" s="27">
        <f t="shared" si="48"/>
        <v>2.2031990717190912</v>
      </c>
      <c r="Y172" s="27">
        <f t="shared" si="48"/>
        <v>2.2200320950599446</v>
      </c>
      <c r="Z172" s="27">
        <f t="shared" si="48"/>
        <v>2.2363975875911741</v>
      </c>
      <c r="AA172" s="27">
        <f t="shared" si="48"/>
        <v>2.2519204761884857</v>
      </c>
      <c r="AB172" s="27">
        <f t="shared" si="48"/>
        <v>2.2721129949529209</v>
      </c>
      <c r="AC172" s="27">
        <f t="shared" si="48"/>
        <v>2.2922016806681249</v>
      </c>
      <c r="AD172" s="27">
        <f t="shared" si="48"/>
        <v>2.3131599893608721</v>
      </c>
      <c r="AE172" s="27">
        <f t="shared" si="48"/>
        <v>2.3387286553362805</v>
      </c>
      <c r="AF172" s="27">
        <f t="shared" si="48"/>
        <v>2.3666810516948278</v>
      </c>
      <c r="AG172" s="27">
        <f t="shared" si="48"/>
        <v>2.3996311785363349</v>
      </c>
      <c r="AH172" s="27">
        <f t="shared" si="48"/>
        <v>2.4257277619149016</v>
      </c>
      <c r="AI172" s="27">
        <f t="shared" si="48"/>
        <v>2.4499712050619578</v>
      </c>
      <c r="AJ172" s="27">
        <f t="shared" si="48"/>
        <v>2.4768725547733976</v>
      </c>
      <c r="AK172" s="27">
        <f t="shared" si="48"/>
        <v>2.5030515797460584</v>
      </c>
      <c r="AL172" s="27">
        <f t="shared" si="48"/>
        <v>2.5308157040871935</v>
      </c>
      <c r="AM172" s="27">
        <f t="shared" si="48"/>
        <v>2.5589789415168327</v>
      </c>
      <c r="AN172" s="27">
        <f t="shared" si="48"/>
        <v>2.5901034676621961</v>
      </c>
      <c r="AO172" s="27">
        <f t="shared" si="48"/>
        <v>2.6201649217864809</v>
      </c>
      <c r="AP172" s="27">
        <f t="shared" si="48"/>
        <v>2.6509410082873499</v>
      </c>
      <c r="AQ172" s="27">
        <f t="shared" si="48"/>
        <v>2.6828983749511943</v>
      </c>
      <c r="AR172" s="27">
        <f t="shared" si="48"/>
        <v>2.7162197217049746</v>
      </c>
      <c r="AS172" s="27">
        <f t="shared" si="48"/>
        <v>2.7533227932875448</v>
      </c>
      <c r="AT172" s="27">
        <f t="shared" si="48"/>
        <v>2.7786989861849074</v>
      </c>
      <c r="AU172" s="27">
        <f t="shared" si="48"/>
        <v>2.8034915594514418</v>
      </c>
      <c r="AV172" s="27">
        <f t="shared" si="48"/>
        <v>2.8289866645777546</v>
      </c>
      <c r="AW172" s="27">
        <f t="shared" si="48"/>
        <v>2.854640112171523</v>
      </c>
      <c r="AY172" s="79"/>
    </row>
    <row r="173" spans="1:51" x14ac:dyDescent="0.2">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0.43500213637199753</v>
      </c>
      <c r="M173" s="27">
        <f t="shared" si="48"/>
        <v>0.43843338143569016</v>
      </c>
      <c r="N173" s="27">
        <f t="shared" si="48"/>
        <v>0.44063832189202168</v>
      </c>
      <c r="O173" s="27">
        <f t="shared" si="48"/>
        <v>0.44210351490980404</v>
      </c>
      <c r="P173" s="27">
        <f t="shared" si="48"/>
        <v>0.44281453971808232</v>
      </c>
      <c r="Q173" s="27">
        <f t="shared" si="48"/>
        <v>0.44438545813589125</v>
      </c>
      <c r="R173" s="27">
        <f t="shared" si="48"/>
        <v>0.44618756541973886</v>
      </c>
      <c r="S173" s="27">
        <f t="shared" si="48"/>
        <v>0.43397308368814624</v>
      </c>
      <c r="T173" s="27">
        <f t="shared" si="48"/>
        <v>0.43896037848337277</v>
      </c>
      <c r="U173" s="27">
        <f t="shared" si="48"/>
        <v>0.4428684500840781</v>
      </c>
      <c r="V173" s="27">
        <f t="shared" si="48"/>
        <v>0.44657091850477143</v>
      </c>
      <c r="W173" s="27">
        <f t="shared" si="48"/>
        <v>0.45089946579138956</v>
      </c>
      <c r="X173" s="27">
        <f t="shared" si="48"/>
        <v>0.45504479906495582</v>
      </c>
      <c r="Y173" s="27">
        <f t="shared" si="48"/>
        <v>0.4585214616244665</v>
      </c>
      <c r="Z173" s="27">
        <f t="shared" si="48"/>
        <v>0.46190156120605425</v>
      </c>
      <c r="AA173" s="27">
        <f t="shared" si="48"/>
        <v>0.46510763087689888</v>
      </c>
      <c r="AB173" s="27">
        <f t="shared" si="48"/>
        <v>0.46927815761763869</v>
      </c>
      <c r="AC173" s="27">
        <f t="shared" si="48"/>
        <v>0.47342723886594434</v>
      </c>
      <c r="AD173" s="27">
        <f t="shared" si="48"/>
        <v>0.4777559304899795</v>
      </c>
      <c r="AE173" s="27">
        <f t="shared" si="48"/>
        <v>0.48303683706827621</v>
      </c>
      <c r="AF173" s="27">
        <f t="shared" si="48"/>
        <v>0.48881007506008173</v>
      </c>
      <c r="AG173" s="27">
        <f t="shared" si="48"/>
        <v>0.49561553537468644</v>
      </c>
      <c r="AH173" s="27">
        <f t="shared" si="48"/>
        <v>0.50100547707002141</v>
      </c>
      <c r="AI173" s="27">
        <f t="shared" si="48"/>
        <v>0.50601267449357823</v>
      </c>
      <c r="AJ173" s="27">
        <f t="shared" si="48"/>
        <v>0.51156883118915397</v>
      </c>
      <c r="AK173" s="27">
        <f t="shared" si="48"/>
        <v>0.51697580022400658</v>
      </c>
      <c r="AL173" s="27">
        <f t="shared" si="48"/>
        <v>0.52271015284978539</v>
      </c>
      <c r="AM173" s="27">
        <f t="shared" si="48"/>
        <v>0.52852693757963265</v>
      </c>
      <c r="AN173" s="27">
        <f t="shared" si="48"/>
        <v>0.5349553415888797</v>
      </c>
      <c r="AO173" s="27">
        <f t="shared" si="48"/>
        <v>0.54116418060264715</v>
      </c>
      <c r="AP173" s="27">
        <f t="shared" si="48"/>
        <v>0.54752061851039679</v>
      </c>
      <c r="AQ173" s="27">
        <f t="shared" si="48"/>
        <v>0.55412103591201056</v>
      </c>
      <c r="AR173" s="27">
        <f t="shared" si="48"/>
        <v>0.56100316732391087</v>
      </c>
      <c r="AS173" s="27">
        <f t="shared" si="48"/>
        <v>0.56866636942385063</v>
      </c>
      <c r="AT173" s="27">
        <f t="shared" si="48"/>
        <v>0.57390752295656533</v>
      </c>
      <c r="AU173" s="27">
        <f t="shared" si="48"/>
        <v>0.57902813673368103</v>
      </c>
      <c r="AV173" s="27">
        <f t="shared" si="48"/>
        <v>0.58429385018566193</v>
      </c>
      <c r="AW173" s="27">
        <f t="shared" si="48"/>
        <v>0.5895922674079066</v>
      </c>
      <c r="AY173" s="79"/>
    </row>
    <row r="174" spans="1:51" x14ac:dyDescent="0.2">
      <c r="A174" s="95" t="str">
        <f t="shared" si="45"/>
        <v>FA Cattle MMCH4</v>
      </c>
      <c r="B174" s="95" t="s">
        <v>962</v>
      </c>
      <c r="C174" s="95" t="s">
        <v>1229</v>
      </c>
      <c r="D174" t="s">
        <v>15</v>
      </c>
      <c r="E174" t="s">
        <v>22</v>
      </c>
      <c r="F174" t="s">
        <v>67</v>
      </c>
      <c r="G174" t="s">
        <v>122</v>
      </c>
      <c r="H174" t="s">
        <v>1227</v>
      </c>
      <c r="I174" t="s">
        <v>121</v>
      </c>
      <c r="J174" t="s">
        <v>286</v>
      </c>
      <c r="K174" s="27">
        <f t="shared" si="47"/>
        <v>9.4871637196006553E-2</v>
      </c>
      <c r="L174" s="27">
        <f t="shared" si="48"/>
        <v>9.4048845784615531E-2</v>
      </c>
      <c r="M174" s="27">
        <f t="shared" si="48"/>
        <v>9.3735634002294246E-2</v>
      </c>
      <c r="N174" s="27">
        <f t="shared" si="48"/>
        <v>9.2483917307495084E-2</v>
      </c>
      <c r="O174" s="27">
        <f t="shared" si="48"/>
        <v>9.0667019955957398E-2</v>
      </c>
      <c r="P174" s="27">
        <f t="shared" si="48"/>
        <v>8.8322512540543865E-2</v>
      </c>
      <c r="Q174" s="27">
        <f t="shared" si="48"/>
        <v>8.6473330972337892E-2</v>
      </c>
      <c r="R174" s="27">
        <f t="shared" si="48"/>
        <v>8.4723794986300283E-2</v>
      </c>
      <c r="S174" s="27">
        <f t="shared" si="48"/>
        <v>7.5194221843696937E-2</v>
      </c>
      <c r="T174" s="27">
        <f t="shared" si="48"/>
        <v>7.6632536915557561E-2</v>
      </c>
      <c r="U174" s="27">
        <f t="shared" si="48"/>
        <v>7.7401549005272907E-2</v>
      </c>
      <c r="V174" s="27">
        <f t="shared" si="48"/>
        <v>7.7993527400119084E-2</v>
      </c>
      <c r="W174" s="27">
        <f t="shared" si="48"/>
        <v>7.8850028173398812E-2</v>
      </c>
      <c r="X174" s="27">
        <f t="shared" si="48"/>
        <v>7.9545124288710786E-2</v>
      </c>
      <c r="Y174" s="27">
        <f t="shared" si="48"/>
        <v>7.9993221888415164E-2</v>
      </c>
      <c r="Z174" s="27">
        <f t="shared" si="48"/>
        <v>8.0342032341122221E-2</v>
      </c>
      <c r="AA174" s="27">
        <f t="shared" si="48"/>
        <v>8.0558218611879576E-2</v>
      </c>
      <c r="AB174" s="27">
        <f t="shared" si="48"/>
        <v>8.1198214942881639E-2</v>
      </c>
      <c r="AC174" s="27">
        <f t="shared" si="48"/>
        <v>8.1774057106542911E-2</v>
      </c>
      <c r="AD174" s="27">
        <f t="shared" si="48"/>
        <v>8.1803756887802739E-2</v>
      </c>
      <c r="AE174" s="27">
        <f t="shared" si="48"/>
        <v>8.2189518118440233E-2</v>
      </c>
      <c r="AF174" s="27">
        <f t="shared" si="48"/>
        <v>8.2699636683975147E-2</v>
      </c>
      <c r="AG174" s="27">
        <f t="shared" si="48"/>
        <v>8.3556074547621109E-2</v>
      </c>
      <c r="AH174" s="27">
        <f t="shared" si="48"/>
        <v>8.3692861347297365E-2</v>
      </c>
      <c r="AI174" s="27">
        <f t="shared" si="48"/>
        <v>8.3678502694708126E-2</v>
      </c>
      <c r="AJ174" s="27">
        <f t="shared" si="48"/>
        <v>8.380415826329729E-2</v>
      </c>
      <c r="AK174" s="27">
        <f t="shared" si="48"/>
        <v>8.3780965761712248E-2</v>
      </c>
      <c r="AL174" s="27">
        <f t="shared" si="48"/>
        <v>8.3798710851856847E-2</v>
      </c>
      <c r="AM174" s="27">
        <f t="shared" si="48"/>
        <v>8.3758438816059183E-2</v>
      </c>
      <c r="AN174" s="27">
        <f t="shared" si="48"/>
        <v>8.4359602001058728E-2</v>
      </c>
      <c r="AO174" s="27">
        <f t="shared" si="48"/>
        <v>8.4799386999346651E-2</v>
      </c>
      <c r="AP174" s="27">
        <f t="shared" si="48"/>
        <v>8.5213797519739967E-2</v>
      </c>
      <c r="AQ174" s="27">
        <f t="shared" si="48"/>
        <v>8.5634541045958551E-2</v>
      </c>
      <c r="AR174" s="27">
        <f t="shared" si="48"/>
        <v>8.6070741793779534E-2</v>
      </c>
      <c r="AS174" s="27">
        <f t="shared" si="48"/>
        <v>8.6754318409979284E-2</v>
      </c>
      <c r="AT174" s="27">
        <f t="shared" si="48"/>
        <v>8.6561782662480824E-2</v>
      </c>
      <c r="AU174" s="27">
        <f t="shared" si="48"/>
        <v>8.6273112387571071E-2</v>
      </c>
      <c r="AV174" s="27">
        <f t="shared" si="48"/>
        <v>8.5974128279328724E-2</v>
      </c>
      <c r="AW174" s="27">
        <f t="shared" si="48"/>
        <v>8.5629055859458861E-2</v>
      </c>
      <c r="AY174" s="79"/>
    </row>
    <row r="175" spans="1:51" x14ac:dyDescent="0.2">
      <c r="A175" s="95" t="str">
        <f t="shared" si="45"/>
        <v>FA Cattle MMCH4</v>
      </c>
      <c r="B175" s="95" t="s">
        <v>962</v>
      </c>
      <c r="C175" s="95" t="s">
        <v>1229</v>
      </c>
      <c r="D175" t="s">
        <v>15</v>
      </c>
      <c r="E175" t="s">
        <v>22</v>
      </c>
      <c r="F175" t="s">
        <v>67</v>
      </c>
      <c r="G175" t="s">
        <v>123</v>
      </c>
      <c r="H175" t="s">
        <v>1227</v>
      </c>
      <c r="I175" t="s">
        <v>121</v>
      </c>
      <c r="J175" t="s">
        <v>286</v>
      </c>
      <c r="K175" s="27">
        <f t="shared" si="47"/>
        <v>6.9689449734106304E-2</v>
      </c>
      <c r="L175" s="27">
        <f t="shared" si="48"/>
        <v>6.908505539244103E-2</v>
      </c>
      <c r="M175" s="27">
        <f t="shared" si="48"/>
        <v>6.8854980763127793E-2</v>
      </c>
      <c r="N175" s="27">
        <f t="shared" si="48"/>
        <v>6.7935512624264269E-2</v>
      </c>
      <c r="O175" s="27">
        <f t="shared" si="48"/>
        <v>6.6600882165738284E-2</v>
      </c>
      <c r="P175" s="27">
        <f t="shared" si="48"/>
        <v>6.4878687456057696E-2</v>
      </c>
      <c r="Q175" s="27">
        <f t="shared" si="48"/>
        <v>6.3520342119606069E-2</v>
      </c>
      <c r="R175" s="27">
        <f t="shared" si="48"/>
        <v>6.2235193009075998E-2</v>
      </c>
      <c r="S175" s="27">
        <f t="shared" si="48"/>
        <v>5.5235095528552075E-2</v>
      </c>
      <c r="T175" s="27">
        <f t="shared" si="48"/>
        <v>5.629163243320303E-2</v>
      </c>
      <c r="U175" s="27">
        <f t="shared" si="48"/>
        <v>5.6856522330279623E-2</v>
      </c>
      <c r="V175" s="27">
        <f t="shared" si="48"/>
        <v>5.7291369348952612E-2</v>
      </c>
      <c r="W175" s="27">
        <f t="shared" si="48"/>
        <v>5.7920525431327162E-2</v>
      </c>
      <c r="X175" s="27">
        <f t="shared" si="48"/>
        <v>5.8431119189589487E-2</v>
      </c>
      <c r="Y175" s="27">
        <f t="shared" si="48"/>
        <v>5.8760276312556113E-2</v>
      </c>
      <c r="Z175" s="27">
        <f t="shared" si="48"/>
        <v>5.9016500503780274E-2</v>
      </c>
      <c r="AA175" s="27">
        <f t="shared" si="48"/>
        <v>5.9175303521145986E-2</v>
      </c>
      <c r="AB175" s="27">
        <f t="shared" si="48"/>
        <v>5.9645422868272187E-2</v>
      </c>
      <c r="AC175" s="27">
        <f t="shared" si="48"/>
        <v>6.0068416765134525E-2</v>
      </c>
      <c r="AD175" s="27">
        <f t="shared" si="48"/>
        <v>6.0090233205478502E-2</v>
      </c>
      <c r="AE175" s="27">
        <f t="shared" si="48"/>
        <v>6.0373600170426478E-2</v>
      </c>
      <c r="AF175" s="27">
        <f t="shared" si="48"/>
        <v>6.0748315767015518E-2</v>
      </c>
      <c r="AG175" s="27">
        <f t="shared" si="48"/>
        <v>6.1377425638131498E-2</v>
      </c>
      <c r="AH175" s="27">
        <f t="shared" si="48"/>
        <v>6.1477904528156692E-2</v>
      </c>
      <c r="AI175" s="27">
        <f t="shared" si="48"/>
        <v>6.1467357154595496E-2</v>
      </c>
      <c r="AJ175" s="27">
        <f t="shared" si="48"/>
        <v>6.1559659424165428E-2</v>
      </c>
      <c r="AK175" s="27">
        <f t="shared" si="48"/>
        <v>6.1542623008212359E-2</v>
      </c>
      <c r="AL175" s="27">
        <f t="shared" si="48"/>
        <v>6.155565794261645E-2</v>
      </c>
      <c r="AM175" s="27">
        <f t="shared" si="48"/>
        <v>6.1526075486812389E-2</v>
      </c>
      <c r="AN175" s="27">
        <f t="shared" si="48"/>
        <v>6.1967669337211172E-2</v>
      </c>
      <c r="AO175" s="27">
        <f t="shared" si="48"/>
        <v>6.2290720308374216E-2</v>
      </c>
      <c r="AP175" s="27">
        <f t="shared" si="48"/>
        <v>6.2595132058648639E-2</v>
      </c>
      <c r="AQ175" s="27">
        <f t="shared" si="48"/>
        <v>6.2904195817723246E-2</v>
      </c>
      <c r="AR175" s="27">
        <f t="shared" si="48"/>
        <v>6.3224613921465334E-2</v>
      </c>
      <c r="AS175" s="27">
        <f t="shared" si="48"/>
        <v>6.3726745850902156E-2</v>
      </c>
      <c r="AT175" s="27">
        <f t="shared" si="48"/>
        <v>6.3585315696496877E-2</v>
      </c>
      <c r="AU175" s="27">
        <f t="shared" si="48"/>
        <v>6.3373268416533846E-2</v>
      </c>
      <c r="AV175" s="27">
        <f t="shared" si="48"/>
        <v>6.3153644948461887E-2</v>
      </c>
      <c r="AW175" s="27">
        <f t="shared" si="48"/>
        <v>6.2900166587911782E-2</v>
      </c>
      <c r="AY175" s="79"/>
    </row>
    <row r="176" spans="1:51" x14ac:dyDescent="0.2">
      <c r="A176" s="95" t="str">
        <f t="shared" si="45"/>
        <v>FA Cattle MMCH4</v>
      </c>
      <c r="B176" s="95" t="s">
        <v>962</v>
      </c>
      <c r="C176" s="95" t="s">
        <v>1229</v>
      </c>
      <c r="D176" t="s">
        <v>15</v>
      </c>
      <c r="E176" t="s">
        <v>22</v>
      </c>
      <c r="F176" t="s">
        <v>67</v>
      </c>
      <c r="G176" t="s">
        <v>135</v>
      </c>
      <c r="H176" t="s">
        <v>1227</v>
      </c>
      <c r="I176" t="s">
        <v>121</v>
      </c>
      <c r="J176" t="s">
        <v>286</v>
      </c>
      <c r="K176" s="27">
        <f t="shared" si="47"/>
        <v>0.47107022937833831</v>
      </c>
      <c r="L176" s="27">
        <f t="shared" si="48"/>
        <v>0.48695387967725956</v>
      </c>
      <c r="M176" s="27">
        <f t="shared" si="48"/>
        <v>0.50580611066616787</v>
      </c>
      <c r="N176" s="27">
        <f t="shared" si="48"/>
        <v>0.51986569055899412</v>
      </c>
      <c r="O176" s="27">
        <f t="shared" si="48"/>
        <v>0.53070826286138573</v>
      </c>
      <c r="P176" s="27">
        <f t="shared" si="48"/>
        <v>0.53817886796858128</v>
      </c>
      <c r="Q176" s="27">
        <f t="shared" si="48"/>
        <v>0.54837935702304741</v>
      </c>
      <c r="R176" s="27">
        <f t="shared" si="48"/>
        <v>0.55907244781022658</v>
      </c>
      <c r="S176" s="27">
        <f t="shared" si="48"/>
        <v>0.51624279949509155</v>
      </c>
      <c r="T176" s="27">
        <f t="shared" si="48"/>
        <v>0.53879307932677856</v>
      </c>
      <c r="U176" s="27">
        <f t="shared" si="48"/>
        <v>0.55713109899852753</v>
      </c>
      <c r="V176" s="27">
        <f t="shared" si="48"/>
        <v>0.57456229359809852</v>
      </c>
      <c r="W176" s="27">
        <f t="shared" si="48"/>
        <v>0.59433872658918863</v>
      </c>
      <c r="X176" s="27">
        <f t="shared" si="48"/>
        <v>0.61332693480888556</v>
      </c>
      <c r="Y176" s="27">
        <f t="shared" si="48"/>
        <v>0.63078242094770143</v>
      </c>
      <c r="Z176" s="27">
        <f t="shared" si="48"/>
        <v>0.64777903840881934</v>
      </c>
      <c r="AA176" s="27">
        <f t="shared" si="48"/>
        <v>0.66400113500174907</v>
      </c>
      <c r="AB176" s="27">
        <f t="shared" si="48"/>
        <v>0.68407603128870909</v>
      </c>
      <c r="AC176" s="27">
        <f t="shared" si="48"/>
        <v>0.70404867201485544</v>
      </c>
      <c r="AD176" s="27">
        <f t="shared" si="48"/>
        <v>0.72766101903000513</v>
      </c>
      <c r="AE176" s="27">
        <f t="shared" si="48"/>
        <v>0.75538392864169213</v>
      </c>
      <c r="AF176" s="27">
        <f t="shared" si="48"/>
        <v>0.78539118200338776</v>
      </c>
      <c r="AG176" s="27">
        <f t="shared" si="48"/>
        <v>0.8200419216488164</v>
      </c>
      <c r="AH176" s="27">
        <f t="shared" si="48"/>
        <v>0.8489366901406914</v>
      </c>
      <c r="AI176" s="27">
        <f t="shared" si="48"/>
        <v>0.87738791798686844</v>
      </c>
      <c r="AJ176" s="27">
        <f t="shared" si="48"/>
        <v>0.90845821020325546</v>
      </c>
      <c r="AK176" s="27">
        <f t="shared" si="48"/>
        <v>0.93913064377113187</v>
      </c>
      <c r="AL176" s="27">
        <f t="shared" si="48"/>
        <v>0.97151128715932467</v>
      </c>
      <c r="AM176" s="27">
        <f t="shared" si="48"/>
        <v>1.0045387395175103</v>
      </c>
      <c r="AN176" s="27">
        <f t="shared" si="48"/>
        <v>1.0402953867873999</v>
      </c>
      <c r="AO176" s="27">
        <f t="shared" si="48"/>
        <v>1.0753258690752492</v>
      </c>
      <c r="AP176" s="27">
        <f t="shared" si="48"/>
        <v>1.1112943424505797</v>
      </c>
      <c r="AQ176" s="27">
        <f t="shared" si="48"/>
        <v>1.1486611306142331</v>
      </c>
      <c r="AR176" s="27">
        <f t="shared" si="48"/>
        <v>1.1876258937828315</v>
      </c>
      <c r="AS176" s="27">
        <f t="shared" si="48"/>
        <v>1.2315704356820807</v>
      </c>
      <c r="AT176" s="27">
        <f t="shared" si="48"/>
        <v>1.2644650423303223</v>
      </c>
      <c r="AU176" s="27">
        <f t="shared" si="48"/>
        <v>1.2970080883934705</v>
      </c>
      <c r="AV176" s="27">
        <f t="shared" si="48"/>
        <v>1.3304588860507658</v>
      </c>
      <c r="AW176" s="27">
        <f t="shared" si="48"/>
        <v>1.3642912097880298</v>
      </c>
      <c r="AY176" s="79"/>
    </row>
    <row r="177" spans="1:51" x14ac:dyDescent="0.2">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3.6781380176720842E-2</v>
      </c>
      <c r="T177" s="27">
        <f t="shared" si="48"/>
        <v>3.6837395233082854E-2</v>
      </c>
      <c r="U177" s="27">
        <f t="shared" si="48"/>
        <v>3.6900705652170011E-2</v>
      </c>
      <c r="V177" s="27">
        <f t="shared" si="48"/>
        <v>3.6972125402225033E-2</v>
      </c>
      <c r="W177" s="27">
        <f t="shared" si="48"/>
        <v>3.7052467371172147E-2</v>
      </c>
      <c r="X177" s="27">
        <f t="shared" si="48"/>
        <v>3.7140056258746688E-2</v>
      </c>
      <c r="Y177" s="27">
        <f t="shared" si="48"/>
        <v>3.7193327101982677E-2</v>
      </c>
      <c r="Z177" s="27">
        <f t="shared" si="48"/>
        <v>3.725282757032642E-2</v>
      </c>
      <c r="AA177" s="27">
        <f t="shared" si="48"/>
        <v>3.7318121191736012E-2</v>
      </c>
      <c r="AB177" s="27">
        <f t="shared" si="48"/>
        <v>3.7390686259807883E-2</v>
      </c>
      <c r="AC177" s="27">
        <f t="shared" si="48"/>
        <v>3.7468739847843706E-2</v>
      </c>
      <c r="AD177" s="27">
        <f t="shared" si="48"/>
        <v>3.751974247344389E-2</v>
      </c>
      <c r="AE177" s="27">
        <f t="shared" si="48"/>
        <v>3.7576993148623769E-2</v>
      </c>
      <c r="AF177" s="27">
        <f t="shared" si="48"/>
        <v>3.7639577283476555E-2</v>
      </c>
      <c r="AG177" s="27">
        <f t="shared" si="48"/>
        <v>3.7708144828082185E-2</v>
      </c>
      <c r="AH177" s="27">
        <f t="shared" si="48"/>
        <v>3.7778741786852331E-2</v>
      </c>
      <c r="AI177" s="27">
        <f t="shared" si="48"/>
        <v>3.7822008909384815E-2</v>
      </c>
      <c r="AJ177" s="27">
        <f t="shared" si="48"/>
        <v>3.7869806060801224E-2</v>
      </c>
      <c r="AK177" s="27">
        <f t="shared" si="48"/>
        <v>3.7920914851450743E-2</v>
      </c>
      <c r="AL177" s="27">
        <f t="shared" si="48"/>
        <v>3.7975943332366417E-2</v>
      </c>
      <c r="AM177" s="27">
        <f t="shared" si="48"/>
        <v>3.8034394238678673E-2</v>
      </c>
      <c r="AN177" s="27">
        <f t="shared" si="48"/>
        <v>3.8068290997096535E-2</v>
      </c>
      <c r="AO177" s="27">
        <f t="shared" si="48"/>
        <v>3.8104751343434065E-2</v>
      </c>
      <c r="AP177" s="27">
        <f t="shared" si="48"/>
        <v>3.8144241244256513E-2</v>
      </c>
      <c r="AQ177" s="27">
        <f t="shared" si="48"/>
        <v>3.8186815214812375E-2</v>
      </c>
      <c r="AR177" s="27">
        <f t="shared" si="48"/>
        <v>3.8232443493664919E-2</v>
      </c>
      <c r="AS177" s="27">
        <f t="shared" si="48"/>
        <v>3.825284618540576E-2</v>
      </c>
      <c r="AT177" s="27">
        <f t="shared" si="48"/>
        <v>3.8271836221950122E-2</v>
      </c>
      <c r="AU177" s="27">
        <f t="shared" si="48"/>
        <v>3.8292888607538426E-2</v>
      </c>
      <c r="AV177" s="27">
        <f t="shared" si="48"/>
        <v>3.8316340791445545E-2</v>
      </c>
      <c r="AW177" s="27">
        <f t="shared" si="48"/>
        <v>3.8341951349881082E-2</v>
      </c>
      <c r="AY177" s="79"/>
    </row>
    <row r="178" spans="1:51" x14ac:dyDescent="0.2">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4.2006089356439562E-3</v>
      </c>
      <c r="T178" s="27">
        <f t="shared" si="48"/>
        <v>4.2070061220778072E-3</v>
      </c>
      <c r="U178" s="27">
        <f t="shared" si="48"/>
        <v>4.2142364737084185E-3</v>
      </c>
      <c r="V178" s="27">
        <f t="shared" si="48"/>
        <v>4.2223929495889085E-3</v>
      </c>
      <c r="W178" s="27">
        <f t="shared" si="48"/>
        <v>4.2315683853948781E-3</v>
      </c>
      <c r="X178" s="27">
        <f t="shared" si="48"/>
        <v>4.2415714538507386E-3</v>
      </c>
      <c r="Y178" s="27">
        <f t="shared" si="48"/>
        <v>4.2476552380652311E-3</v>
      </c>
      <c r="Z178" s="27">
        <f t="shared" si="48"/>
        <v>4.2544504751607076E-3</v>
      </c>
      <c r="AA178" s="27">
        <f t="shared" si="48"/>
        <v>4.261907317949531E-3</v>
      </c>
      <c r="AB178" s="27">
        <f t="shared" si="48"/>
        <v>4.2701945946067351E-3</v>
      </c>
      <c r="AC178" s="27">
        <f t="shared" si="48"/>
        <v>4.2791086864050034E-3</v>
      </c>
      <c r="AD178" s="27">
        <f t="shared" si="48"/>
        <v>4.284933429353965E-3</v>
      </c>
      <c r="AE178" s="27">
        <f t="shared" si="48"/>
        <v>4.2914717293464286E-3</v>
      </c>
      <c r="AF178" s="27">
        <f t="shared" si="48"/>
        <v>4.2986191358556219E-3</v>
      </c>
      <c r="AG178" s="27">
        <f t="shared" si="48"/>
        <v>4.3064498762786759E-3</v>
      </c>
      <c r="AH178" s="27">
        <f t="shared" si="48"/>
        <v>4.3145123854725761E-3</v>
      </c>
      <c r="AI178" s="27">
        <f t="shared" si="48"/>
        <v>4.3194536970997174E-3</v>
      </c>
      <c r="AJ178" s="27">
        <f t="shared" si="48"/>
        <v>4.3249123596179112E-3</v>
      </c>
      <c r="AK178" s="27">
        <f t="shared" si="48"/>
        <v>4.3307492271215465E-3</v>
      </c>
      <c r="AL178" s="27">
        <f t="shared" si="48"/>
        <v>4.3370337419368866E-3</v>
      </c>
      <c r="AM178" s="27">
        <f t="shared" si="48"/>
        <v>4.3437091140456031E-3</v>
      </c>
      <c r="AN178" s="27">
        <f t="shared" si="48"/>
        <v>4.3475802854267562E-3</v>
      </c>
      <c r="AO178" s="27">
        <f t="shared" si="48"/>
        <v>4.3517442307677472E-3</v>
      </c>
      <c r="AP178" s="27">
        <f t="shared" si="48"/>
        <v>4.3562541656713728E-3</v>
      </c>
      <c r="AQ178" s="27">
        <f t="shared" ref="L178:AW185" si="49">AQ1400</f>
        <v>4.3611163160388556E-3</v>
      </c>
      <c r="AR178" s="27">
        <f t="shared" si="49"/>
        <v>4.3663272829722651E-3</v>
      </c>
      <c r="AS178" s="27">
        <f t="shared" si="49"/>
        <v>4.3686573676190608E-3</v>
      </c>
      <c r="AT178" s="27">
        <f t="shared" si="49"/>
        <v>4.3708261203089602E-3</v>
      </c>
      <c r="AU178" s="27">
        <f t="shared" si="49"/>
        <v>4.3732304030899213E-3</v>
      </c>
      <c r="AV178" s="27">
        <f t="shared" si="49"/>
        <v>4.3759087542775948E-3</v>
      </c>
      <c r="AW178" s="27">
        <f t="shared" si="49"/>
        <v>4.3788336021243655E-3</v>
      </c>
      <c r="AY178" s="79"/>
    </row>
    <row r="179" spans="1:51" x14ac:dyDescent="0.2">
      <c r="A179" s="95" t="str">
        <f t="shared" si="45"/>
        <v>FA Goats MMCH4</v>
      </c>
      <c r="B179" s="95" t="s">
        <v>962</v>
      </c>
      <c r="C179" s="95" t="s">
        <v>1325</v>
      </c>
      <c r="D179" t="s">
        <v>15</v>
      </c>
      <c r="E179" t="s">
        <v>22</v>
      </c>
      <c r="F179" t="s">
        <v>19</v>
      </c>
      <c r="G179" t="s">
        <v>122</v>
      </c>
      <c r="H179" t="s">
        <v>1227</v>
      </c>
      <c r="I179" t="s">
        <v>121</v>
      </c>
      <c r="J179" t="s">
        <v>286</v>
      </c>
      <c r="K179" s="27">
        <f t="shared" si="47"/>
        <v>1.5789672763163298E-2</v>
      </c>
      <c r="L179" s="27">
        <f t="shared" si="49"/>
        <v>1.5830718290757027E-2</v>
      </c>
      <c r="M179" s="27">
        <f t="shared" si="49"/>
        <v>1.588733914557475E-2</v>
      </c>
      <c r="N179" s="27">
        <f t="shared" si="49"/>
        <v>1.5956318300360574E-2</v>
      </c>
      <c r="O179" s="27">
        <f t="shared" si="49"/>
        <v>1.6037557372574476E-2</v>
      </c>
      <c r="P179" s="27">
        <f t="shared" si="49"/>
        <v>1.6130561898613765E-2</v>
      </c>
      <c r="Q179" s="27">
        <f t="shared" si="49"/>
        <v>1.623065478441902E-2</v>
      </c>
      <c r="R179" s="27">
        <f t="shared" si="49"/>
        <v>1.6337439810579345E-2</v>
      </c>
      <c r="S179" s="27">
        <f t="shared" si="49"/>
        <v>1.643554333202487E-2</v>
      </c>
      <c r="T179" s="27">
        <f t="shared" si="49"/>
        <v>1.6483301762184554E-2</v>
      </c>
      <c r="U179" s="27">
        <f t="shared" si="49"/>
        <v>1.6534634024242746E-2</v>
      </c>
      <c r="V179" s="27">
        <f t="shared" si="49"/>
        <v>1.6590167866284391E-2</v>
      </c>
      <c r="W179" s="27">
        <f t="shared" si="49"/>
        <v>1.6650513034667372E-2</v>
      </c>
      <c r="X179" s="27">
        <f t="shared" si="49"/>
        <v>1.6714595783630822E-2</v>
      </c>
      <c r="Y179" s="27">
        <f t="shared" si="49"/>
        <v>1.675465761621437E-2</v>
      </c>
      <c r="Z179" s="27">
        <f t="shared" si="49"/>
        <v>1.6797993910304499E-2</v>
      </c>
      <c r="AA179" s="27">
        <f t="shared" si="49"/>
        <v>1.6844349786289844E-2</v>
      </c>
      <c r="AB179" s="27">
        <f t="shared" si="49"/>
        <v>1.6894740217603017E-2</v>
      </c>
      <c r="AC179" s="27">
        <f t="shared" si="49"/>
        <v>1.6948004409300596E-2</v>
      </c>
      <c r="AD179" s="27">
        <f t="shared" si="49"/>
        <v>1.6982631842965532E-2</v>
      </c>
      <c r="AE179" s="27">
        <f t="shared" si="49"/>
        <v>1.7020769407942386E-2</v>
      </c>
      <c r="AF179" s="27">
        <f t="shared" si="49"/>
        <v>1.706182735565186E-2</v>
      </c>
      <c r="AG179" s="27">
        <f t="shared" si="49"/>
        <v>1.7106247534338585E-2</v>
      </c>
      <c r="AH179" s="27">
        <f t="shared" si="49"/>
        <v>1.7151443283113514E-2</v>
      </c>
      <c r="AI179" s="27">
        <f t="shared" si="49"/>
        <v>1.7178196369350997E-2</v>
      </c>
      <c r="AJ179" s="27">
        <f t="shared" si="49"/>
        <v>1.7207475551738096E-2</v>
      </c>
      <c r="AK179" s="27">
        <f t="shared" si="49"/>
        <v>1.7238492794342867E-2</v>
      </c>
      <c r="AL179" s="27">
        <f t="shared" si="49"/>
        <v>1.7271654863993541E-2</v>
      </c>
      <c r="AM179" s="27">
        <f t="shared" si="49"/>
        <v>1.7306645282033659E-2</v>
      </c>
      <c r="AN179" s="27">
        <f t="shared" si="49"/>
        <v>1.7325303131063272E-2</v>
      </c>
      <c r="AO179" s="27">
        <f t="shared" si="49"/>
        <v>1.7345310027733502E-2</v>
      </c>
      <c r="AP179" s="27">
        <f t="shared" si="49"/>
        <v>1.73669746106416E-2</v>
      </c>
      <c r="AQ179" s="27">
        <f t="shared" si="49"/>
        <v>1.7390336782594662E-2</v>
      </c>
      <c r="AR179" s="27">
        <f t="shared" si="49"/>
        <v>1.7415381119938025E-2</v>
      </c>
      <c r="AS179" s="27">
        <f t="shared" si="49"/>
        <v>1.7423900612777786E-2</v>
      </c>
      <c r="AT179" s="27">
        <f t="shared" si="49"/>
        <v>1.7431295916305947E-2</v>
      </c>
      <c r="AU179" s="27">
        <f t="shared" si="49"/>
        <v>1.7439812218621446E-2</v>
      </c>
      <c r="AV179" s="27">
        <f t="shared" si="49"/>
        <v>1.7449669082955088E-2</v>
      </c>
      <c r="AW179" s="27">
        <f t="shared" si="49"/>
        <v>1.7460713883303017E-2</v>
      </c>
      <c r="AY179" s="79"/>
    </row>
    <row r="180" spans="1:51" x14ac:dyDescent="0.2">
      <c r="A180" s="95" t="str">
        <f t="shared" si="45"/>
        <v>FA Goats MMCH4</v>
      </c>
      <c r="B180" s="95" t="s">
        <v>962</v>
      </c>
      <c r="C180" s="95" t="s">
        <v>1325</v>
      </c>
      <c r="D180" t="s">
        <v>15</v>
      </c>
      <c r="E180" t="s">
        <v>22</v>
      </c>
      <c r="F180" t="s">
        <v>19</v>
      </c>
      <c r="G180" t="s">
        <v>123</v>
      </c>
      <c r="H180" t="s">
        <v>1227</v>
      </c>
      <c r="I180" t="s">
        <v>121</v>
      </c>
      <c r="J180" t="s">
        <v>286</v>
      </c>
      <c r="K180" s="27">
        <f t="shared" si="47"/>
        <v>2.6592218800664796E-2</v>
      </c>
      <c r="L180" s="27">
        <f t="shared" si="49"/>
        <v>2.6661345733624896E-2</v>
      </c>
      <c r="M180" s="27">
        <f t="shared" si="49"/>
        <v>2.6756703894783639E-2</v>
      </c>
      <c r="N180" s="27">
        <f t="shared" si="49"/>
        <v>2.6872875319249701E-2</v>
      </c>
      <c r="O180" s="27">
        <f t="shared" si="49"/>
        <v>2.7009694315810229E-2</v>
      </c>
      <c r="P180" s="27">
        <f t="shared" si="49"/>
        <v>2.7166328132291764E-2</v>
      </c>
      <c r="Q180" s="27">
        <f t="shared" si="49"/>
        <v>2.7334899828466049E-2</v>
      </c>
      <c r="R180" s="27">
        <f t="shared" si="49"/>
        <v>2.7514742110372921E-2</v>
      </c>
      <c r="S180" s="27">
        <f t="shared" si="49"/>
        <v>2.7679963413342622E-2</v>
      </c>
      <c r="T180" s="27">
        <f t="shared" si="49"/>
        <v>2.7760395898767241E-2</v>
      </c>
      <c r="U180" s="27">
        <f t="shared" si="49"/>
        <v>2.7846847262557959E-2</v>
      </c>
      <c r="V180" s="27">
        <f t="shared" si="49"/>
        <v>2.7940374728298613E-2</v>
      </c>
      <c r="W180" s="27">
        <f t="shared" si="49"/>
        <v>2.8042005201917224E-2</v>
      </c>
      <c r="X180" s="27">
        <f t="shared" si="49"/>
        <v>2.8149930331674167E-2</v>
      </c>
      <c r="Y180" s="27">
        <f t="shared" si="49"/>
        <v>2.8217400572102636E-2</v>
      </c>
      <c r="Z180" s="27">
        <f t="shared" si="49"/>
        <v>2.8290385505466368E-2</v>
      </c>
      <c r="AA180" s="27">
        <f t="shared" si="49"/>
        <v>2.8368455875599344E-2</v>
      </c>
      <c r="AB180" s="27">
        <f t="shared" si="49"/>
        <v>2.8453321052670396E-2</v>
      </c>
      <c r="AC180" s="27">
        <f t="shared" si="49"/>
        <v>2.8543026080830765E-2</v>
      </c>
      <c r="AD180" s="27">
        <f t="shared" si="49"/>
        <v>2.8601343964065915E-2</v>
      </c>
      <c r="AE180" s="27">
        <f t="shared" si="49"/>
        <v>2.8665573444157176E-2</v>
      </c>
      <c r="AF180" s="27">
        <f t="shared" si="49"/>
        <v>2.87347212944878E-2</v>
      </c>
      <c r="AG180" s="27">
        <f t="shared" si="49"/>
        <v>2.8809531654937933E-2</v>
      </c>
      <c r="AH180" s="27">
        <f t="shared" si="49"/>
        <v>2.8885648193786462E-2</v>
      </c>
      <c r="AI180" s="27">
        <f t="shared" si="49"/>
        <v>2.8930704474147112E-2</v>
      </c>
      <c r="AJ180" s="27">
        <f t="shared" si="49"/>
        <v>2.8980015085964157E-2</v>
      </c>
      <c r="AK180" s="27">
        <f t="shared" si="49"/>
        <v>2.9032252856455738E-2</v>
      </c>
      <c r="AL180" s="27">
        <f t="shared" si="49"/>
        <v>2.9088102843042599E-2</v>
      </c>
      <c r="AM180" s="27">
        <f t="shared" si="49"/>
        <v>2.914703204736533E-2</v>
      </c>
      <c r="AN180" s="27">
        <f t="shared" si="49"/>
        <v>2.9178454712748408E-2</v>
      </c>
      <c r="AO180" s="27">
        <f t="shared" si="49"/>
        <v>2.9212149380254012E-2</v>
      </c>
      <c r="AP180" s="27">
        <f t="shared" si="49"/>
        <v>2.9248635844385265E-2</v>
      </c>
      <c r="AQ180" s="27">
        <f t="shared" si="49"/>
        <v>2.9287981307559392E-2</v>
      </c>
      <c r="AR180" s="27">
        <f t="shared" si="49"/>
        <v>2.9330159793987943E-2</v>
      </c>
      <c r="AS180" s="27">
        <f t="shared" si="49"/>
        <v>2.9344507920200803E-2</v>
      </c>
      <c r="AT180" s="27">
        <f t="shared" si="49"/>
        <v>2.9356962740035762E-2</v>
      </c>
      <c r="AU180" s="27">
        <f t="shared" si="49"/>
        <v>2.9371305492918821E-2</v>
      </c>
      <c r="AV180" s="27">
        <f t="shared" si="49"/>
        <v>2.9387905956841046E-2</v>
      </c>
      <c r="AW180" s="27">
        <f t="shared" si="49"/>
        <v>2.9406507086317708E-2</v>
      </c>
      <c r="AY180" s="79"/>
    </row>
    <row r="181" spans="1:51" x14ac:dyDescent="0.2">
      <c r="A181" s="95" t="str">
        <f t="shared" si="45"/>
        <v>FA Horses MMCH4</v>
      </c>
      <c r="B181" s="95" t="s">
        <v>962</v>
      </c>
      <c r="C181" s="95" t="s">
        <v>1326</v>
      </c>
      <c r="D181" t="s">
        <v>15</v>
      </c>
      <c r="E181" t="s">
        <v>22</v>
      </c>
      <c r="F181" t="s">
        <v>20</v>
      </c>
      <c r="G181" t="s">
        <v>3</v>
      </c>
      <c r="H181" t="s">
        <v>1227</v>
      </c>
      <c r="I181" t="s">
        <v>121</v>
      </c>
      <c r="J181" t="s">
        <v>286</v>
      </c>
      <c r="K181" s="27">
        <f t="shared" si="47"/>
        <v>4.1336182129460544E-3</v>
      </c>
      <c r="L181" s="27">
        <f t="shared" si="49"/>
        <v>4.1536453250924079E-3</v>
      </c>
      <c r="M181" s="27">
        <f t="shared" si="49"/>
        <v>4.1840370126470534E-3</v>
      </c>
      <c r="N181" s="27">
        <f t="shared" si="49"/>
        <v>4.1905340987284569E-3</v>
      </c>
      <c r="O181" s="27">
        <f t="shared" si="49"/>
        <v>4.1812329246154597E-3</v>
      </c>
      <c r="P181" s="27">
        <f t="shared" si="49"/>
        <v>4.1564738854214548E-3</v>
      </c>
      <c r="Q181" s="27">
        <f t="shared" si="49"/>
        <v>4.1427460620707141E-3</v>
      </c>
      <c r="R181" s="27">
        <f t="shared" si="49"/>
        <v>4.1304087921358321E-3</v>
      </c>
      <c r="S181" s="27">
        <f t="shared" si="49"/>
        <v>3.9117464794758833E-3</v>
      </c>
      <c r="T181" s="27">
        <f t="shared" si="49"/>
        <v>3.9662100660725645E-3</v>
      </c>
      <c r="U181" s="27">
        <f t="shared" si="49"/>
        <v>4.0029759542347092E-3</v>
      </c>
      <c r="V181" s="27">
        <f t="shared" si="49"/>
        <v>4.034929903088018E-3</v>
      </c>
      <c r="W181" s="27">
        <f t="shared" si="49"/>
        <v>4.0740603707179208E-3</v>
      </c>
      <c r="X181" s="27">
        <f t="shared" si="49"/>
        <v>4.1088191524981379E-3</v>
      </c>
      <c r="Y181" s="27">
        <f t="shared" si="49"/>
        <v>4.1408340108354943E-3</v>
      </c>
      <c r="Z181" s="27">
        <f t="shared" si="49"/>
        <v>4.1700941792835473E-3</v>
      </c>
      <c r="AA181" s="27">
        <f t="shared" si="49"/>
        <v>4.1955947055446379E-3</v>
      </c>
      <c r="AB181" s="27">
        <f t="shared" si="49"/>
        <v>4.2332253987930647E-3</v>
      </c>
      <c r="AC181" s="27">
        <f t="shared" si="49"/>
        <v>4.2692111275798939E-3</v>
      </c>
      <c r="AD181" s="27">
        <f t="shared" si="49"/>
        <v>4.3131543062035933E-3</v>
      </c>
      <c r="AE181" s="27">
        <f t="shared" si="49"/>
        <v>4.3689426306597803E-3</v>
      </c>
      <c r="AF181" s="27">
        <f t="shared" si="49"/>
        <v>4.4301694396255923E-3</v>
      </c>
      <c r="AG181" s="27">
        <f t="shared" si="49"/>
        <v>4.5040980436008553E-3</v>
      </c>
      <c r="AH181" s="27">
        <f t="shared" si="49"/>
        <v>4.5574968938879535E-3</v>
      </c>
      <c r="AI181" s="27">
        <f t="shared" si="49"/>
        <v>4.6111863100883922E-3</v>
      </c>
      <c r="AJ181" s="27">
        <f t="shared" si="49"/>
        <v>4.6712172844787037E-3</v>
      </c>
      <c r="AK181" s="27">
        <f t="shared" si="49"/>
        <v>4.7281971529271986E-3</v>
      </c>
      <c r="AL181" s="27">
        <f t="shared" si="49"/>
        <v>4.7885111366995289E-3</v>
      </c>
      <c r="AM181" s="27">
        <f t="shared" si="49"/>
        <v>4.8488762620845097E-3</v>
      </c>
      <c r="AN181" s="27">
        <f t="shared" si="49"/>
        <v>4.9227254913748455E-3</v>
      </c>
      <c r="AO181" s="27">
        <f t="shared" si="49"/>
        <v>4.9927458490609099E-3</v>
      </c>
      <c r="AP181" s="27">
        <f t="shared" si="49"/>
        <v>5.0638022559314124E-3</v>
      </c>
      <c r="AQ181" s="27">
        <f t="shared" si="49"/>
        <v>5.1371515240319849E-3</v>
      </c>
      <c r="AR181" s="27">
        <f t="shared" si="49"/>
        <v>5.2132674563810976E-3</v>
      </c>
      <c r="AS181" s="27">
        <f t="shared" si="49"/>
        <v>5.3054774767517902E-3</v>
      </c>
      <c r="AT181" s="27">
        <f t="shared" si="49"/>
        <v>5.3653290852350754E-3</v>
      </c>
      <c r="AU181" s="27">
        <f t="shared" si="49"/>
        <v>5.4229477307266892E-3</v>
      </c>
      <c r="AV181" s="27">
        <f t="shared" si="49"/>
        <v>5.4817978053370176E-3</v>
      </c>
      <c r="AW181" s="27">
        <f t="shared" si="49"/>
        <v>5.5404187134472614E-3</v>
      </c>
      <c r="AY181" s="79"/>
    </row>
    <row r="182" spans="1:51" x14ac:dyDescent="0.2">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2">
      <c r="A183" s="95" t="str">
        <f t="shared" si="45"/>
        <v>FA Swine MMCH4</v>
      </c>
      <c r="B183" s="95" t="s">
        <v>962</v>
      </c>
      <c r="C183" s="95" t="s">
        <v>1230</v>
      </c>
      <c r="D183" t="s">
        <v>15</v>
      </c>
      <c r="E183" t="s">
        <v>22</v>
      </c>
      <c r="F183" t="s">
        <v>21</v>
      </c>
      <c r="G183" t="s">
        <v>122</v>
      </c>
      <c r="H183" t="s">
        <v>1227</v>
      </c>
      <c r="I183" t="s">
        <v>121</v>
      </c>
      <c r="J183" t="s">
        <v>286</v>
      </c>
      <c r="K183" s="27">
        <f t="shared" si="47"/>
        <v>23.279067868377396</v>
      </c>
      <c r="L183" s="27">
        <f t="shared" si="49"/>
        <v>23.152530650802607</v>
      </c>
      <c r="M183" s="27">
        <f t="shared" si="49"/>
        <v>23.162916433064311</v>
      </c>
      <c r="N183" s="27">
        <f t="shared" si="49"/>
        <v>22.950263110497293</v>
      </c>
      <c r="O183" s="27">
        <f t="shared" si="49"/>
        <v>22.602951186820608</v>
      </c>
      <c r="P183" s="27">
        <f t="shared" si="49"/>
        <v>22.126532811374954</v>
      </c>
      <c r="Q183" s="27">
        <f t="shared" si="49"/>
        <v>21.780600237355969</v>
      </c>
      <c r="R183" s="27">
        <f t="shared" si="49"/>
        <v>21.465278056857684</v>
      </c>
      <c r="S183" s="27">
        <f t="shared" si="49"/>
        <v>19.125432200749973</v>
      </c>
      <c r="T183" s="27">
        <f t="shared" si="49"/>
        <v>19.424042125834905</v>
      </c>
      <c r="U183" s="27">
        <f t="shared" si="49"/>
        <v>19.550864503199985</v>
      </c>
      <c r="V183" s="27">
        <f t="shared" si="49"/>
        <v>19.634386542439195</v>
      </c>
      <c r="W183" s="27">
        <f t="shared" si="49"/>
        <v>19.789042358153409</v>
      </c>
      <c r="X183" s="27">
        <f t="shared" si="49"/>
        <v>19.904231049540165</v>
      </c>
      <c r="Y183" s="27">
        <f t="shared" si="49"/>
        <v>19.9646517912891</v>
      </c>
      <c r="Z183" s="27">
        <f t="shared" si="49"/>
        <v>20.001671240877961</v>
      </c>
      <c r="AA183" s="27">
        <f t="shared" si="49"/>
        <v>20.006692976737387</v>
      </c>
      <c r="AB183" s="27">
        <f t="shared" si="49"/>
        <v>20.122871452289811</v>
      </c>
      <c r="AC183" s="27">
        <f t="shared" si="49"/>
        <v>20.224352633636123</v>
      </c>
      <c r="AD183" s="27">
        <f t="shared" si="49"/>
        <v>20.37036557025834</v>
      </c>
      <c r="AE183" s="27">
        <f t="shared" si="49"/>
        <v>20.617009015074299</v>
      </c>
      <c r="AF183" s="27">
        <f t="shared" si="49"/>
        <v>20.905842210058196</v>
      </c>
      <c r="AG183" s="27">
        <f t="shared" si="49"/>
        <v>21.296898968491135</v>
      </c>
      <c r="AH183" s="27">
        <f t="shared" si="49"/>
        <v>21.508008395464572</v>
      </c>
      <c r="AI183" s="27">
        <f t="shared" si="49"/>
        <v>21.692391103319341</v>
      </c>
      <c r="AJ183" s="27">
        <f t="shared" si="49"/>
        <v>21.924107330813051</v>
      </c>
      <c r="AK183" s="27">
        <f t="shared" si="49"/>
        <v>22.125286903757015</v>
      </c>
      <c r="AL183" s="27">
        <f t="shared" si="49"/>
        <v>22.347890019958896</v>
      </c>
      <c r="AM183" s="27">
        <f t="shared" si="49"/>
        <v>22.565021886121382</v>
      </c>
      <c r="AN183" s="27">
        <f t="shared" si="49"/>
        <v>22.857354238812295</v>
      </c>
      <c r="AO183" s="27">
        <f t="shared" si="49"/>
        <v>23.111205883073605</v>
      </c>
      <c r="AP183" s="27">
        <f t="shared" si="49"/>
        <v>23.364831927228202</v>
      </c>
      <c r="AQ183" s="27">
        <f t="shared" si="49"/>
        <v>23.627465701341702</v>
      </c>
      <c r="AR183" s="27">
        <f t="shared" si="49"/>
        <v>23.902059465195961</v>
      </c>
      <c r="AS183" s="27">
        <f t="shared" si="49"/>
        <v>24.259909282475949</v>
      </c>
      <c r="AT183" s="27">
        <f t="shared" si="49"/>
        <v>24.370732341378943</v>
      </c>
      <c r="AU183" s="27">
        <f t="shared" si="49"/>
        <v>24.459248352072496</v>
      </c>
      <c r="AV183" s="27">
        <f t="shared" si="49"/>
        <v>24.550534004397402</v>
      </c>
      <c r="AW183" s="27">
        <f t="shared" si="49"/>
        <v>24.634079749927345</v>
      </c>
      <c r="AY183" s="79"/>
    </row>
    <row r="184" spans="1:51" x14ac:dyDescent="0.2">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7.7508449141861155E-2</v>
      </c>
      <c r="M184" s="27">
        <f t="shared" si="49"/>
        <v>7.7543217949140625E-2</v>
      </c>
      <c r="N184" s="27">
        <f t="shared" si="49"/>
        <v>7.6831311787104617E-2</v>
      </c>
      <c r="O184" s="27">
        <f t="shared" si="49"/>
        <v>7.5668604825232064E-2</v>
      </c>
      <c r="P184" s="27">
        <f t="shared" si="49"/>
        <v>7.4073684167079407E-2</v>
      </c>
      <c r="Q184" s="27">
        <f t="shared" si="49"/>
        <v>7.291559489708703E-2</v>
      </c>
      <c r="R184" s="27">
        <f t="shared" si="49"/>
        <v>7.1859980996426695E-2</v>
      </c>
      <c r="S184" s="27">
        <f t="shared" si="49"/>
        <v>6.4026806028504468E-2</v>
      </c>
      <c r="T184" s="27">
        <f t="shared" si="49"/>
        <v>6.5026471790350593E-2</v>
      </c>
      <c r="U184" s="27">
        <f t="shared" si="49"/>
        <v>6.5451039019493229E-2</v>
      </c>
      <c r="V184" s="27">
        <f t="shared" si="49"/>
        <v>6.5730648355864951E-2</v>
      </c>
      <c r="W184" s="27">
        <f t="shared" si="49"/>
        <v>6.6248394454879955E-2</v>
      </c>
      <c r="X184" s="27">
        <f t="shared" si="49"/>
        <v>6.6634015230540536E-2</v>
      </c>
      <c r="Y184" s="27">
        <f t="shared" si="49"/>
        <v>6.6836287632620187E-2</v>
      </c>
      <c r="Z184" s="27">
        <f t="shared" si="49"/>
        <v>6.696021879889287E-2</v>
      </c>
      <c r="AA184" s="27">
        <f t="shared" si="49"/>
        <v>6.6977030220690986E-2</v>
      </c>
      <c r="AB184" s="27">
        <f t="shared" si="49"/>
        <v>6.7365964527680941E-2</v>
      </c>
      <c r="AC184" s="27">
        <f t="shared" si="49"/>
        <v>6.77056962443503E-2</v>
      </c>
      <c r="AD184" s="27">
        <f t="shared" si="49"/>
        <v>6.8194508307399856E-2</v>
      </c>
      <c r="AE184" s="27">
        <f t="shared" si="49"/>
        <v>6.9020204262067689E-2</v>
      </c>
      <c r="AF184" s="27">
        <f t="shared" si="49"/>
        <v>6.9987140159553041E-2</v>
      </c>
      <c r="AG184" s="27">
        <f t="shared" si="49"/>
        <v>7.1296293069432901E-2</v>
      </c>
      <c r="AH184" s="27">
        <f t="shared" si="49"/>
        <v>7.2003030684025804E-2</v>
      </c>
      <c r="AI184" s="27">
        <f t="shared" si="49"/>
        <v>7.262029442724019E-2</v>
      </c>
      <c r="AJ184" s="27">
        <f t="shared" si="49"/>
        <v>7.339601807079868E-2</v>
      </c>
      <c r="AK184" s="27">
        <f t="shared" si="49"/>
        <v>7.4069513203278647E-2</v>
      </c>
      <c r="AL184" s="27">
        <f t="shared" si="49"/>
        <v>7.4814728599866626E-2</v>
      </c>
      <c r="AM184" s="27">
        <f t="shared" si="49"/>
        <v>7.5541627722012866E-2</v>
      </c>
      <c r="AN184" s="27">
        <f t="shared" si="49"/>
        <v>7.6520277858916103E-2</v>
      </c>
      <c r="AO184" s="27">
        <f t="shared" si="49"/>
        <v>7.7370104927739061E-2</v>
      </c>
      <c r="AP184" s="27">
        <f t="shared" si="49"/>
        <v>7.821917674804682E-2</v>
      </c>
      <c r="AQ184" s="27">
        <f t="shared" si="49"/>
        <v>7.9098404026949301E-2</v>
      </c>
      <c r="AR184" s="27">
        <f t="shared" si="49"/>
        <v>8.0017670136618924E-2</v>
      </c>
      <c r="AS184" s="27">
        <f t="shared" si="49"/>
        <v>8.1215655133654599E-2</v>
      </c>
      <c r="AT184" s="27">
        <f t="shared" si="49"/>
        <v>8.1586660945256045E-2</v>
      </c>
      <c r="AU184" s="27">
        <f t="shared" si="49"/>
        <v>8.1882988755660815E-2</v>
      </c>
      <c r="AV184" s="27">
        <f t="shared" si="49"/>
        <v>8.2188588581758509E-2</v>
      </c>
      <c r="AW184" s="27">
        <f t="shared" si="49"/>
        <v>8.2468277280419264E-2</v>
      </c>
      <c r="AY184" s="79"/>
    </row>
    <row r="185" spans="1:51" x14ac:dyDescent="0.2">
      <c r="A185" s="95" t="str">
        <f t="shared" si="45"/>
        <v>FA Poultry MMCH4</v>
      </c>
      <c r="B185" s="95" t="s">
        <v>962</v>
      </c>
      <c r="C185" s="95" t="s">
        <v>1231</v>
      </c>
      <c r="D185" t="s">
        <v>15</v>
      </c>
      <c r="E185" t="s">
        <v>22</v>
      </c>
      <c r="F185" t="s">
        <v>28</v>
      </c>
      <c r="G185" t="s">
        <v>131</v>
      </c>
      <c r="H185" t="s">
        <v>1227</v>
      </c>
      <c r="I185" t="s">
        <v>121</v>
      </c>
      <c r="J185" t="s">
        <v>286</v>
      </c>
      <c r="K185" s="27">
        <f t="shared" si="47"/>
        <v>0.55586528215230246</v>
      </c>
      <c r="L185" s="27">
        <f t="shared" si="49"/>
        <v>0.56716712532642333</v>
      </c>
      <c r="M185" s="27">
        <f t="shared" si="49"/>
        <v>0.58037790885594753</v>
      </c>
      <c r="N185" s="27">
        <f t="shared" si="49"/>
        <v>0.5905201523722613</v>
      </c>
      <c r="O185" s="27">
        <f t="shared" si="49"/>
        <v>0.59866182774590171</v>
      </c>
      <c r="P185" s="27">
        <f t="shared" si="49"/>
        <v>0.60475451589519702</v>
      </c>
      <c r="Q185" s="27">
        <f t="shared" si="49"/>
        <v>0.61256702388185857</v>
      </c>
      <c r="R185" s="27">
        <f t="shared" si="49"/>
        <v>0.6206898695388976</v>
      </c>
      <c r="S185" s="27">
        <f t="shared" si="49"/>
        <v>0.59586205354866417</v>
      </c>
      <c r="T185" s="27">
        <f t="shared" si="49"/>
        <v>0.61166609228342095</v>
      </c>
      <c r="U185" s="27">
        <f t="shared" si="49"/>
        <v>0.62485299056124621</v>
      </c>
      <c r="V185" s="27">
        <f t="shared" si="49"/>
        <v>0.63746316411560699</v>
      </c>
      <c r="W185" s="27">
        <f t="shared" si="49"/>
        <v>0.65148292230650084</v>
      </c>
      <c r="X185" s="27">
        <f t="shared" si="49"/>
        <v>0.66499795751984347</v>
      </c>
      <c r="Y185" s="27">
        <f t="shared" si="49"/>
        <v>0.67713280709524293</v>
      </c>
      <c r="Z185" s="27">
        <f t="shared" si="49"/>
        <v>0.68896443146114195</v>
      </c>
      <c r="AA185" s="27">
        <f t="shared" si="49"/>
        <v>0.70030539755417098</v>
      </c>
      <c r="AB185" s="27">
        <f t="shared" si="49"/>
        <v>0.71394199916813561</v>
      </c>
      <c r="AC185" s="27">
        <f t="shared" si="49"/>
        <v>0.72748510796814947</v>
      </c>
      <c r="AD185" s="27">
        <f t="shared" si="49"/>
        <v>0.7416801333370433</v>
      </c>
      <c r="AE185" s="27">
        <f t="shared" si="49"/>
        <v>0.75821054657652254</v>
      </c>
      <c r="AF185" s="27">
        <f t="shared" ref="L185:AW192" si="50">AF1407</f>
        <v>0.77596254129215869</v>
      </c>
      <c r="AG185" s="27">
        <f t="shared" si="50"/>
        <v>0.7963033454053372</v>
      </c>
      <c r="AH185" s="27">
        <f t="shared" si="50"/>
        <v>0.81311713883147885</v>
      </c>
      <c r="AI185" s="27">
        <f t="shared" si="50"/>
        <v>0.82920457779762036</v>
      </c>
      <c r="AJ185" s="27">
        <f t="shared" si="50"/>
        <v>0.8466799763081283</v>
      </c>
      <c r="AK185" s="27">
        <f t="shared" si="50"/>
        <v>0.86378648630356591</v>
      </c>
      <c r="AL185" s="27">
        <f t="shared" si="50"/>
        <v>0.8817359545427027</v>
      </c>
      <c r="AM185" s="27">
        <f t="shared" si="50"/>
        <v>0.89991137533731791</v>
      </c>
      <c r="AN185" s="27">
        <f t="shared" si="50"/>
        <v>0.91990012979739244</v>
      </c>
      <c r="AO185" s="27">
        <f t="shared" si="50"/>
        <v>0.93935460788893066</v>
      </c>
      <c r="AP185" s="27">
        <f t="shared" si="50"/>
        <v>0.95921858565138518</v>
      </c>
      <c r="AQ185" s="27">
        <f t="shared" si="50"/>
        <v>0.97974614943757377</v>
      </c>
      <c r="AR185" s="27">
        <f t="shared" si="50"/>
        <v>1.0010418670441812</v>
      </c>
      <c r="AS185" s="27">
        <f t="shared" si="50"/>
        <v>1.024648468705007</v>
      </c>
      <c r="AT185" s="27">
        <f t="shared" si="50"/>
        <v>1.0419667302828659</v>
      </c>
      <c r="AU185" s="27">
        <f t="shared" si="50"/>
        <v>1.0589838516681485</v>
      </c>
      <c r="AV185" s="27">
        <f t="shared" si="50"/>
        <v>1.0763973931983826</v>
      </c>
      <c r="AW185" s="27">
        <f t="shared" si="50"/>
        <v>1.093914171709288</v>
      </c>
      <c r="AY185" s="79"/>
    </row>
    <row r="186" spans="1:51" x14ac:dyDescent="0.2">
      <c r="A186" s="95" t="str">
        <f t="shared" si="45"/>
        <v>FA Poultry MMCH4</v>
      </c>
      <c r="B186" s="95" t="s">
        <v>962</v>
      </c>
      <c r="C186" s="95" t="s">
        <v>1231</v>
      </c>
      <c r="D186" t="s">
        <v>15</v>
      </c>
      <c r="E186" t="s">
        <v>22</v>
      </c>
      <c r="F186" t="s">
        <v>28</v>
      </c>
      <c r="G186" t="s">
        <v>132</v>
      </c>
      <c r="H186" t="s">
        <v>1227</v>
      </c>
      <c r="I186" t="s">
        <v>121</v>
      </c>
      <c r="J186" t="s">
        <v>286</v>
      </c>
      <c r="K186" s="27">
        <f t="shared" si="47"/>
        <v>2.2100196981344111</v>
      </c>
      <c r="L186" s="27">
        <f t="shared" si="50"/>
        <v>2.239121707445149</v>
      </c>
      <c r="M186" s="27">
        <f t="shared" si="50"/>
        <v>2.2858678822724823</v>
      </c>
      <c r="N186" s="27">
        <f t="shared" si="50"/>
        <v>2.2992900748078591</v>
      </c>
      <c r="O186" s="27">
        <f t="shared" si="50"/>
        <v>2.2910596881616572</v>
      </c>
      <c r="P186" s="27">
        <f t="shared" si="50"/>
        <v>2.2612642885898917</v>
      </c>
      <c r="Q186" s="27">
        <f t="shared" si="50"/>
        <v>2.2487211059946204</v>
      </c>
      <c r="R186" s="27">
        <f t="shared" si="50"/>
        <v>2.2390235702415171</v>
      </c>
      <c r="S186" s="27">
        <f t="shared" si="50"/>
        <v>1.9141242898278399</v>
      </c>
      <c r="T186" s="27">
        <f t="shared" si="50"/>
        <v>1.9984899724616512</v>
      </c>
      <c r="U186" s="27">
        <f t="shared" si="50"/>
        <v>2.0566281324498989</v>
      </c>
      <c r="V186" s="27">
        <f t="shared" si="50"/>
        <v>2.1082245232127885</v>
      </c>
      <c r="W186" s="27">
        <f t="shared" si="50"/>
        <v>2.1717516772979577</v>
      </c>
      <c r="X186" s="27">
        <f t="shared" si="50"/>
        <v>2.2294138068766221</v>
      </c>
      <c r="Y186" s="27">
        <f t="shared" si="50"/>
        <v>2.2803087574477758</v>
      </c>
      <c r="Z186" s="27">
        <f t="shared" si="50"/>
        <v>2.3275959555736767</v>
      </c>
      <c r="AA186" s="27">
        <f t="shared" si="50"/>
        <v>2.3696866416984408</v>
      </c>
      <c r="AB186" s="27">
        <f t="shared" si="50"/>
        <v>2.4313567650804138</v>
      </c>
      <c r="AC186" s="27">
        <f t="shared" si="50"/>
        <v>2.4911768272254537</v>
      </c>
      <c r="AD186" s="27">
        <f t="shared" si="50"/>
        <v>2.5611651092780447</v>
      </c>
      <c r="AE186" s="27">
        <f t="shared" si="50"/>
        <v>2.6503466863676968</v>
      </c>
      <c r="AF186" s="27">
        <f t="shared" si="50"/>
        <v>2.7487492134063758</v>
      </c>
      <c r="AG186" s="27">
        <f t="shared" si="50"/>
        <v>2.8678706867563997</v>
      </c>
      <c r="AH186" s="27">
        <f t="shared" si="50"/>
        <v>2.9554288288988109</v>
      </c>
      <c r="AI186" s="27">
        <f t="shared" si="50"/>
        <v>3.0407668489306769</v>
      </c>
      <c r="AJ186" s="27">
        <f t="shared" si="50"/>
        <v>3.1366479798785045</v>
      </c>
      <c r="AK186" s="27">
        <f t="shared" si="50"/>
        <v>3.228263044676527</v>
      </c>
      <c r="AL186" s="27">
        <f t="shared" si="50"/>
        <v>3.3257213723703618</v>
      </c>
      <c r="AM186" s="27">
        <f t="shared" si="50"/>
        <v>3.4238536012880374</v>
      </c>
      <c r="AN186" s="27">
        <f t="shared" si="50"/>
        <v>3.5403209104075128</v>
      </c>
      <c r="AO186" s="27">
        <f t="shared" si="50"/>
        <v>3.6511369162882397</v>
      </c>
      <c r="AP186" s="27">
        <f t="shared" si="50"/>
        <v>3.7640318136014432</v>
      </c>
      <c r="AQ186" s="27">
        <f t="shared" si="50"/>
        <v>3.8810201496437728</v>
      </c>
      <c r="AR186" s="27">
        <f t="shared" si="50"/>
        <v>4.0028778541582692</v>
      </c>
      <c r="AS186" s="27">
        <f t="shared" si="50"/>
        <v>4.1464729012292834</v>
      </c>
      <c r="AT186" s="27">
        <f t="shared" si="50"/>
        <v>4.2389508928341062</v>
      </c>
      <c r="AU186" s="27">
        <f t="shared" si="50"/>
        <v>4.3281678617131494</v>
      </c>
      <c r="AV186" s="27">
        <f t="shared" si="50"/>
        <v>4.4196303430169497</v>
      </c>
      <c r="AW186" s="27">
        <f t="shared" si="50"/>
        <v>4.5110296667808401</v>
      </c>
      <c r="AY186" s="79"/>
    </row>
    <row r="187" spans="1:51" x14ac:dyDescent="0.2">
      <c r="A187" s="95" t="str">
        <f t="shared" si="45"/>
        <v>FA Poultry MMCH4</v>
      </c>
      <c r="B187" s="95" t="s">
        <v>962</v>
      </c>
      <c r="C187" s="95" t="s">
        <v>1231</v>
      </c>
      <c r="D187" t="s">
        <v>15</v>
      </c>
      <c r="E187" t="s">
        <v>22</v>
      </c>
      <c r="F187" t="s">
        <v>28</v>
      </c>
      <c r="G187" t="s">
        <v>134</v>
      </c>
      <c r="H187" t="s">
        <v>1227</v>
      </c>
      <c r="I187" t="s">
        <v>121</v>
      </c>
      <c r="J187" t="s">
        <v>286</v>
      </c>
      <c r="K187" s="27">
        <f t="shared" si="47"/>
        <v>2.3161053423012622E-2</v>
      </c>
      <c r="L187" s="27">
        <f t="shared" si="50"/>
        <v>2.3631963555267661E-2</v>
      </c>
      <c r="M187" s="27">
        <f t="shared" si="50"/>
        <v>2.4182412868997839E-2</v>
      </c>
      <c r="N187" s="27">
        <f t="shared" si="50"/>
        <v>2.460500634884424E-2</v>
      </c>
      <c r="O187" s="27">
        <f t="shared" si="50"/>
        <v>2.4944242822745932E-2</v>
      </c>
      <c r="P187" s="27">
        <f t="shared" si="50"/>
        <v>2.5198104828966564E-2</v>
      </c>
      <c r="Q187" s="27">
        <f t="shared" si="50"/>
        <v>2.5523625995077459E-2</v>
      </c>
      <c r="R187" s="27">
        <f t="shared" si="50"/>
        <v>2.5862077897454098E-2</v>
      </c>
      <c r="S187" s="27">
        <f t="shared" si="50"/>
        <v>2.4827585564527698E-2</v>
      </c>
      <c r="T187" s="27">
        <f t="shared" si="50"/>
        <v>2.5486087178475895E-2</v>
      </c>
      <c r="U187" s="27">
        <f t="shared" si="50"/>
        <v>2.6035541273385285E-2</v>
      </c>
      <c r="V187" s="27">
        <f t="shared" si="50"/>
        <v>2.6560965171483649E-2</v>
      </c>
      <c r="W187" s="27">
        <f t="shared" si="50"/>
        <v>2.7145121762770889E-2</v>
      </c>
      <c r="X187" s="27">
        <f t="shared" si="50"/>
        <v>2.7708248229993501E-2</v>
      </c>
      <c r="Y187" s="27">
        <f t="shared" si="50"/>
        <v>2.8213866962301819E-2</v>
      </c>
      <c r="Z187" s="27">
        <f t="shared" si="50"/>
        <v>2.8706851310880941E-2</v>
      </c>
      <c r="AA187" s="27">
        <f t="shared" si="50"/>
        <v>2.9179391564757153E-2</v>
      </c>
      <c r="AB187" s="27">
        <f t="shared" si="50"/>
        <v>2.9747583298672345E-2</v>
      </c>
      <c r="AC187" s="27">
        <f t="shared" si="50"/>
        <v>3.0311879498672922E-2</v>
      </c>
      <c r="AD187" s="27">
        <f t="shared" si="50"/>
        <v>3.0903338889043501E-2</v>
      </c>
      <c r="AE187" s="27">
        <f t="shared" si="50"/>
        <v>3.1592106107355133E-2</v>
      </c>
      <c r="AF187" s="27">
        <f t="shared" si="50"/>
        <v>3.2331772553839976E-2</v>
      </c>
      <c r="AG187" s="27">
        <f t="shared" si="50"/>
        <v>3.3179306058555749E-2</v>
      </c>
      <c r="AH187" s="27">
        <f t="shared" si="50"/>
        <v>3.3879880784644982E-2</v>
      </c>
      <c r="AI187" s="27">
        <f t="shared" si="50"/>
        <v>3.4550190741567552E-2</v>
      </c>
      <c r="AJ187" s="27">
        <f t="shared" si="50"/>
        <v>3.5278332346172038E-2</v>
      </c>
      <c r="AK187" s="27">
        <f t="shared" si="50"/>
        <v>3.5991103595981948E-2</v>
      </c>
      <c r="AL187" s="27">
        <f t="shared" si="50"/>
        <v>3.6738998105945983E-2</v>
      </c>
      <c r="AM187" s="27">
        <f t="shared" si="50"/>
        <v>3.7496307305721614E-2</v>
      </c>
      <c r="AN187" s="27">
        <f t="shared" si="50"/>
        <v>3.8329172074891393E-2</v>
      </c>
      <c r="AO187" s="27">
        <f t="shared" si="50"/>
        <v>3.9139775328705488E-2</v>
      </c>
      <c r="AP187" s="27">
        <f t="shared" si="50"/>
        <v>3.9967441068807751E-2</v>
      </c>
      <c r="AQ187" s="27">
        <f t="shared" si="50"/>
        <v>4.0822756226565615E-2</v>
      </c>
      <c r="AR187" s="27">
        <f t="shared" si="50"/>
        <v>4.1710077793507598E-2</v>
      </c>
      <c r="AS187" s="27">
        <f t="shared" si="50"/>
        <v>4.2693686196041997E-2</v>
      </c>
      <c r="AT187" s="27">
        <f t="shared" si="50"/>
        <v>4.3415280428452788E-2</v>
      </c>
      <c r="AU187" s="27">
        <f t="shared" si="50"/>
        <v>4.4124327152839558E-2</v>
      </c>
      <c r="AV187" s="27">
        <f t="shared" si="50"/>
        <v>4.4849891383265984E-2</v>
      </c>
      <c r="AW187" s="27">
        <f t="shared" si="50"/>
        <v>4.5579757154553702E-2</v>
      </c>
      <c r="AY187" s="79"/>
    </row>
    <row r="188" spans="1:51" x14ac:dyDescent="0.2">
      <c r="A188" s="95" t="str">
        <f t="shared" si="45"/>
        <v>FA Poultry MMCH4</v>
      </c>
      <c r="B188" s="95" t="s">
        <v>962</v>
      </c>
      <c r="C188" s="95" t="s">
        <v>1231</v>
      </c>
      <c r="D188" t="s">
        <v>15</v>
      </c>
      <c r="E188" t="s">
        <v>22</v>
      </c>
      <c r="F188" t="s">
        <v>28</v>
      </c>
      <c r="G188" t="s">
        <v>133</v>
      </c>
      <c r="H188" t="s">
        <v>1227</v>
      </c>
      <c r="I188" t="s">
        <v>121</v>
      </c>
      <c r="J188" t="s">
        <v>286</v>
      </c>
      <c r="K188" s="27">
        <f t="shared" si="47"/>
        <v>9.2084154088933862E-2</v>
      </c>
      <c r="L188" s="27">
        <f t="shared" si="50"/>
        <v>9.3296737810214622E-2</v>
      </c>
      <c r="M188" s="27">
        <f t="shared" si="50"/>
        <v>9.5244495094686854E-2</v>
      </c>
      <c r="N188" s="27">
        <f t="shared" si="50"/>
        <v>9.5803753116994225E-2</v>
      </c>
      <c r="O188" s="27">
        <f t="shared" si="50"/>
        <v>9.5460820340069155E-2</v>
      </c>
      <c r="P188" s="27">
        <f t="shared" si="50"/>
        <v>9.4219345357912251E-2</v>
      </c>
      <c r="Q188" s="27">
        <f t="shared" si="50"/>
        <v>9.3696712749775937E-2</v>
      </c>
      <c r="R188" s="27">
        <f t="shared" si="50"/>
        <v>9.3292648760063296E-2</v>
      </c>
      <c r="S188" s="27">
        <f t="shared" si="50"/>
        <v>7.9755178742826727E-2</v>
      </c>
      <c r="T188" s="27">
        <f t="shared" si="50"/>
        <v>8.3270415519235544E-2</v>
      </c>
      <c r="U188" s="27">
        <f t="shared" si="50"/>
        <v>8.5692838852079192E-2</v>
      </c>
      <c r="V188" s="27">
        <f t="shared" si="50"/>
        <v>8.7842688467199587E-2</v>
      </c>
      <c r="W188" s="27">
        <f t="shared" si="50"/>
        <v>9.0489653220748326E-2</v>
      </c>
      <c r="X188" s="27">
        <f t="shared" si="50"/>
        <v>9.289224195319265E-2</v>
      </c>
      <c r="Y188" s="27">
        <f t="shared" si="50"/>
        <v>9.5012864893657414E-2</v>
      </c>
      <c r="Z188" s="27">
        <f t="shared" si="50"/>
        <v>9.6983164815569928E-2</v>
      </c>
      <c r="AA188" s="27">
        <f t="shared" si="50"/>
        <v>9.8736943404101787E-2</v>
      </c>
      <c r="AB188" s="27">
        <f t="shared" si="50"/>
        <v>0.10130653187835065</v>
      </c>
      <c r="AC188" s="27">
        <f t="shared" si="50"/>
        <v>0.10379903446772733</v>
      </c>
      <c r="AD188" s="27">
        <f t="shared" si="50"/>
        <v>0.1067152128865853</v>
      </c>
      <c r="AE188" s="27">
        <f t="shared" si="50"/>
        <v>0.11043111193198749</v>
      </c>
      <c r="AF188" s="27">
        <f t="shared" si="50"/>
        <v>0.11453121722526576</v>
      </c>
      <c r="AG188" s="27">
        <f t="shared" si="50"/>
        <v>0.11949461194818344</v>
      </c>
      <c r="AH188" s="27">
        <f t="shared" si="50"/>
        <v>0.12314286787078389</v>
      </c>
      <c r="AI188" s="27">
        <f t="shared" si="50"/>
        <v>0.12669861870544499</v>
      </c>
      <c r="AJ188" s="27">
        <f t="shared" si="50"/>
        <v>0.13069366582827113</v>
      </c>
      <c r="AK188" s="27">
        <f t="shared" si="50"/>
        <v>0.13451096019485542</v>
      </c>
      <c r="AL188" s="27">
        <f t="shared" si="50"/>
        <v>0.13857172384876518</v>
      </c>
      <c r="AM188" s="27">
        <f t="shared" si="50"/>
        <v>0.14266056672033503</v>
      </c>
      <c r="AN188" s="27">
        <f t="shared" si="50"/>
        <v>0.14751337126697986</v>
      </c>
      <c r="AO188" s="27">
        <f t="shared" si="50"/>
        <v>0.15213070484534344</v>
      </c>
      <c r="AP188" s="27">
        <f t="shared" si="50"/>
        <v>0.15683465890006026</v>
      </c>
      <c r="AQ188" s="27">
        <f t="shared" si="50"/>
        <v>0.16170917290182402</v>
      </c>
      <c r="AR188" s="27">
        <f t="shared" si="50"/>
        <v>0.16678657725659471</v>
      </c>
      <c r="AS188" s="27">
        <f t="shared" si="50"/>
        <v>0.17276970421788695</v>
      </c>
      <c r="AT188" s="27">
        <f t="shared" si="50"/>
        <v>0.17662295386808796</v>
      </c>
      <c r="AU188" s="27">
        <f t="shared" si="50"/>
        <v>0.18034032757138141</v>
      </c>
      <c r="AV188" s="27">
        <f t="shared" si="50"/>
        <v>0.18415126429237305</v>
      </c>
      <c r="AW188" s="27">
        <f t="shared" si="50"/>
        <v>0.18795956944920184</v>
      </c>
      <c r="AY188" s="79"/>
    </row>
    <row r="189" spans="1:51" x14ac:dyDescent="0.2">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5.9806569587962537E-2</v>
      </c>
      <c r="M189" s="27">
        <f t="shared" si="50"/>
        <v>6.0278316688762053E-2</v>
      </c>
      <c r="N189" s="27">
        <f t="shared" si="50"/>
        <v>6.0581464452445992E-2</v>
      </c>
      <c r="O189" s="27">
        <f t="shared" si="50"/>
        <v>6.0782907527895308E-2</v>
      </c>
      <c r="P189" s="27">
        <f t="shared" si="50"/>
        <v>6.0880663265441157E-2</v>
      </c>
      <c r="Q189" s="27">
        <f t="shared" si="50"/>
        <v>6.1096642070638009E-2</v>
      </c>
      <c r="R189" s="27">
        <f t="shared" si="50"/>
        <v>6.1344406036983767E-2</v>
      </c>
      <c r="S189" s="27">
        <f t="shared" si="50"/>
        <v>5.9665089567979834E-2</v>
      </c>
      <c r="T189" s="27">
        <f t="shared" si="50"/>
        <v>6.0350771242359769E-2</v>
      </c>
      <c r="U189" s="27">
        <f t="shared" si="50"/>
        <v>6.0888075169397142E-2</v>
      </c>
      <c r="V189" s="27">
        <f t="shared" si="50"/>
        <v>6.139711160102531E-2</v>
      </c>
      <c r="W189" s="27">
        <f t="shared" si="50"/>
        <v>6.1992224918562065E-2</v>
      </c>
      <c r="X189" s="27">
        <f t="shared" si="50"/>
        <v>6.2562148930794551E-2</v>
      </c>
      <c r="Y189" s="27">
        <f t="shared" si="50"/>
        <v>6.3040140287419597E-2</v>
      </c>
      <c r="Z189" s="27">
        <f t="shared" si="50"/>
        <v>6.3504855616237185E-2</v>
      </c>
      <c r="AA189" s="27">
        <f t="shared" si="50"/>
        <v>6.3945644322408624E-2</v>
      </c>
      <c r="AB189" s="27">
        <f t="shared" si="50"/>
        <v>6.4519032075900526E-2</v>
      </c>
      <c r="AC189" s="27">
        <f t="shared" si="50"/>
        <v>6.5089471381032354E-2</v>
      </c>
      <c r="AD189" s="27">
        <f t="shared" si="50"/>
        <v>6.5684604542898692E-2</v>
      </c>
      <c r="AE189" s="27">
        <f t="shared" si="50"/>
        <v>6.6410653636350389E-2</v>
      </c>
      <c r="AF189" s="27">
        <f t="shared" si="50"/>
        <v>6.7204391254708923E-2</v>
      </c>
      <c r="AG189" s="27">
        <f t="shared" si="50"/>
        <v>6.8140044673053207E-2</v>
      </c>
      <c r="AH189" s="27">
        <f t="shared" si="50"/>
        <v>6.888108453498494E-2</v>
      </c>
      <c r="AI189" s="27">
        <f t="shared" si="50"/>
        <v>6.9569502535986497E-2</v>
      </c>
      <c r="AJ189" s="27">
        <f t="shared" si="50"/>
        <v>7.0333394582188791E-2</v>
      </c>
      <c r="AK189" s="27">
        <f t="shared" si="50"/>
        <v>7.1076775459671046E-2</v>
      </c>
      <c r="AL189" s="27">
        <f t="shared" si="50"/>
        <v>7.1865166896586383E-2</v>
      </c>
      <c r="AM189" s="27">
        <f t="shared" si="50"/>
        <v>7.2664891568343645E-2</v>
      </c>
      <c r="AN189" s="27">
        <f t="shared" si="50"/>
        <v>7.3548705139755158E-2</v>
      </c>
      <c r="AO189" s="27">
        <f t="shared" si="50"/>
        <v>7.4402331665901211E-2</v>
      </c>
      <c r="AP189" s="27">
        <f t="shared" si="50"/>
        <v>7.5276250928073038E-2</v>
      </c>
      <c r="AQ189" s="27">
        <f t="shared" si="50"/>
        <v>7.6183713879707002E-2</v>
      </c>
      <c r="AR189" s="27">
        <f t="shared" si="50"/>
        <v>7.7129908476892481E-2</v>
      </c>
      <c r="AS189" s="27">
        <f t="shared" si="50"/>
        <v>7.8183489117849933E-2</v>
      </c>
      <c r="AT189" s="27">
        <f t="shared" si="50"/>
        <v>7.890407273633461E-2</v>
      </c>
      <c r="AU189" s="27">
        <f t="shared" si="50"/>
        <v>7.960808386314952E-2</v>
      </c>
      <c r="AV189" s="27">
        <f t="shared" si="50"/>
        <v>8.0332044119121343E-2</v>
      </c>
      <c r="AW189" s="27">
        <f t="shared" si="50"/>
        <v>8.1060500675567429E-2</v>
      </c>
      <c r="AY189" s="79"/>
    </row>
    <row r="190" spans="1:51" x14ac:dyDescent="0.2">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0.26187096745907495</v>
      </c>
      <c r="M190" s="27">
        <f t="shared" si="50"/>
        <v>0.26393657447404822</v>
      </c>
      <c r="N190" s="27">
        <f t="shared" si="50"/>
        <v>0.26526394701365208</v>
      </c>
      <c r="O190" s="27">
        <f t="shared" si="50"/>
        <v>0.26614599213711054</v>
      </c>
      <c r="P190" s="27">
        <f t="shared" si="50"/>
        <v>0.26657402855087203</v>
      </c>
      <c r="Q190" s="27">
        <f t="shared" si="50"/>
        <v>0.26751972028770321</v>
      </c>
      <c r="R190" s="27">
        <f t="shared" si="50"/>
        <v>0.26860458755254496</v>
      </c>
      <c r="S190" s="27">
        <f t="shared" si="50"/>
        <v>0.26125147849717245</v>
      </c>
      <c r="T190" s="27">
        <f t="shared" si="50"/>
        <v>0.26425382631073058</v>
      </c>
      <c r="U190" s="27">
        <f t="shared" si="50"/>
        <v>0.26660648255171249</v>
      </c>
      <c r="V190" s="27">
        <f t="shared" si="50"/>
        <v>0.26883536582893036</v>
      </c>
      <c r="W190" s="27">
        <f t="shared" si="50"/>
        <v>0.27144114812483544</v>
      </c>
      <c r="X190" s="27">
        <f t="shared" si="50"/>
        <v>0.27393663571908672</v>
      </c>
      <c r="Y190" s="27">
        <f t="shared" si="50"/>
        <v>0.27602958403327432</v>
      </c>
      <c r="Z190" s="27">
        <f t="shared" si="50"/>
        <v>0.27806440150548434</v>
      </c>
      <c r="AA190" s="27">
        <f t="shared" si="50"/>
        <v>0.27999445309890292</v>
      </c>
      <c r="AB190" s="27">
        <f t="shared" si="50"/>
        <v>0.28250510714193849</v>
      </c>
      <c r="AC190" s="27">
        <f t="shared" si="50"/>
        <v>0.2850028510142375</v>
      </c>
      <c r="AD190" s="27">
        <f t="shared" si="50"/>
        <v>0.2876087202011619</v>
      </c>
      <c r="AE190" s="27">
        <f t="shared" si="50"/>
        <v>0.29078782209305915</v>
      </c>
      <c r="AF190" s="27">
        <f t="shared" si="50"/>
        <v>0.29426330713525839</v>
      </c>
      <c r="AG190" s="27">
        <f t="shared" si="50"/>
        <v>0.29836018925968516</v>
      </c>
      <c r="AH190" s="27">
        <f t="shared" si="50"/>
        <v>0.30160493021217166</v>
      </c>
      <c r="AI190" s="27">
        <f t="shared" si="50"/>
        <v>0.30461925939340617</v>
      </c>
      <c r="AJ190" s="27">
        <f t="shared" si="50"/>
        <v>0.30796406165428591</v>
      </c>
      <c r="AK190" s="27">
        <f t="shared" si="50"/>
        <v>0.31121905305268976</v>
      </c>
      <c r="AL190" s="27">
        <f t="shared" si="50"/>
        <v>0.31467112913302436</v>
      </c>
      <c r="AM190" s="27">
        <f t="shared" si="50"/>
        <v>0.31817282927962681</v>
      </c>
      <c r="AN190" s="27">
        <f t="shared" si="50"/>
        <v>0.32204272378442023</v>
      </c>
      <c r="AO190" s="27">
        <f t="shared" si="50"/>
        <v>0.32578044032276504</v>
      </c>
      <c r="AP190" s="27">
        <f t="shared" si="50"/>
        <v>0.32960701128717151</v>
      </c>
      <c r="AQ190" s="27">
        <f t="shared" si="50"/>
        <v>0.33358045772817063</v>
      </c>
      <c r="AR190" s="27">
        <f t="shared" si="50"/>
        <v>0.33772349579700817</v>
      </c>
      <c r="AS190" s="27">
        <f t="shared" si="50"/>
        <v>0.34233673784791513</v>
      </c>
      <c r="AT190" s="27">
        <f t="shared" si="50"/>
        <v>0.34549190843549077</v>
      </c>
      <c r="AU190" s="27">
        <f t="shared" si="50"/>
        <v>0.34857451417849072</v>
      </c>
      <c r="AV190" s="27">
        <f t="shared" si="50"/>
        <v>0.35174446981947466</v>
      </c>
      <c r="AW190" s="27">
        <f t="shared" si="50"/>
        <v>0.3549341131062021</v>
      </c>
      <c r="AY190" s="79"/>
    </row>
    <row r="191" spans="1:51" x14ac:dyDescent="0.2">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1.1651711689683767E-2</v>
      </c>
      <c r="M191" s="27">
        <f t="shared" si="50"/>
        <v>1.1743619004328788E-2</v>
      </c>
      <c r="N191" s="27">
        <f t="shared" si="50"/>
        <v>1.1802679244134426E-2</v>
      </c>
      <c r="O191" s="27">
        <f t="shared" si="50"/>
        <v>1.1841925043604104E-2</v>
      </c>
      <c r="P191" s="27">
        <f t="shared" si="50"/>
        <v>1.1860970136438286E-2</v>
      </c>
      <c r="Q191" s="27">
        <f t="shared" si="50"/>
        <v>1.1903047834366352E-2</v>
      </c>
      <c r="R191" s="27">
        <f t="shared" si="50"/>
        <v>1.1951318021451857E-2</v>
      </c>
      <c r="S191" s="27">
        <f t="shared" si="50"/>
        <v>1.1624148088994974E-2</v>
      </c>
      <c r="T191" s="27">
        <f t="shared" si="50"/>
        <v>1.1757734837671872E-2</v>
      </c>
      <c r="U191" s="27">
        <f t="shared" si="50"/>
        <v>1.1862414147833051E-2</v>
      </c>
      <c r="V191" s="27">
        <f t="shared" si="50"/>
        <v>1.1961586291992786E-2</v>
      </c>
      <c r="W191" s="27">
        <f t="shared" si="50"/>
        <v>1.2077528216874986E-2</v>
      </c>
      <c r="X191" s="27">
        <f t="shared" si="50"/>
        <v>1.218856267882977E-2</v>
      </c>
      <c r="Y191" s="27">
        <f t="shared" si="50"/>
        <v>1.2281686519837978E-2</v>
      </c>
      <c r="Z191" s="27">
        <f t="shared" si="50"/>
        <v>1.2372223881643949E-2</v>
      </c>
      <c r="AA191" s="27">
        <f t="shared" si="50"/>
        <v>1.2458099780491892E-2</v>
      </c>
      <c r="AB191" s="27">
        <f t="shared" si="50"/>
        <v>1.256980905985888E-2</v>
      </c>
      <c r="AC191" s="27">
        <f t="shared" si="50"/>
        <v>1.2680943912863346E-2</v>
      </c>
      <c r="AD191" s="27">
        <f t="shared" si="50"/>
        <v>1.2796889703882807E-2</v>
      </c>
      <c r="AE191" s="27">
        <f t="shared" si="50"/>
        <v>1.2938340965303392E-2</v>
      </c>
      <c r="AF191" s="27">
        <f t="shared" si="50"/>
        <v>1.3092979526753859E-2</v>
      </c>
      <c r="AG191" s="27">
        <f t="shared" si="50"/>
        <v>1.3275266588980031E-2</v>
      </c>
      <c r="AH191" s="27">
        <f t="shared" si="50"/>
        <v>1.3419638400994631E-2</v>
      </c>
      <c r="AI191" s="27">
        <f t="shared" si="50"/>
        <v>1.3553758249782499E-2</v>
      </c>
      <c r="AJ191" s="27">
        <f t="shared" si="50"/>
        <v>1.3702582199153161E-2</v>
      </c>
      <c r="AK191" s="27">
        <f t="shared" si="50"/>
        <v>1.3847410095481636E-2</v>
      </c>
      <c r="AL191" s="27">
        <f t="shared" si="50"/>
        <v>1.4001007096360315E-2</v>
      </c>
      <c r="AM191" s="27">
        <f t="shared" si="50"/>
        <v>1.4156812075155119E-2</v>
      </c>
      <c r="AN191" s="27">
        <f t="shared" si="50"/>
        <v>1.432899952868179E-2</v>
      </c>
      <c r="AO191" s="27">
        <f t="shared" si="50"/>
        <v>1.4495305843219548E-2</v>
      </c>
      <c r="AP191" s="27">
        <f t="shared" si="50"/>
        <v>1.4665565655026861E-2</v>
      </c>
      <c r="AQ191" s="27">
        <f t="shared" si="50"/>
        <v>1.4842360558234895E-2</v>
      </c>
      <c r="AR191" s="27">
        <f t="shared" si="50"/>
        <v>1.5026701287433988E-2</v>
      </c>
      <c r="AS191" s="27">
        <f t="shared" si="50"/>
        <v>1.5231963317255199E-2</v>
      </c>
      <c r="AT191" s="27">
        <f t="shared" si="50"/>
        <v>1.5372349776949124E-2</v>
      </c>
      <c r="AU191" s="27">
        <f t="shared" si="50"/>
        <v>1.550950752955876E-2</v>
      </c>
      <c r="AV191" s="27">
        <f t="shared" si="50"/>
        <v>1.5650551836822808E-2</v>
      </c>
      <c r="AW191" s="27">
        <f t="shared" si="50"/>
        <v>1.5792472128065831E-2</v>
      </c>
      <c r="AY191" s="79"/>
    </row>
    <row r="192" spans="1:51" x14ac:dyDescent="0.2">
      <c r="A192" s="95" t="str">
        <f t="shared" si="45"/>
        <v>FA Cattle MMN2O</v>
      </c>
      <c r="B192" s="95" t="s">
        <v>962</v>
      </c>
      <c r="C192" s="95" t="s">
        <v>1232</v>
      </c>
      <c r="D192" t="s">
        <v>15</v>
      </c>
      <c r="E192" t="s">
        <v>657</v>
      </c>
      <c r="F192" t="s">
        <v>67</v>
      </c>
      <c r="G192" t="s">
        <v>122</v>
      </c>
      <c r="H192" t="s">
        <v>1227</v>
      </c>
      <c r="I192" t="s">
        <v>139</v>
      </c>
      <c r="J192" t="s">
        <v>287</v>
      </c>
      <c r="K192" s="27">
        <f t="shared" si="47"/>
        <v>0.52525224947331306</v>
      </c>
      <c r="L192" s="27">
        <f t="shared" si="50"/>
        <v>0.5206969044571037</v>
      </c>
      <c r="M192" s="27">
        <f t="shared" si="50"/>
        <v>0.51896282251134873</v>
      </c>
      <c r="N192" s="27">
        <f t="shared" si="50"/>
        <v>0.51203275332440912</v>
      </c>
      <c r="O192" s="27">
        <f t="shared" si="50"/>
        <v>0.50197358865556707</v>
      </c>
      <c r="P192" s="27">
        <f t="shared" si="50"/>
        <v>0.48899333628247271</v>
      </c>
      <c r="Q192" s="27">
        <f t="shared" si="50"/>
        <v>0.47875543160314177</v>
      </c>
      <c r="R192" s="27">
        <f t="shared" si="50"/>
        <v>0.46906920988966794</v>
      </c>
      <c r="S192" s="27">
        <f t="shared" si="50"/>
        <v>0.41630918721469751</v>
      </c>
      <c r="T192" s="27">
        <f t="shared" si="50"/>
        <v>0.4242723493279994</v>
      </c>
      <c r="U192" s="27">
        <f t="shared" ref="L192:AW198" si="51">U1414</f>
        <v>0.42852994772024217</v>
      </c>
      <c r="V192" s="27">
        <f t="shared" si="51"/>
        <v>0.43180740758836011</v>
      </c>
      <c r="W192" s="27">
        <f t="shared" si="51"/>
        <v>0.43654938286292333</v>
      </c>
      <c r="X192" s="27">
        <f t="shared" si="51"/>
        <v>0.44039774902333312</v>
      </c>
      <c r="Y192" s="27">
        <f t="shared" si="51"/>
        <v>0.44287861979972809</v>
      </c>
      <c r="Z192" s="27">
        <f t="shared" si="51"/>
        <v>0.44480979206932508</v>
      </c>
      <c r="AA192" s="27">
        <f t="shared" si="51"/>
        <v>0.44600669694391831</v>
      </c>
      <c r="AB192" s="27">
        <f t="shared" si="51"/>
        <v>0.44955000580259225</v>
      </c>
      <c r="AC192" s="27">
        <f t="shared" si="51"/>
        <v>0.45273812820401932</v>
      </c>
      <c r="AD192" s="27">
        <f t="shared" si="51"/>
        <v>0.45290255961235854</v>
      </c>
      <c r="AE192" s="27">
        <f t="shared" si="51"/>
        <v>0.45503830808408913</v>
      </c>
      <c r="AF192" s="27">
        <f t="shared" si="51"/>
        <v>0.45786255495032313</v>
      </c>
      <c r="AG192" s="27">
        <f t="shared" si="51"/>
        <v>0.46260418192872943</v>
      </c>
      <c r="AH192" s="27">
        <f t="shared" si="51"/>
        <v>0.46336149545626742</v>
      </c>
      <c r="AI192" s="27">
        <f t="shared" si="51"/>
        <v>0.46328199946784754</v>
      </c>
      <c r="AJ192" s="27">
        <f t="shared" si="51"/>
        <v>0.46397768547065105</v>
      </c>
      <c r="AK192" s="27">
        <f t="shared" si="51"/>
        <v>0.46384928130278269</v>
      </c>
      <c r="AL192" s="27">
        <f t="shared" si="51"/>
        <v>0.46394752613960677</v>
      </c>
      <c r="AM192" s="27">
        <f t="shared" si="51"/>
        <v>0.46372456195327277</v>
      </c>
      <c r="AN192" s="27">
        <f t="shared" si="51"/>
        <v>0.46705287296965353</v>
      </c>
      <c r="AO192" s="27">
        <f t="shared" si="51"/>
        <v>0.46948772142871509</v>
      </c>
      <c r="AP192" s="27">
        <f t="shared" si="51"/>
        <v>0.47178208531317378</v>
      </c>
      <c r="AQ192" s="27">
        <f t="shared" si="51"/>
        <v>0.47411151157933035</v>
      </c>
      <c r="AR192" s="27">
        <f t="shared" si="51"/>
        <v>0.47652651600833112</v>
      </c>
      <c r="AS192" s="27">
        <f t="shared" si="51"/>
        <v>0.48031110501678759</v>
      </c>
      <c r="AT192" s="27">
        <f t="shared" si="51"/>
        <v>0.47924514012499747</v>
      </c>
      <c r="AU192" s="27">
        <f t="shared" si="51"/>
        <v>0.47764693105288908</v>
      </c>
      <c r="AV192" s="27">
        <f t="shared" si="51"/>
        <v>0.47599161993934092</v>
      </c>
      <c r="AW192" s="27">
        <f t="shared" si="51"/>
        <v>0.4740811431084902</v>
      </c>
      <c r="AY192" s="79"/>
    </row>
    <row r="193" spans="1:51" x14ac:dyDescent="0.2">
      <c r="A193" s="95" t="str">
        <f t="shared" si="45"/>
        <v>FA Cattle MMN2O</v>
      </c>
      <c r="B193" s="95" t="s">
        <v>962</v>
      </c>
      <c r="C193" s="95" t="s">
        <v>1232</v>
      </c>
      <c r="D193" t="s">
        <v>15</v>
      </c>
      <c r="E193" t="s">
        <v>657</v>
      </c>
      <c r="F193" t="s">
        <v>67</v>
      </c>
      <c r="G193" t="s">
        <v>123</v>
      </c>
      <c r="H193" t="s">
        <v>1227</v>
      </c>
      <c r="I193" t="s">
        <v>139</v>
      </c>
      <c r="J193" t="s">
        <v>287</v>
      </c>
      <c r="K193" s="27">
        <f t="shared" si="47"/>
        <v>0.80452586370517887</v>
      </c>
      <c r="L193" s="27">
        <f t="shared" si="51"/>
        <v>0.79754846782098077</v>
      </c>
      <c r="M193" s="27">
        <f t="shared" si="51"/>
        <v>0.79489238443144172</v>
      </c>
      <c r="N193" s="27">
        <f t="shared" si="51"/>
        <v>0.78427763712907439</v>
      </c>
      <c r="O193" s="27">
        <f t="shared" si="51"/>
        <v>0.76887007218962333</v>
      </c>
      <c r="P193" s="27">
        <f t="shared" si="51"/>
        <v>0.74898829393537225</v>
      </c>
      <c r="Q193" s="27">
        <f t="shared" si="51"/>
        <v>0.73330695394505496</v>
      </c>
      <c r="R193" s="27">
        <f t="shared" si="51"/>
        <v>0.71847062359542491</v>
      </c>
      <c r="S193" s="27">
        <f t="shared" si="51"/>
        <v>0.63765839888958464</v>
      </c>
      <c r="T193" s="27">
        <f t="shared" si="51"/>
        <v>0.64985552871330754</v>
      </c>
      <c r="U193" s="27">
        <f t="shared" si="51"/>
        <v>0.65637686779803062</v>
      </c>
      <c r="V193" s="27">
        <f t="shared" si="51"/>
        <v>0.66139693431616664</v>
      </c>
      <c r="W193" s="27">
        <f t="shared" si="51"/>
        <v>0.66866019069871818</v>
      </c>
      <c r="X193" s="27">
        <f t="shared" si="51"/>
        <v>0.67455471111659759</v>
      </c>
      <c r="Y193" s="27">
        <f t="shared" si="51"/>
        <v>0.67835464668302581</v>
      </c>
      <c r="Z193" s="27">
        <f t="shared" si="51"/>
        <v>0.68131261219334738</v>
      </c>
      <c r="AA193" s="27">
        <f t="shared" si="51"/>
        <v>0.68314590453806523</v>
      </c>
      <c r="AB193" s="27">
        <f t="shared" si="51"/>
        <v>0.68857317043317978</v>
      </c>
      <c r="AC193" s="27">
        <f t="shared" si="51"/>
        <v>0.69345639926499891</v>
      </c>
      <c r="AD193" s="27">
        <f t="shared" si="51"/>
        <v>0.69370825791186275</v>
      </c>
      <c r="AE193" s="27">
        <f t="shared" si="51"/>
        <v>0.69697957161989321</v>
      </c>
      <c r="AF193" s="27">
        <f t="shared" si="51"/>
        <v>0.70130545437746739</v>
      </c>
      <c r="AG193" s="27">
        <f t="shared" si="51"/>
        <v>0.70856817727678933</v>
      </c>
      <c r="AH193" s="27">
        <f t="shared" si="51"/>
        <v>0.70972815007166834</v>
      </c>
      <c r="AI193" s="27">
        <f t="shared" si="51"/>
        <v>0.70960638652128127</v>
      </c>
      <c r="AJ193" s="27">
        <f t="shared" si="51"/>
        <v>0.71067196478931216</v>
      </c>
      <c r="AK193" s="27">
        <f t="shared" si="51"/>
        <v>0.71047528886043954</v>
      </c>
      <c r="AL193" s="27">
        <f t="shared" si="51"/>
        <v>0.71062576991459914</v>
      </c>
      <c r="AM193" s="27">
        <f t="shared" si="51"/>
        <v>0.71028425694675268</v>
      </c>
      <c r="AN193" s="27">
        <f t="shared" si="51"/>
        <v>0.71538221187758488</v>
      </c>
      <c r="AO193" s="27">
        <f t="shared" si="51"/>
        <v>0.71911165532400878</v>
      </c>
      <c r="AP193" s="27">
        <f t="shared" si="51"/>
        <v>0.7226259193517196</v>
      </c>
      <c r="AQ193" s="27">
        <f t="shared" si="51"/>
        <v>0.72619388822876152</v>
      </c>
      <c r="AR193" s="27">
        <f t="shared" si="51"/>
        <v>0.72989293668793909</v>
      </c>
      <c r="AS193" s="27">
        <f t="shared" si="51"/>
        <v>0.73568977000726443</v>
      </c>
      <c r="AT193" s="27">
        <f t="shared" si="51"/>
        <v>0.73405703768463881</v>
      </c>
      <c r="AU193" s="27">
        <f t="shared" si="51"/>
        <v>0.73160906999785846</v>
      </c>
      <c r="AV193" s="27">
        <f t="shared" si="51"/>
        <v>0.72907363944108583</v>
      </c>
      <c r="AW193" s="27">
        <f t="shared" si="51"/>
        <v>0.72614737301582033</v>
      </c>
      <c r="AY193" s="79"/>
    </row>
    <row r="194" spans="1:51" x14ac:dyDescent="0.2">
      <c r="A194" s="95" t="str">
        <f t="shared" si="45"/>
        <v>FA Cattle MMN2O</v>
      </c>
      <c r="B194" s="95" t="s">
        <v>962</v>
      </c>
      <c r="C194" s="95" t="s">
        <v>1232</v>
      </c>
      <c r="D194" t="s">
        <v>15</v>
      </c>
      <c r="E194" t="s">
        <v>657</v>
      </c>
      <c r="F194" t="s">
        <v>67</v>
      </c>
      <c r="G194" t="s">
        <v>135</v>
      </c>
      <c r="H194" t="s">
        <v>1227</v>
      </c>
      <c r="I194" t="s">
        <v>139</v>
      </c>
      <c r="J194" t="s">
        <v>287</v>
      </c>
      <c r="K194" s="27">
        <f t="shared" si="47"/>
        <v>0.97926119892671493</v>
      </c>
      <c r="L194" s="27">
        <f t="shared" si="51"/>
        <v>1.0122801448609147</v>
      </c>
      <c r="M194" s="27">
        <f t="shared" si="51"/>
        <v>1.0514701788925804</v>
      </c>
      <c r="N194" s="27">
        <f t="shared" si="51"/>
        <v>1.0806972456941153</v>
      </c>
      <c r="O194" s="27">
        <f t="shared" si="51"/>
        <v>1.1032367943433716</v>
      </c>
      <c r="P194" s="27">
        <f t="shared" si="51"/>
        <v>1.1187666946803865</v>
      </c>
      <c r="Q194" s="27">
        <f t="shared" si="51"/>
        <v>1.1399714801203362</v>
      </c>
      <c r="R194" s="27">
        <f t="shared" si="51"/>
        <v>1.1622002864669057</v>
      </c>
      <c r="S194" s="27">
        <f t="shared" si="51"/>
        <v>1.0731659766272925</v>
      </c>
      <c r="T194" s="27">
        <f t="shared" si="51"/>
        <v>1.1200435177813</v>
      </c>
      <c r="U194" s="27">
        <f t="shared" si="51"/>
        <v>1.1581646088835691</v>
      </c>
      <c r="V194" s="27">
        <f t="shared" si="51"/>
        <v>1.1944005912440496</v>
      </c>
      <c r="W194" s="27">
        <f t="shared" si="51"/>
        <v>1.2355118571945767</v>
      </c>
      <c r="X194" s="27">
        <f t="shared" si="51"/>
        <v>1.2749845608108272</v>
      </c>
      <c r="Y194" s="27">
        <f t="shared" si="51"/>
        <v>1.3112710404440306</v>
      </c>
      <c r="Z194" s="27">
        <f t="shared" si="51"/>
        <v>1.3466036234744594</v>
      </c>
      <c r="AA194" s="27">
        <f t="shared" si="51"/>
        <v>1.3803261318564077</v>
      </c>
      <c r="AB194" s="27">
        <f t="shared" si="51"/>
        <v>1.4220578435636848</v>
      </c>
      <c r="AC194" s="27">
        <f t="shared" si="51"/>
        <v>1.4635769863229917</v>
      </c>
      <c r="AD194" s="27">
        <f t="shared" si="51"/>
        <v>1.5126623536535566</v>
      </c>
      <c r="AE194" s="27">
        <f t="shared" si="51"/>
        <v>1.5702927620533913</v>
      </c>
      <c r="AF194" s="27">
        <f t="shared" si="51"/>
        <v>1.6326718662100064</v>
      </c>
      <c r="AG194" s="27">
        <f t="shared" si="51"/>
        <v>1.7047038536562504</v>
      </c>
      <c r="AH194" s="27">
        <f t="shared" si="51"/>
        <v>1.7647703233064436</v>
      </c>
      <c r="AI194" s="27">
        <f t="shared" si="51"/>
        <v>1.823914760279997</v>
      </c>
      <c r="AJ194" s="27">
        <f t="shared" si="51"/>
        <v>1.8885037105241573</v>
      </c>
      <c r="AK194" s="27">
        <f t="shared" si="51"/>
        <v>1.9522655918668117</v>
      </c>
      <c r="AL194" s="27">
        <f t="shared" si="51"/>
        <v>2.0195785012565346</v>
      </c>
      <c r="AM194" s="27">
        <f t="shared" si="51"/>
        <v>2.0882359976906724</v>
      </c>
      <c r="AN194" s="27">
        <f t="shared" si="51"/>
        <v>2.1625669468600144</v>
      </c>
      <c r="AO194" s="27">
        <f t="shared" si="51"/>
        <v>2.2353883436386872</v>
      </c>
      <c r="AP194" s="27">
        <f t="shared" si="51"/>
        <v>2.310159637098629</v>
      </c>
      <c r="AQ194" s="27">
        <f t="shared" si="51"/>
        <v>2.387837748545981</v>
      </c>
      <c r="AR194" s="27">
        <f t="shared" si="51"/>
        <v>2.4688377318111754</v>
      </c>
      <c r="AS194" s="27">
        <f t="shared" si="51"/>
        <v>2.5601896833945608</v>
      </c>
      <c r="AT194" s="27">
        <f t="shared" si="51"/>
        <v>2.6285710200523447</v>
      </c>
      <c r="AU194" s="27">
        <f t="shared" si="51"/>
        <v>2.6962215322627681</v>
      </c>
      <c r="AV194" s="27">
        <f t="shared" si="51"/>
        <v>2.7657590792696469</v>
      </c>
      <c r="AW194" s="27">
        <f t="shared" si="51"/>
        <v>2.8360897430204677</v>
      </c>
      <c r="AY194" s="79"/>
    </row>
    <row r="195" spans="1:51" x14ac:dyDescent="0.2">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0.1195503235691774</v>
      </c>
      <c r="T195" s="27">
        <f t="shared" si="51"/>
        <v>0.11973238900774033</v>
      </c>
      <c r="U195" s="27">
        <f t="shared" si="51"/>
        <v>0.11993816652481025</v>
      </c>
      <c r="V195" s="27">
        <f t="shared" si="51"/>
        <v>0.12017030175701968</v>
      </c>
      <c r="W195" s="27">
        <f t="shared" si="51"/>
        <v>0.12043143682964785</v>
      </c>
      <c r="X195" s="27">
        <f t="shared" si="51"/>
        <v>0.12071612652319091</v>
      </c>
      <c r="Y195" s="27">
        <f t="shared" si="51"/>
        <v>0.12088927246048492</v>
      </c>
      <c r="Z195" s="27">
        <f t="shared" si="51"/>
        <v>0.12108266651499933</v>
      </c>
      <c r="AA195" s="27">
        <f t="shared" si="51"/>
        <v>0.12129489002398719</v>
      </c>
      <c r="AB195" s="27">
        <f t="shared" si="51"/>
        <v>0.12153074787723062</v>
      </c>
      <c r="AC195" s="27">
        <f t="shared" si="51"/>
        <v>0.12178444503760315</v>
      </c>
      <c r="AD195" s="27">
        <f t="shared" si="51"/>
        <v>0.12195021859922818</v>
      </c>
      <c r="AE195" s="27">
        <f t="shared" si="51"/>
        <v>0.12213630016303641</v>
      </c>
      <c r="AF195" s="27">
        <f t="shared" si="51"/>
        <v>0.12233971704233786</v>
      </c>
      <c r="AG195" s="27">
        <f t="shared" si="51"/>
        <v>0.12256258176640643</v>
      </c>
      <c r="AH195" s="27">
        <f t="shared" si="51"/>
        <v>0.12279204268449652</v>
      </c>
      <c r="AI195" s="27">
        <f t="shared" si="51"/>
        <v>0.12293267358180958</v>
      </c>
      <c r="AJ195" s="27">
        <f t="shared" si="51"/>
        <v>0.1230880284078129</v>
      </c>
      <c r="AK195" s="27">
        <f t="shared" si="51"/>
        <v>0.12325414703713089</v>
      </c>
      <c r="AL195" s="27">
        <f t="shared" si="51"/>
        <v>0.12343300581478904</v>
      </c>
      <c r="AM195" s="27">
        <f t="shared" si="51"/>
        <v>0.12362298848343736</v>
      </c>
      <c r="AN195" s="27">
        <f t="shared" si="51"/>
        <v>0.12373316293630814</v>
      </c>
      <c r="AO195" s="27">
        <f t="shared" si="51"/>
        <v>0.12385166980530417</v>
      </c>
      <c r="AP195" s="27">
        <f t="shared" si="51"/>
        <v>0.12398002361906417</v>
      </c>
      <c r="AQ195" s="27">
        <f t="shared" si="51"/>
        <v>0.12411840156820916</v>
      </c>
      <c r="AR195" s="27">
        <f t="shared" si="51"/>
        <v>0.12426670691930036</v>
      </c>
      <c r="AS195" s="27">
        <f t="shared" si="51"/>
        <v>0.12433302167931155</v>
      </c>
      <c r="AT195" s="27">
        <f t="shared" si="51"/>
        <v>0.12439474489368146</v>
      </c>
      <c r="AU195" s="27">
        <f t="shared" si="51"/>
        <v>0.1244631713501356</v>
      </c>
      <c r="AV195" s="27">
        <f t="shared" si="51"/>
        <v>0.12453939785824997</v>
      </c>
      <c r="AW195" s="27">
        <f t="shared" si="51"/>
        <v>0.12462263971956801</v>
      </c>
      <c r="AY195" s="79"/>
    </row>
    <row r="196" spans="1:51" x14ac:dyDescent="0.2">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6.3928512589691663E-2</v>
      </c>
      <c r="T196" s="27">
        <f t="shared" si="51"/>
        <v>6.4025870525110232E-2</v>
      </c>
      <c r="U196" s="27">
        <f t="shared" si="51"/>
        <v>6.4135908291616708E-2</v>
      </c>
      <c r="V196" s="27">
        <f t="shared" si="51"/>
        <v>6.4260040620762821E-2</v>
      </c>
      <c r="W196" s="27">
        <f t="shared" si="51"/>
        <v>6.4399680366434092E-2</v>
      </c>
      <c r="X196" s="27">
        <f t="shared" si="51"/>
        <v>6.4551915744093219E-2</v>
      </c>
      <c r="Y196" s="27">
        <f t="shared" si="51"/>
        <v>6.4644504052528431E-2</v>
      </c>
      <c r="Z196" s="27">
        <f t="shared" si="51"/>
        <v>6.4747919868393122E-2</v>
      </c>
      <c r="AA196" s="27">
        <f t="shared" si="51"/>
        <v>6.4861404573922254E-2</v>
      </c>
      <c r="AB196" s="27">
        <f t="shared" si="51"/>
        <v>6.4987527542813464E-2</v>
      </c>
      <c r="AC196" s="27">
        <f t="shared" si="51"/>
        <v>6.5123189928548972E-2</v>
      </c>
      <c r="AD196" s="27">
        <f t="shared" si="51"/>
        <v>6.5211835922177344E-2</v>
      </c>
      <c r="AE196" s="27">
        <f t="shared" si="51"/>
        <v>6.5311341446206636E-2</v>
      </c>
      <c r="AF196" s="27">
        <f t="shared" si="51"/>
        <v>6.5420116881865359E-2</v>
      </c>
      <c r="AG196" s="27">
        <f t="shared" si="51"/>
        <v>6.5539291886106743E-2</v>
      </c>
      <c r="AH196" s="27">
        <f t="shared" si="51"/>
        <v>6.5661994148660446E-2</v>
      </c>
      <c r="AI196" s="27">
        <f t="shared" si="51"/>
        <v>6.5737195317682587E-2</v>
      </c>
      <c r="AJ196" s="27">
        <f t="shared" si="51"/>
        <v>6.5820269981585744E-2</v>
      </c>
      <c r="AK196" s="27">
        <f t="shared" si="51"/>
        <v>6.5909100497210327E-2</v>
      </c>
      <c r="AL196" s="27">
        <f t="shared" si="51"/>
        <v>6.6004743698148058E-2</v>
      </c>
      <c r="AM196" s="27">
        <f t="shared" si="51"/>
        <v>6.6106335304610589E-2</v>
      </c>
      <c r="AN196" s="27">
        <f t="shared" si="51"/>
        <v>6.6165250150569468E-2</v>
      </c>
      <c r="AO196" s="27">
        <f t="shared" si="51"/>
        <v>6.6228620684754519E-2</v>
      </c>
      <c r="AP196" s="27">
        <f t="shared" si="51"/>
        <v>6.6297256788396222E-2</v>
      </c>
      <c r="AQ196" s="27">
        <f t="shared" si="51"/>
        <v>6.6371253212662962E-2</v>
      </c>
      <c r="AR196" s="27">
        <f t="shared" si="51"/>
        <v>6.6450558230176079E-2</v>
      </c>
      <c r="AS196" s="27">
        <f t="shared" si="51"/>
        <v>6.6486019480666153E-2</v>
      </c>
      <c r="AT196" s="27">
        <f t="shared" si="51"/>
        <v>6.6519025441412388E-2</v>
      </c>
      <c r="AU196" s="27">
        <f t="shared" si="51"/>
        <v>6.6555615903506504E-2</v>
      </c>
      <c r="AV196" s="27">
        <f t="shared" si="51"/>
        <v>6.6596377376484356E-2</v>
      </c>
      <c r="AW196" s="27">
        <f t="shared" si="51"/>
        <v>6.6640890249560589E-2</v>
      </c>
      <c r="AY196" s="79"/>
    </row>
    <row r="197" spans="1:51" x14ac:dyDescent="0.2">
      <c r="A197" s="95" t="str">
        <f t="shared" si="45"/>
        <v>FA Goats MMN2O</v>
      </c>
      <c r="B197" s="95" t="s">
        <v>962</v>
      </c>
      <c r="C197" s="95" t="s">
        <v>1329</v>
      </c>
      <c r="D197" t="s">
        <v>15</v>
      </c>
      <c r="E197" t="s">
        <v>657</v>
      </c>
      <c r="F197" t="s">
        <v>19</v>
      </c>
      <c r="G197" t="s">
        <v>122</v>
      </c>
      <c r="H197" t="s">
        <v>1227</v>
      </c>
      <c r="I197" t="s">
        <v>139</v>
      </c>
      <c r="J197" t="s">
        <v>287</v>
      </c>
      <c r="K197" s="27">
        <f t="shared" si="47"/>
        <v>1.4486129996083083E-2</v>
      </c>
      <c r="L197" s="27">
        <f t="shared" si="51"/>
        <v>1.4523786941695514E-2</v>
      </c>
      <c r="M197" s="27">
        <f t="shared" si="51"/>
        <v>1.457573336741831E-2</v>
      </c>
      <c r="N197" s="27">
        <f t="shared" si="51"/>
        <v>1.4639017833045652E-2</v>
      </c>
      <c r="O197" s="27">
        <f t="shared" si="51"/>
        <v>1.4713550078172181E-2</v>
      </c>
      <c r="P197" s="27">
        <f t="shared" si="51"/>
        <v>1.4798876460462532E-2</v>
      </c>
      <c r="Q197" s="27">
        <f t="shared" si="51"/>
        <v>1.4890706011157254E-2</v>
      </c>
      <c r="R197" s="27">
        <f t="shared" si="51"/>
        <v>1.4988675221399694E-2</v>
      </c>
      <c r="S197" s="27">
        <f t="shared" si="51"/>
        <v>1.5078679643027025E-2</v>
      </c>
      <c r="T197" s="27">
        <f t="shared" si="51"/>
        <v>1.5122495296339114E-2</v>
      </c>
      <c r="U197" s="27">
        <f t="shared" si="51"/>
        <v>1.516958973789732E-2</v>
      </c>
      <c r="V197" s="27">
        <f t="shared" si="51"/>
        <v>1.5220538890996555E-2</v>
      </c>
      <c r="W197" s="27">
        <f t="shared" si="51"/>
        <v>1.5275902163367263E-2</v>
      </c>
      <c r="X197" s="27">
        <f t="shared" si="51"/>
        <v>1.5334694454120529E-2</v>
      </c>
      <c r="Y197" s="27">
        <f t="shared" si="51"/>
        <v>1.5371448915304845E-2</v>
      </c>
      <c r="Z197" s="27">
        <f t="shared" si="51"/>
        <v>1.5411207509365298E-2</v>
      </c>
      <c r="AA197" s="27">
        <f t="shared" si="51"/>
        <v>1.545373639870192E-2</v>
      </c>
      <c r="AB197" s="27">
        <f t="shared" si="51"/>
        <v>1.5499966763922934E-2</v>
      </c>
      <c r="AC197" s="27">
        <f t="shared" si="51"/>
        <v>1.5548833641447303E-2</v>
      </c>
      <c r="AD197" s="27">
        <f t="shared" si="51"/>
        <v>1.5580602349578561E-2</v>
      </c>
      <c r="AE197" s="27">
        <f t="shared" si="51"/>
        <v>1.5615591404277505E-2</v>
      </c>
      <c r="AF197" s="27">
        <f t="shared" si="51"/>
        <v>1.5653259744642323E-2</v>
      </c>
      <c r="AG197" s="27">
        <f t="shared" si="51"/>
        <v>1.5694012741398929E-2</v>
      </c>
      <c r="AH197" s="27">
        <f t="shared" si="51"/>
        <v>1.5735477279761712E-2</v>
      </c>
      <c r="AI197" s="27">
        <f t="shared" si="51"/>
        <v>1.5760021720349279E-2</v>
      </c>
      <c r="AJ197" s="27">
        <f t="shared" si="51"/>
        <v>1.5786883711006117E-2</v>
      </c>
      <c r="AK197" s="27">
        <f t="shared" si="51"/>
        <v>1.5815340273420818E-2</v>
      </c>
      <c r="AL197" s="27">
        <f t="shared" si="51"/>
        <v>1.5845764593107773E-2</v>
      </c>
      <c r="AM197" s="27">
        <f t="shared" si="51"/>
        <v>1.5877866318833773E-2</v>
      </c>
      <c r="AN197" s="27">
        <f t="shared" si="51"/>
        <v>1.5894983838021428E-2</v>
      </c>
      <c r="AO197" s="27">
        <f t="shared" si="51"/>
        <v>1.5913339031971951E-2</v>
      </c>
      <c r="AP197" s="27">
        <f t="shared" si="51"/>
        <v>1.593321505910849E-2</v>
      </c>
      <c r="AQ197" s="27">
        <f t="shared" si="51"/>
        <v>1.5954648527995344E-2</v>
      </c>
      <c r="AR197" s="27">
        <f t="shared" si="51"/>
        <v>1.597762528830339E-2</v>
      </c>
      <c r="AS197" s="27">
        <f t="shared" si="51"/>
        <v>1.598544144020398E-2</v>
      </c>
      <c r="AT197" s="27">
        <f t="shared" si="51"/>
        <v>1.5992226212116378E-2</v>
      </c>
      <c r="AU197" s="27">
        <f t="shared" si="51"/>
        <v>1.600003943689176E-2</v>
      </c>
      <c r="AV197" s="27">
        <f t="shared" si="51"/>
        <v>1.6009082551352239E-2</v>
      </c>
      <c r="AW197" s="27">
        <f t="shared" si="51"/>
        <v>1.6019215529788255E-2</v>
      </c>
      <c r="AY197" s="79"/>
    </row>
    <row r="198" spans="1:51" x14ac:dyDescent="0.2">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0.11605647283191661</v>
      </c>
      <c r="O198" s="27">
        <f t="shared" si="51"/>
        <v>0.11664735601685972</v>
      </c>
      <c r="P198" s="27">
        <f t="shared" si="51"/>
        <v>0.11732381389682567</v>
      </c>
      <c r="Q198" s="27">
        <f t="shared" si="51"/>
        <v>0.11805182815822723</v>
      </c>
      <c r="R198" s="27">
        <f t="shared" si="51"/>
        <v>0.11882851694408277</v>
      </c>
      <c r="S198" s="27">
        <f t="shared" si="51"/>
        <v>0.11954206178926803</v>
      </c>
      <c r="T198" s="27">
        <f t="shared" si="51"/>
        <v>0.11988942731858297</v>
      </c>
      <c r="U198" s="27">
        <f t="shared" si="51"/>
        <v>0.12026278670919023</v>
      </c>
      <c r="V198" s="27">
        <f t="shared" si="51"/>
        <v>0.12066670581564304</v>
      </c>
      <c r="W198" s="27">
        <f t="shared" si="51"/>
        <v>0.12110561955897305</v>
      </c>
      <c r="X198" s="27">
        <f t="shared" si="51"/>
        <v>0.121571718171076</v>
      </c>
      <c r="Y198" s="27">
        <f t="shared" si="51"/>
        <v>0.12186310337017453</v>
      </c>
      <c r="Z198" s="27">
        <f t="shared" si="51"/>
        <v>0.12217830499394715</v>
      </c>
      <c r="AA198" s="27">
        <f t="shared" si="51"/>
        <v>0.12251546920442616</v>
      </c>
      <c r="AB198" s="27">
        <f t="shared" si="51"/>
        <v>0.12288197829584693</v>
      </c>
      <c r="AC198" s="27">
        <f t="shared" si="51"/>
        <v>0.12326938935774111</v>
      </c>
      <c r="AD198" s="27">
        <f t="shared" si="51"/>
        <v>0.12352124807218419</v>
      </c>
      <c r="AE198" s="27">
        <f t="shared" si="51"/>
        <v>0.12379863732892218</v>
      </c>
      <c r="AF198" s="27">
        <f t="shared" si="51"/>
        <v>0.12409726765849963</v>
      </c>
      <c r="AG198" s="27">
        <f t="shared" si="51"/>
        <v>0.12442035279404921</v>
      </c>
      <c r="AH198" s="27">
        <f t="shared" si="51"/>
        <v>0.12474907895074024</v>
      </c>
      <c r="AI198" s="27">
        <f t="shared" si="51"/>
        <v>0.12494366449156763</v>
      </c>
      <c r="AJ198" s="27">
        <f t="shared" si="51"/>
        <v>0.12515662330645747</v>
      </c>
      <c r="AK198" s="27">
        <f t="shared" si="51"/>
        <v>0.12538222370536653</v>
      </c>
      <c r="AL198" s="27">
        <f t="shared" si="51"/>
        <v>0.12562342426072123</v>
      </c>
      <c r="AM198" s="27">
        <f t="shared" si="51"/>
        <v>0.12587792310088028</v>
      </c>
      <c r="AN198" s="27">
        <f t="shared" si="51"/>
        <v>0.12601362885130757</v>
      </c>
      <c r="AO198" s="27">
        <f t="shared" si="51"/>
        <v>0.12615914674686166</v>
      </c>
      <c r="AP198" s="27">
        <f t="shared" si="51"/>
        <v>0.1263167216354017</v>
      </c>
      <c r="AQ198" s="27">
        <f t="shared" si="51"/>
        <v>0.12648664374547289</v>
      </c>
      <c r="AR198" s="27">
        <f t="shared" si="51"/>
        <v>0.12666880089487106</v>
      </c>
      <c r="AS198" s="27">
        <f t="shared" si="51"/>
        <v>0.12673076646052897</v>
      </c>
      <c r="AT198" s="27">
        <f t="shared" si="51"/>
        <v>0.12678455536263306</v>
      </c>
      <c r="AU198" s="27">
        <f t="shared" si="51"/>
        <v>0.1268464977223743</v>
      </c>
      <c r="AV198" s="27">
        <f t="shared" ref="L198:AW205" si="52">AV1420</f>
        <v>0.12691819050802894</v>
      </c>
      <c r="AW198" s="27">
        <f t="shared" si="52"/>
        <v>0.12699852361165501</v>
      </c>
      <c r="AY198" s="79"/>
    </row>
    <row r="199" spans="1:51" x14ac:dyDescent="0.2">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2">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2">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9.6937181363551561E-2</v>
      </c>
      <c r="M201" s="27">
        <f t="shared" si="52"/>
        <v>9.6980665528366608E-2</v>
      </c>
      <c r="N201" s="27">
        <f t="shared" si="52"/>
        <v>9.6090308702663593E-2</v>
      </c>
      <c r="O201" s="27">
        <f t="shared" si="52"/>
        <v>9.4636150647850539E-2</v>
      </c>
      <c r="P201" s="27">
        <f t="shared" si="52"/>
        <v>9.2641437622218353E-2</v>
      </c>
      <c r="Q201" s="27">
        <f t="shared" si="52"/>
        <v>9.1193054757597203E-2</v>
      </c>
      <c r="R201" s="27">
        <f t="shared" si="52"/>
        <v>8.9872834352323586E-2</v>
      </c>
      <c r="S201" s="27">
        <f t="shared" si="52"/>
        <v>8.007614881771638E-2</v>
      </c>
      <c r="T201" s="27">
        <f t="shared" si="52"/>
        <v>8.1326396788510474E-2</v>
      </c>
      <c r="U201" s="27">
        <f t="shared" si="52"/>
        <v>8.1857388582928847E-2</v>
      </c>
      <c r="V201" s="27">
        <f t="shared" si="52"/>
        <v>8.2207086470719101E-2</v>
      </c>
      <c r="W201" s="27">
        <f t="shared" si="52"/>
        <v>8.285461390877466E-2</v>
      </c>
      <c r="X201" s="27">
        <f t="shared" si="52"/>
        <v>8.333689669834958E-2</v>
      </c>
      <c r="Y201" s="27">
        <f t="shared" si="52"/>
        <v>8.3589871912565908E-2</v>
      </c>
      <c r="Z201" s="27">
        <f t="shared" si="52"/>
        <v>8.3744868407458789E-2</v>
      </c>
      <c r="AA201" s="27">
        <f t="shared" si="52"/>
        <v>8.3765893880963477E-2</v>
      </c>
      <c r="AB201" s="27">
        <f t="shared" si="52"/>
        <v>8.4252320791482468E-2</v>
      </c>
      <c r="AC201" s="27">
        <f t="shared" si="52"/>
        <v>8.467721169561411E-2</v>
      </c>
      <c r="AD201" s="27">
        <f t="shared" si="52"/>
        <v>8.5288552318902811E-2</v>
      </c>
      <c r="AE201" s="27">
        <f t="shared" si="52"/>
        <v>8.6321222168383255E-2</v>
      </c>
      <c r="AF201" s="27">
        <f t="shared" si="52"/>
        <v>8.7530536010928472E-2</v>
      </c>
      <c r="AG201" s="27">
        <f t="shared" si="52"/>
        <v>8.9167849032446608E-2</v>
      </c>
      <c r="AH201" s="27">
        <f t="shared" si="52"/>
        <v>9.0051741731639295E-2</v>
      </c>
      <c r="AI201" s="27">
        <f t="shared" si="52"/>
        <v>9.0823732502808008E-2</v>
      </c>
      <c r="AJ201" s="27">
        <f t="shared" si="52"/>
        <v>9.1793903682288E-2</v>
      </c>
      <c r="AK201" s="27">
        <f t="shared" si="52"/>
        <v>9.2636221139642705E-2</v>
      </c>
      <c r="AL201" s="27">
        <f t="shared" si="52"/>
        <v>9.3568236692189041E-2</v>
      </c>
      <c r="AM201" s="27">
        <f t="shared" si="52"/>
        <v>9.4477344703207677E-2</v>
      </c>
      <c r="AN201" s="27">
        <f t="shared" si="52"/>
        <v>9.5701309146604296E-2</v>
      </c>
      <c r="AO201" s="27">
        <f t="shared" si="52"/>
        <v>9.6764158959885563E-2</v>
      </c>
      <c r="AP201" s="27">
        <f t="shared" si="52"/>
        <v>9.7826064209534019E-2</v>
      </c>
      <c r="AQ201" s="27">
        <f t="shared" si="52"/>
        <v>9.8925683865692504E-2</v>
      </c>
      <c r="AR201" s="27">
        <f t="shared" si="52"/>
        <v>0.1000753787258143</v>
      </c>
      <c r="AS201" s="27">
        <f t="shared" si="52"/>
        <v>0.10157365781943821</v>
      </c>
      <c r="AT201" s="27">
        <f t="shared" si="52"/>
        <v>0.10203766217050345</v>
      </c>
      <c r="AU201" s="27">
        <f t="shared" si="52"/>
        <v>0.10240826928518969</v>
      </c>
      <c r="AV201" s="27">
        <f t="shared" si="52"/>
        <v>0.10279047259457187</v>
      </c>
      <c r="AW201" s="27">
        <f t="shared" si="52"/>
        <v>0.10314026973807801</v>
      </c>
      <c r="AY201" s="79"/>
    </row>
    <row r="202" spans="1:51" x14ac:dyDescent="0.2">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3.7923788015899976E-2</v>
      </c>
      <c r="M202" s="27">
        <f t="shared" si="52"/>
        <v>3.7940799901590251E-2</v>
      </c>
      <c r="N202" s="27">
        <f t="shared" si="52"/>
        <v>3.759247428451009E-2</v>
      </c>
      <c r="O202" s="27">
        <f t="shared" si="52"/>
        <v>3.7023578211438583E-2</v>
      </c>
      <c r="P202" s="27">
        <f t="shared" si="52"/>
        <v>3.6243206089281214E-2</v>
      </c>
      <c r="Q202" s="27">
        <f t="shared" si="52"/>
        <v>3.5676569387541844E-2</v>
      </c>
      <c r="R202" s="27">
        <f t="shared" si="52"/>
        <v>3.5160072434777256E-2</v>
      </c>
      <c r="S202" s="27">
        <f t="shared" si="52"/>
        <v>3.132741070223205E-2</v>
      </c>
      <c r="T202" s="27">
        <f t="shared" si="52"/>
        <v>3.1816533021911265E-2</v>
      </c>
      <c r="U202" s="27">
        <f t="shared" si="52"/>
        <v>3.2024267762765575E-2</v>
      </c>
      <c r="V202" s="27">
        <f t="shared" si="52"/>
        <v>3.2161076656727829E-2</v>
      </c>
      <c r="W202" s="27">
        <f t="shared" si="52"/>
        <v>3.2414402500845374E-2</v>
      </c>
      <c r="X202" s="27">
        <f t="shared" si="52"/>
        <v>3.2603081292804072E-2</v>
      </c>
      <c r="Y202" s="27">
        <f t="shared" si="52"/>
        <v>3.2702050318540822E-2</v>
      </c>
      <c r="Z202" s="27">
        <f t="shared" si="52"/>
        <v>3.2762688085523954E-2</v>
      </c>
      <c r="AA202" s="27">
        <f t="shared" si="52"/>
        <v>3.2770913676457285E-2</v>
      </c>
      <c r="AB202" s="27">
        <f t="shared" si="52"/>
        <v>3.2961213732434436E-2</v>
      </c>
      <c r="AC202" s="27">
        <f t="shared" si="52"/>
        <v>3.3127439656806437E-2</v>
      </c>
      <c r="AD202" s="27">
        <f t="shared" si="52"/>
        <v>3.3366608486320448E-2</v>
      </c>
      <c r="AE202" s="27">
        <f t="shared" si="52"/>
        <v>3.377060983968385E-2</v>
      </c>
      <c r="AF202" s="27">
        <f t="shared" si="52"/>
        <v>3.4243717899607513E-2</v>
      </c>
      <c r="AG202" s="27">
        <f t="shared" si="52"/>
        <v>3.4884267903953659E-2</v>
      </c>
      <c r="AH202" s="27">
        <f t="shared" si="52"/>
        <v>3.523006462386518E-2</v>
      </c>
      <c r="AI202" s="27">
        <f t="shared" si="52"/>
        <v>3.5532083043879219E-2</v>
      </c>
      <c r="AJ202" s="27">
        <f t="shared" si="52"/>
        <v>3.5911633652141173E-2</v>
      </c>
      <c r="AK202" s="27">
        <f t="shared" si="52"/>
        <v>3.6241165295680604E-2</v>
      </c>
      <c r="AL202" s="27">
        <f t="shared" si="52"/>
        <v>3.6605788650157255E-2</v>
      </c>
      <c r="AM202" s="27">
        <f t="shared" si="52"/>
        <v>3.6961450110584139E-2</v>
      </c>
      <c r="AN202" s="27">
        <f t="shared" si="52"/>
        <v>3.7440289782188468E-2</v>
      </c>
      <c r="AO202" s="27">
        <f t="shared" si="52"/>
        <v>3.7856098148438051E-2</v>
      </c>
      <c r="AP202" s="27">
        <f t="shared" si="52"/>
        <v>3.82715369822701E-2</v>
      </c>
      <c r="AQ202" s="27">
        <f t="shared" si="52"/>
        <v>3.8701730455524434E-2</v>
      </c>
      <c r="AR202" s="27">
        <f t="shared" si="52"/>
        <v>3.9151514362431208E-2</v>
      </c>
      <c r="AS202" s="27">
        <f t="shared" si="52"/>
        <v>3.973767147919479E-2</v>
      </c>
      <c r="AT202" s="27">
        <f t="shared" si="52"/>
        <v>3.9919199375928846E-2</v>
      </c>
      <c r="AU202" s="27">
        <f t="shared" si="52"/>
        <v>4.0064188382797468E-2</v>
      </c>
      <c r="AV202" s="27">
        <f t="shared" si="52"/>
        <v>4.0213714055816842E-2</v>
      </c>
      <c r="AW202" s="27">
        <f t="shared" si="52"/>
        <v>4.0350561780624759E-2</v>
      </c>
      <c r="AY202" s="79"/>
    </row>
    <row r="203" spans="1:51" x14ac:dyDescent="0.2">
      <c r="A203" s="95" t="str">
        <f t="shared" si="45"/>
        <v>FA Poultry MMN2O</v>
      </c>
      <c r="B203" s="95" t="s">
        <v>962</v>
      </c>
      <c r="C203" s="95" t="s">
        <v>1234</v>
      </c>
      <c r="D203" t="s">
        <v>15</v>
      </c>
      <c r="E203" t="s">
        <v>657</v>
      </c>
      <c r="F203" t="s">
        <v>28</v>
      </c>
      <c r="G203" t="s">
        <v>131</v>
      </c>
      <c r="H203" t="s">
        <v>1227</v>
      </c>
      <c r="I203" t="s">
        <v>139</v>
      </c>
      <c r="J203" t="s">
        <v>287</v>
      </c>
      <c r="K203" s="27">
        <f t="shared" si="47"/>
        <v>0.32784224726088984</v>
      </c>
      <c r="L203" s="27">
        <f t="shared" si="52"/>
        <v>0.33450793008613738</v>
      </c>
      <c r="M203" s="27">
        <f t="shared" si="52"/>
        <v>0.34229948156355033</v>
      </c>
      <c r="N203" s="27">
        <f t="shared" si="52"/>
        <v>0.34828124731402299</v>
      </c>
      <c r="O203" s="27">
        <f t="shared" si="52"/>
        <v>0.35308310351311484</v>
      </c>
      <c r="P203" s="27">
        <f t="shared" si="52"/>
        <v>0.35667649320457151</v>
      </c>
      <c r="Q203" s="27">
        <f t="shared" si="52"/>
        <v>0.36128421068096001</v>
      </c>
      <c r="R203" s="27">
        <f t="shared" si="52"/>
        <v>0.36607496135357964</v>
      </c>
      <c r="S203" s="27">
        <f t="shared" si="52"/>
        <v>0.35143183243338239</v>
      </c>
      <c r="T203" s="27">
        <f t="shared" si="52"/>
        <v>0.36075285272545593</v>
      </c>
      <c r="U203" s="27">
        <f t="shared" si="52"/>
        <v>0.36853031698633509</v>
      </c>
      <c r="V203" s="27">
        <f t="shared" si="52"/>
        <v>0.37596763636775804</v>
      </c>
      <c r="W203" s="27">
        <f t="shared" si="52"/>
        <v>0.38423631077311071</v>
      </c>
      <c r="X203" s="27">
        <f t="shared" si="52"/>
        <v>0.39220730600957571</v>
      </c>
      <c r="Y203" s="27">
        <f t="shared" si="52"/>
        <v>0.39936428537617313</v>
      </c>
      <c r="Z203" s="27">
        <f t="shared" si="52"/>
        <v>0.40634242638516721</v>
      </c>
      <c r="AA203" s="27">
        <f t="shared" si="52"/>
        <v>0.41303118340854511</v>
      </c>
      <c r="AB203" s="27">
        <f t="shared" si="52"/>
        <v>0.42107387695618559</v>
      </c>
      <c r="AC203" s="27">
        <f t="shared" si="52"/>
        <v>0.42906142963568294</v>
      </c>
      <c r="AD203" s="27">
        <f t="shared" si="52"/>
        <v>0.43743347438516689</v>
      </c>
      <c r="AE203" s="27">
        <f t="shared" si="52"/>
        <v>0.44718290108725961</v>
      </c>
      <c r="AF203" s="27">
        <f t="shared" si="52"/>
        <v>0.45765280094933275</v>
      </c>
      <c r="AG203" s="27">
        <f t="shared" si="52"/>
        <v>0.46964954754544574</v>
      </c>
      <c r="AH203" s="27">
        <f t="shared" si="52"/>
        <v>0.47956610826401264</v>
      </c>
      <c r="AI203" s="27">
        <f t="shared" si="52"/>
        <v>0.48905427439468169</v>
      </c>
      <c r="AJ203" s="27">
        <f t="shared" si="52"/>
        <v>0.49936104134598547</v>
      </c>
      <c r="AK203" s="27">
        <f t="shared" si="52"/>
        <v>0.5094502425603159</v>
      </c>
      <c r="AL203" s="27">
        <f t="shared" si="52"/>
        <v>0.52003660978561117</v>
      </c>
      <c r="AM203" s="27">
        <f t="shared" si="52"/>
        <v>0.53075624094362661</v>
      </c>
      <c r="AN203" s="27">
        <f t="shared" si="52"/>
        <v>0.54254535314858965</v>
      </c>
      <c r="AO203" s="27">
        <f t="shared" si="52"/>
        <v>0.55401935597193963</v>
      </c>
      <c r="AP203" s="27">
        <f t="shared" si="52"/>
        <v>0.56573487647354037</v>
      </c>
      <c r="AQ203" s="27">
        <f t="shared" si="52"/>
        <v>0.57784177154062866</v>
      </c>
      <c r="AR203" s="27">
        <f t="shared" si="52"/>
        <v>0.59040171392478091</v>
      </c>
      <c r="AS203" s="27">
        <f t="shared" si="52"/>
        <v>0.60432458622346374</v>
      </c>
      <c r="AT203" s="27">
        <f t="shared" si="52"/>
        <v>0.61453867581789445</v>
      </c>
      <c r="AU203" s="27">
        <f t="shared" si="52"/>
        <v>0.62457515677108666</v>
      </c>
      <c r="AV203" s="27">
        <f t="shared" si="52"/>
        <v>0.63484544126508857</v>
      </c>
      <c r="AW203" s="27">
        <f t="shared" si="52"/>
        <v>0.64517661361237144</v>
      </c>
      <c r="AY203" s="79"/>
    </row>
    <row r="204" spans="1:51" x14ac:dyDescent="0.2">
      <c r="A204" s="95" t="str">
        <f t="shared" si="45"/>
        <v>FA Poultry MMN2O</v>
      </c>
      <c r="B204" s="95" t="s">
        <v>962</v>
      </c>
      <c r="C204" s="95" t="s">
        <v>1234</v>
      </c>
      <c r="D204" t="s">
        <v>15</v>
      </c>
      <c r="E204" t="s">
        <v>657</v>
      </c>
      <c r="F204" t="s">
        <v>28</v>
      </c>
      <c r="G204" t="s">
        <v>132</v>
      </c>
      <c r="H204" t="s">
        <v>1227</v>
      </c>
      <c r="I204" t="s">
        <v>139</v>
      </c>
      <c r="J204" t="s">
        <v>287</v>
      </c>
      <c r="K204" s="27">
        <f t="shared" si="47"/>
        <v>1.7017151675634961</v>
      </c>
      <c r="L204" s="27">
        <f t="shared" si="52"/>
        <v>1.7241237147327644</v>
      </c>
      <c r="M204" s="27">
        <f t="shared" si="52"/>
        <v>1.7601182693498112</v>
      </c>
      <c r="N204" s="27">
        <f t="shared" si="52"/>
        <v>1.7704533576020511</v>
      </c>
      <c r="O204" s="27">
        <f t="shared" si="52"/>
        <v>1.7641159598844758</v>
      </c>
      <c r="P204" s="27">
        <f t="shared" si="52"/>
        <v>1.7411735022142167</v>
      </c>
      <c r="Q204" s="27">
        <f t="shared" si="52"/>
        <v>1.7315152516158574</v>
      </c>
      <c r="R204" s="27">
        <f t="shared" si="52"/>
        <v>1.7240481490859678</v>
      </c>
      <c r="S204" s="27">
        <f t="shared" si="52"/>
        <v>1.4738757031674365</v>
      </c>
      <c r="T204" s="27">
        <f t="shared" si="52"/>
        <v>1.5388372787954712</v>
      </c>
      <c r="U204" s="27">
        <f t="shared" si="52"/>
        <v>1.5836036619864218</v>
      </c>
      <c r="V204" s="27">
        <f t="shared" si="52"/>
        <v>1.6233328828738469</v>
      </c>
      <c r="W204" s="27">
        <f t="shared" si="52"/>
        <v>1.6722487915194271</v>
      </c>
      <c r="X204" s="27">
        <f t="shared" si="52"/>
        <v>1.7166486312949987</v>
      </c>
      <c r="Y204" s="27">
        <f t="shared" si="52"/>
        <v>1.7558377432347874</v>
      </c>
      <c r="Z204" s="27">
        <f t="shared" si="52"/>
        <v>1.7922488857917309</v>
      </c>
      <c r="AA204" s="27">
        <f t="shared" si="52"/>
        <v>1.8246587141077992</v>
      </c>
      <c r="AB204" s="27">
        <f t="shared" si="52"/>
        <v>1.8721447091119181</v>
      </c>
      <c r="AC204" s="27">
        <f t="shared" si="52"/>
        <v>1.9182061569635991</v>
      </c>
      <c r="AD204" s="27">
        <f t="shared" si="52"/>
        <v>1.9720971341440943</v>
      </c>
      <c r="AE204" s="27">
        <f t="shared" si="52"/>
        <v>2.0407669485031263</v>
      </c>
      <c r="AF204" s="27">
        <f t="shared" si="52"/>
        <v>2.1165368943229095</v>
      </c>
      <c r="AG204" s="27">
        <f t="shared" si="52"/>
        <v>2.2082604288024275</v>
      </c>
      <c r="AH204" s="27">
        <f t="shared" si="52"/>
        <v>2.275680198252084</v>
      </c>
      <c r="AI204" s="27">
        <f t="shared" si="52"/>
        <v>2.3413904736766207</v>
      </c>
      <c r="AJ204" s="27">
        <f t="shared" si="52"/>
        <v>2.415218944506448</v>
      </c>
      <c r="AK204" s="27">
        <f t="shared" si="52"/>
        <v>2.4857625444009255</v>
      </c>
      <c r="AL204" s="27">
        <f t="shared" si="52"/>
        <v>2.5608054567251783</v>
      </c>
      <c r="AM204" s="27">
        <f t="shared" si="52"/>
        <v>2.6363672729917886</v>
      </c>
      <c r="AN204" s="27">
        <f t="shared" si="52"/>
        <v>2.7260471010137848</v>
      </c>
      <c r="AO204" s="27">
        <f t="shared" si="52"/>
        <v>2.8113754255419443</v>
      </c>
      <c r="AP204" s="27">
        <f t="shared" si="52"/>
        <v>2.8983044964731111</v>
      </c>
      <c r="AQ204" s="27">
        <f t="shared" si="52"/>
        <v>2.9883855152257053</v>
      </c>
      <c r="AR204" s="27">
        <f t="shared" si="52"/>
        <v>3.0822159477018669</v>
      </c>
      <c r="AS204" s="27">
        <f t="shared" si="52"/>
        <v>3.1927841339465477</v>
      </c>
      <c r="AT204" s="27">
        <f t="shared" si="52"/>
        <v>3.2639921874822613</v>
      </c>
      <c r="AU204" s="27">
        <f t="shared" si="52"/>
        <v>3.3326892535191242</v>
      </c>
      <c r="AV204" s="27">
        <f t="shared" si="52"/>
        <v>3.4031153641230509</v>
      </c>
      <c r="AW204" s="27">
        <f t="shared" si="52"/>
        <v>3.4734928434212469</v>
      </c>
      <c r="AY204" s="79"/>
    </row>
    <row r="205" spans="1:51" x14ac:dyDescent="0.2">
      <c r="A205" s="95" t="str">
        <f t="shared" si="45"/>
        <v>FA Poultry MMN2O</v>
      </c>
      <c r="B205" s="95" t="s">
        <v>962</v>
      </c>
      <c r="C205" s="95" t="s">
        <v>1234</v>
      </c>
      <c r="D205" t="s">
        <v>15</v>
      </c>
      <c r="E205" t="s">
        <v>657</v>
      </c>
      <c r="F205" t="s">
        <v>28</v>
      </c>
      <c r="G205" t="s">
        <v>134</v>
      </c>
      <c r="H205" t="s">
        <v>1227</v>
      </c>
      <c r="I205" t="s">
        <v>139</v>
      </c>
      <c r="J205" t="s">
        <v>287</v>
      </c>
      <c r="K205" s="27">
        <f t="shared" si="47"/>
        <v>1.3660093635870424E-2</v>
      </c>
      <c r="L205" s="27">
        <f t="shared" si="52"/>
        <v>1.3937830420255738E-2</v>
      </c>
      <c r="M205" s="27">
        <f t="shared" si="52"/>
        <v>1.4262478398481276E-2</v>
      </c>
      <c r="N205" s="27">
        <f t="shared" si="52"/>
        <v>1.4511718638084306E-2</v>
      </c>
      <c r="O205" s="27">
        <f t="shared" si="52"/>
        <v>1.4711795979713135E-2</v>
      </c>
      <c r="P205" s="27">
        <f t="shared" si="52"/>
        <v>1.4861520550190493E-2</v>
      </c>
      <c r="Q205" s="27">
        <f t="shared" si="52"/>
        <v>1.5053508778373347E-2</v>
      </c>
      <c r="R205" s="27">
        <f t="shared" si="52"/>
        <v>1.5253123389732504E-2</v>
      </c>
      <c r="S205" s="27">
        <f t="shared" si="52"/>
        <v>1.4642993018057613E-2</v>
      </c>
      <c r="T205" s="27">
        <f t="shared" si="52"/>
        <v>1.5031368863560678E-2</v>
      </c>
      <c r="U205" s="27">
        <f t="shared" si="52"/>
        <v>1.5355429874430639E-2</v>
      </c>
      <c r="V205" s="27">
        <f t="shared" si="52"/>
        <v>1.5665318181989931E-2</v>
      </c>
      <c r="W205" s="27">
        <f t="shared" si="52"/>
        <v>1.6009846282212959E-2</v>
      </c>
      <c r="X205" s="27">
        <f t="shared" si="52"/>
        <v>1.6341971083732341E-2</v>
      </c>
      <c r="Y205" s="27">
        <f t="shared" si="52"/>
        <v>1.6640178557340561E-2</v>
      </c>
      <c r="Z205" s="27">
        <f t="shared" si="52"/>
        <v>1.693093443271531E-2</v>
      </c>
      <c r="AA205" s="27">
        <f t="shared" si="52"/>
        <v>1.7209632642022729E-2</v>
      </c>
      <c r="AB205" s="27">
        <f t="shared" si="52"/>
        <v>1.7544744873174416E-2</v>
      </c>
      <c r="AC205" s="27">
        <f t="shared" si="52"/>
        <v>1.7877559568153477E-2</v>
      </c>
      <c r="AD205" s="27">
        <f t="shared" si="52"/>
        <v>1.8226394766048638E-2</v>
      </c>
      <c r="AE205" s="27">
        <f t="shared" si="52"/>
        <v>1.8632620878635837E-2</v>
      </c>
      <c r="AF205" s="27">
        <f t="shared" si="52"/>
        <v>1.906886670622222E-2</v>
      </c>
      <c r="AG205" s="27">
        <f t="shared" si="52"/>
        <v>1.9568731147726923E-2</v>
      </c>
      <c r="AH205" s="27">
        <f t="shared" si="52"/>
        <v>1.9981921177667211E-2</v>
      </c>
      <c r="AI205" s="27">
        <f t="shared" si="52"/>
        <v>2.0377261433111755E-2</v>
      </c>
      <c r="AJ205" s="27">
        <f t="shared" si="52"/>
        <v>2.0806710056082745E-2</v>
      </c>
      <c r="AK205" s="27">
        <f t="shared" ref="L205:AW206" si="53">AK1427</f>
        <v>2.1227093440013181E-2</v>
      </c>
      <c r="AL205" s="27">
        <f t="shared" si="53"/>
        <v>2.1668192074400485E-2</v>
      </c>
      <c r="AM205" s="27">
        <f t="shared" si="53"/>
        <v>2.2114843372651131E-2</v>
      </c>
      <c r="AN205" s="27">
        <f t="shared" si="53"/>
        <v>2.2606056381191265E-2</v>
      </c>
      <c r="AO205" s="27">
        <f t="shared" si="53"/>
        <v>2.3084139832164171E-2</v>
      </c>
      <c r="AP205" s="27">
        <f t="shared" si="53"/>
        <v>2.3572286519730874E-2</v>
      </c>
      <c r="AQ205" s="27">
        <f t="shared" si="53"/>
        <v>2.4076740480859553E-2</v>
      </c>
      <c r="AR205" s="27">
        <f t="shared" si="53"/>
        <v>2.4600071413532563E-2</v>
      </c>
      <c r="AS205" s="27">
        <f t="shared" si="53"/>
        <v>2.5180191092644345E-2</v>
      </c>
      <c r="AT205" s="27">
        <f t="shared" si="53"/>
        <v>2.5605778159078961E-2</v>
      </c>
      <c r="AU205" s="27">
        <f t="shared" si="53"/>
        <v>2.6023964865461973E-2</v>
      </c>
      <c r="AV205" s="27">
        <f t="shared" si="53"/>
        <v>2.6451893386045391E-2</v>
      </c>
      <c r="AW205" s="27">
        <f t="shared" si="53"/>
        <v>2.6882358900515501E-2</v>
      </c>
      <c r="AY205" s="79"/>
    </row>
    <row r="206" spans="1:51" x14ac:dyDescent="0.2">
      <c r="A206" s="95" t="str">
        <f t="shared" si="45"/>
        <v>FA Poultry MMN2O</v>
      </c>
      <c r="B206" s="95" t="s">
        <v>962</v>
      </c>
      <c r="C206" s="95" t="s">
        <v>1234</v>
      </c>
      <c r="D206" t="s">
        <v>15</v>
      </c>
      <c r="E206" t="s">
        <v>657</v>
      </c>
      <c r="F206" t="s">
        <v>28</v>
      </c>
      <c r="G206" t="s">
        <v>133</v>
      </c>
      <c r="H206" t="s">
        <v>1227</v>
      </c>
      <c r="I206" t="s">
        <v>139</v>
      </c>
      <c r="J206" t="s">
        <v>287</v>
      </c>
      <c r="K206" s="27">
        <f t="shared" si="47"/>
        <v>7.0904798648479067E-2</v>
      </c>
      <c r="L206" s="27">
        <f t="shared" si="53"/>
        <v>7.1838488113865256E-2</v>
      </c>
      <c r="M206" s="27">
        <f t="shared" si="53"/>
        <v>7.333826122290886E-2</v>
      </c>
      <c r="N206" s="27">
        <f t="shared" si="53"/>
        <v>7.3768889900085552E-2</v>
      </c>
      <c r="O206" s="27">
        <f t="shared" si="53"/>
        <v>7.3504831661853232E-2</v>
      </c>
      <c r="P206" s="27">
        <f t="shared" si="53"/>
        <v>7.2548895925592424E-2</v>
      </c>
      <c r="Q206" s="27">
        <f t="shared" si="53"/>
        <v>7.2146468817327461E-2</v>
      </c>
      <c r="R206" s="27">
        <f t="shared" si="53"/>
        <v>7.1835339545248733E-2</v>
      </c>
      <c r="S206" s="27">
        <f t="shared" si="53"/>
        <v>6.1411487631976583E-2</v>
      </c>
      <c r="T206" s="27">
        <f t="shared" si="53"/>
        <v>6.4118219949811373E-2</v>
      </c>
      <c r="U206" s="27">
        <f t="shared" si="53"/>
        <v>6.5983485916100967E-2</v>
      </c>
      <c r="V206" s="27">
        <f t="shared" si="53"/>
        <v>6.7638870119743691E-2</v>
      </c>
      <c r="W206" s="27">
        <f t="shared" si="53"/>
        <v>6.9677032979976197E-2</v>
      </c>
      <c r="X206" s="27">
        <f t="shared" si="53"/>
        <v>7.1527026303958338E-2</v>
      </c>
      <c r="Y206" s="27">
        <f t="shared" si="53"/>
        <v>7.3159905968116196E-2</v>
      </c>
      <c r="Z206" s="27">
        <f t="shared" si="53"/>
        <v>7.4677036907988839E-2</v>
      </c>
      <c r="AA206" s="27">
        <f t="shared" si="53"/>
        <v>7.6027446421158371E-2</v>
      </c>
      <c r="AB206" s="27">
        <f t="shared" si="53"/>
        <v>7.8006029546329986E-2</v>
      </c>
      <c r="AC206" s="27">
        <f t="shared" si="53"/>
        <v>7.9925256540150022E-2</v>
      </c>
      <c r="AD206" s="27">
        <f t="shared" si="53"/>
        <v>8.2170713922670655E-2</v>
      </c>
      <c r="AE206" s="27">
        <f t="shared" si="53"/>
        <v>8.5031956187630361E-2</v>
      </c>
      <c r="AF206" s="27">
        <f t="shared" si="53"/>
        <v>8.8189037263454617E-2</v>
      </c>
      <c r="AG206" s="27">
        <f t="shared" si="53"/>
        <v>9.2010851200101232E-2</v>
      </c>
      <c r="AH206" s="27">
        <f t="shared" si="53"/>
        <v>9.4820008260503588E-2</v>
      </c>
      <c r="AI206" s="27">
        <f t="shared" si="53"/>
        <v>9.755793640319263E-2</v>
      </c>
      <c r="AJ206" s="27">
        <f t="shared" si="53"/>
        <v>0.10063412268776877</v>
      </c>
      <c r="AK206" s="27">
        <f t="shared" si="53"/>
        <v>0.10357343935003867</v>
      </c>
      <c r="AL206" s="27">
        <f t="shared" si="53"/>
        <v>0.10670022736354919</v>
      </c>
      <c r="AM206" s="27">
        <f t="shared" si="53"/>
        <v>0.10984863637465794</v>
      </c>
      <c r="AN206" s="27">
        <f t="shared" si="53"/>
        <v>0.11358529587557446</v>
      </c>
      <c r="AO206" s="27">
        <f t="shared" si="53"/>
        <v>0.11714064273091444</v>
      </c>
      <c r="AP206" s="27">
        <f t="shared" si="53"/>
        <v>0.12076268735304639</v>
      </c>
      <c r="AQ206" s="27">
        <f t="shared" si="53"/>
        <v>0.12451606313440448</v>
      </c>
      <c r="AR206" s="27">
        <f t="shared" si="53"/>
        <v>0.12842566448757792</v>
      </c>
      <c r="AS206" s="27">
        <f t="shared" si="53"/>
        <v>0.1330326722477729</v>
      </c>
      <c r="AT206" s="27">
        <f t="shared" si="53"/>
        <v>0.1359996744784277</v>
      </c>
      <c r="AU206" s="27">
        <f t="shared" si="53"/>
        <v>0.13886205222996365</v>
      </c>
      <c r="AV206" s="27">
        <f t="shared" si="53"/>
        <v>0.14179647350512722</v>
      </c>
      <c r="AW206" s="27">
        <f t="shared" si="53"/>
        <v>0.14472886847588542</v>
      </c>
      <c r="AY206" s="79"/>
    </row>
    <row r="207" spans="1:51" x14ac:dyDescent="0.2">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6.60388696259374</v>
      </c>
      <c r="U207" s="22">
        <f t="shared" si="54"/>
        <v>6.6020342469478921</v>
      </c>
      <c r="V207" s="22">
        <f t="shared" si="54"/>
        <v>6.6005840725031204</v>
      </c>
      <c r="W207" s="22">
        <f t="shared" si="54"/>
        <v>6.5992416571177221</v>
      </c>
      <c r="X207" s="22">
        <f t="shared" si="54"/>
        <v>6.5977411232427086</v>
      </c>
      <c r="Y207" s="22">
        <f t="shared" si="54"/>
        <v>6.5963380636148372</v>
      </c>
      <c r="Z207" s="22">
        <f t="shared" si="54"/>
        <v>6.5950885900535399</v>
      </c>
      <c r="AA207" s="22">
        <f t="shared" si="54"/>
        <v>6.593899664910774</v>
      </c>
      <c r="AB207" s="22">
        <f t="shared" si="54"/>
        <v>6.5927919026350441</v>
      </c>
      <c r="AC207" s="22">
        <f t="shared" si="54"/>
        <v>6.5914248070564794</v>
      </c>
      <c r="AD207" s="22">
        <f t="shared" si="54"/>
        <v>6.5900953819081538</v>
      </c>
      <c r="AE207" s="22">
        <f t="shared" si="54"/>
        <v>6.5886770470789005</v>
      </c>
      <c r="AF207" s="22">
        <f t="shared" si="54"/>
        <v>6.5870194021035937</v>
      </c>
      <c r="AG207" s="22">
        <f t="shared" si="54"/>
        <v>6.5852622329414547</v>
      </c>
      <c r="AH207" s="22">
        <f t="shared" si="54"/>
        <v>6.5832642389355076</v>
      </c>
      <c r="AI207" s="22">
        <f t="shared" si="54"/>
        <v>6.5816933184770097</v>
      </c>
      <c r="AJ207" s="22">
        <f t="shared" si="54"/>
        <v>6.5801985919199808</v>
      </c>
      <c r="AK207" s="22">
        <f t="shared" si="54"/>
        <v>6.5785915117586082</v>
      </c>
      <c r="AL207" s="22">
        <f t="shared" si="54"/>
        <v>6.5770555695996213</v>
      </c>
      <c r="AM207" s="22">
        <f t="shared" si="54"/>
        <v>6.5754680730045454</v>
      </c>
      <c r="AN207" s="22">
        <f t="shared" si="54"/>
        <v>6.5738921443316158</v>
      </c>
      <c r="AO207" s="22">
        <f t="shared" si="54"/>
        <v>6.5721499435540869</v>
      </c>
      <c r="AP207" s="22">
        <f t="shared" si="54"/>
        <v>6.5704963238558332</v>
      </c>
      <c r="AQ207" s="22">
        <f t="shared" si="54"/>
        <v>6.5688413494168394</v>
      </c>
      <c r="AR207" s="22">
        <f t="shared" si="54"/>
        <v>6.5671634182939496</v>
      </c>
      <c r="AS207" s="22">
        <f t="shared" si="54"/>
        <v>6.5654557216665381</v>
      </c>
      <c r="AT207" s="22">
        <f t="shared" si="54"/>
        <v>6.5635649622881891</v>
      </c>
      <c r="AU207" s="22">
        <f t="shared" si="54"/>
        <v>6.5622389108641883</v>
      </c>
      <c r="AV207" s="22">
        <f t="shared" si="54"/>
        <v>6.560960344070546</v>
      </c>
      <c r="AW207" s="22">
        <f t="shared" si="54"/>
        <v>6.5596714127254918</v>
      </c>
      <c r="AY207" s="79"/>
    </row>
    <row r="208" spans="1:51" x14ac:dyDescent="0.2">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4.358565395311869E-2</v>
      </c>
      <c r="U208" s="22">
        <f t="shared" si="55"/>
        <v>4.3573426029856095E-2</v>
      </c>
      <c r="V208" s="22">
        <f t="shared" si="55"/>
        <v>4.3563854878520596E-2</v>
      </c>
      <c r="W208" s="22">
        <f t="shared" si="55"/>
        <v>4.3554994936976968E-2</v>
      </c>
      <c r="X208" s="22">
        <f t="shared" si="55"/>
        <v>4.354509141340189E-2</v>
      </c>
      <c r="Y208" s="22">
        <f t="shared" si="55"/>
        <v>4.3535831219857934E-2</v>
      </c>
      <c r="Z208" s="22">
        <f t="shared" si="55"/>
        <v>4.3527584694353361E-2</v>
      </c>
      <c r="AA208" s="22">
        <f t="shared" si="54"/>
        <v>4.3519737788411117E-2</v>
      </c>
      <c r="AB208" s="22">
        <f t="shared" si="54"/>
        <v>4.35124265573913E-2</v>
      </c>
      <c r="AC208" s="22">
        <f t="shared" si="54"/>
        <v>4.350340372657277E-2</v>
      </c>
      <c r="AD208" s="22">
        <f t="shared" si="54"/>
        <v>4.3494629520593811E-2</v>
      </c>
      <c r="AE208" s="22">
        <f t="shared" si="54"/>
        <v>4.3485268510720758E-2</v>
      </c>
      <c r="AF208" s="22">
        <f t="shared" si="54"/>
        <v>4.347432805388373E-2</v>
      </c>
      <c r="AG208" s="22">
        <f t="shared" si="54"/>
        <v>4.3462730737413614E-2</v>
      </c>
      <c r="AH208" s="22">
        <f t="shared" si="54"/>
        <v>4.3449543976974349E-2</v>
      </c>
      <c r="AI208" s="22">
        <f t="shared" si="54"/>
        <v>4.343917590194827E-2</v>
      </c>
      <c r="AJ208" s="22">
        <f t="shared" si="54"/>
        <v>4.3429310706671886E-2</v>
      </c>
      <c r="AK208" s="22">
        <f t="shared" si="54"/>
        <v>4.3418703977606825E-2</v>
      </c>
      <c r="AL208" s="22">
        <f t="shared" si="54"/>
        <v>4.340856675935751E-2</v>
      </c>
      <c r="AM208" s="22">
        <f t="shared" si="54"/>
        <v>4.3398089281830012E-2</v>
      </c>
      <c r="AN208" s="22">
        <f t="shared" si="54"/>
        <v>4.3387688152588685E-2</v>
      </c>
      <c r="AO208" s="22">
        <f t="shared" si="54"/>
        <v>4.3376189627456985E-2</v>
      </c>
      <c r="AP208" s="22">
        <f t="shared" si="54"/>
        <v>4.3365275737448507E-2</v>
      </c>
      <c r="AQ208" s="22">
        <f t="shared" si="54"/>
        <v>4.3354352906151139E-2</v>
      </c>
      <c r="AR208" s="22">
        <f t="shared" si="54"/>
        <v>4.3343278560740071E-2</v>
      </c>
      <c r="AS208" s="22">
        <f t="shared" si="54"/>
        <v>4.3332007762999163E-2</v>
      </c>
      <c r="AT208" s="22">
        <f t="shared" si="54"/>
        <v>4.3319528751102059E-2</v>
      </c>
      <c r="AU208" s="22">
        <f t="shared" si="54"/>
        <v>4.3310776811703651E-2</v>
      </c>
      <c r="AV208" s="22">
        <f t="shared" si="54"/>
        <v>4.3302338270865603E-2</v>
      </c>
      <c r="AW208" s="22">
        <f t="shared" si="54"/>
        <v>4.3293831323988244E-2</v>
      </c>
      <c r="AY208" s="79"/>
    </row>
    <row r="209" spans="1:51" x14ac:dyDescent="0.2">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2.968676648093143</v>
      </c>
      <c r="U209" s="22">
        <f t="shared" si="54"/>
        <v>2.9825082583829583</v>
      </c>
      <c r="V209" s="22">
        <f t="shared" si="54"/>
        <v>2.9933346622173946</v>
      </c>
      <c r="W209" s="22">
        <f t="shared" si="54"/>
        <v>3.0033565813928953</v>
      </c>
      <c r="X209" s="22">
        <f t="shared" si="54"/>
        <v>3.0145589479472883</v>
      </c>
      <c r="Y209" s="22">
        <f t="shared" si="54"/>
        <v>3.0250336120057435</v>
      </c>
      <c r="Z209" s="22">
        <f t="shared" si="54"/>
        <v>3.0343616658849326</v>
      </c>
      <c r="AA209" s="22">
        <f t="shared" si="54"/>
        <v>3.0432376902631781</v>
      </c>
      <c r="AB209" s="22">
        <f t="shared" si="54"/>
        <v>3.0515077861767024</v>
      </c>
      <c r="AC209" s="22">
        <f t="shared" si="54"/>
        <v>3.0617139574874526</v>
      </c>
      <c r="AD209" s="22">
        <f t="shared" si="54"/>
        <v>3.0716388969147959</v>
      </c>
      <c r="AE209" s="22">
        <f t="shared" si="54"/>
        <v>3.0822275993217993</v>
      </c>
      <c r="AF209" s="22">
        <f t="shared" si="54"/>
        <v>3.0946028925022198</v>
      </c>
      <c r="AG209" s="22">
        <f t="shared" si="54"/>
        <v>3.1077211921821801</v>
      </c>
      <c r="AH209" s="22">
        <f t="shared" si="54"/>
        <v>3.122637390743785</v>
      </c>
      <c r="AI209" s="22">
        <f t="shared" si="54"/>
        <v>3.1343652344778912</v>
      </c>
      <c r="AJ209" s="22">
        <f t="shared" si="54"/>
        <v>3.1455242459932262</v>
      </c>
      <c r="AK209" s="22">
        <f t="shared" si="54"/>
        <v>3.1575220431438074</v>
      </c>
      <c r="AL209" s="22">
        <f t="shared" si="54"/>
        <v>3.1689887533313184</v>
      </c>
      <c r="AM209" s="22">
        <f t="shared" si="54"/>
        <v>3.1808403476591942</v>
      </c>
      <c r="AN209" s="22">
        <f t="shared" si="54"/>
        <v>3.1926055806550666</v>
      </c>
      <c r="AO209" s="22">
        <f t="shared" si="54"/>
        <v>3.2056121325538434</v>
      </c>
      <c r="AP209" s="22">
        <f t="shared" si="54"/>
        <v>3.217957374677253</v>
      </c>
      <c r="AQ209" s="22">
        <f t="shared" si="54"/>
        <v>3.2303127307358399</v>
      </c>
      <c r="AR209" s="22">
        <f t="shared" si="54"/>
        <v>3.24283947192085</v>
      </c>
      <c r="AS209" s="22">
        <f t="shared" si="54"/>
        <v>3.2555884300766866</v>
      </c>
      <c r="AT209" s="22">
        <f t="shared" si="54"/>
        <v>3.2697040591705311</v>
      </c>
      <c r="AU209" s="22">
        <f t="shared" si="54"/>
        <v>3.2796038117645905</v>
      </c>
      <c r="AV209" s="22">
        <f t="shared" si="54"/>
        <v>3.2891490637080194</v>
      </c>
      <c r="AW209" s="22">
        <f t="shared" si="54"/>
        <v>3.2987716931142437</v>
      </c>
      <c r="AY209" s="79"/>
    </row>
    <row r="210" spans="1:51" x14ac:dyDescent="0.2">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0.32056321299147922</v>
      </c>
      <c r="M210" s="22">
        <f t="shared" si="54"/>
        <v>0.32309177745176459</v>
      </c>
      <c r="N210" s="22">
        <f t="shared" si="54"/>
        <v>0.32471664946511047</v>
      </c>
      <c r="O210" s="22">
        <f t="shared" si="54"/>
        <v>0.32579638434951891</v>
      </c>
      <c r="P210" s="22">
        <f t="shared" si="54"/>
        <v>0.32632035510276458</v>
      </c>
      <c r="Q210" s="22">
        <f t="shared" si="54"/>
        <v>0.32747800149861978</v>
      </c>
      <c r="R210" s="22">
        <f t="shared" si="54"/>
        <v>0.32880601635823298</v>
      </c>
      <c r="S210" s="22">
        <f t="shared" si="54"/>
        <v>0.31980488008437191</v>
      </c>
      <c r="T210" s="22">
        <f t="shared" si="54"/>
        <v>0.32348013385904834</v>
      </c>
      <c r="U210" s="22">
        <f t="shared" si="54"/>
        <v>0.3263600829079687</v>
      </c>
      <c r="V210" s="22">
        <f t="shared" si="54"/>
        <v>0.32908851818149565</v>
      </c>
      <c r="W210" s="22">
        <f t="shared" si="54"/>
        <v>0.33227832556349268</v>
      </c>
      <c r="X210" s="22">
        <f t="shared" si="54"/>
        <v>0.33533311826905887</v>
      </c>
      <c r="Y210" s="22">
        <f t="shared" si="54"/>
        <v>0.33789515194056902</v>
      </c>
      <c r="Z210" s="22">
        <f t="shared" si="54"/>
        <v>0.34038602610303131</v>
      </c>
      <c r="AA210" s="22">
        <f t="shared" si="54"/>
        <v>0.34274865356811024</v>
      </c>
      <c r="AB210" s="22">
        <f t="shared" si="54"/>
        <v>0.34582201192682688</v>
      </c>
      <c r="AC210" s="22">
        <f t="shared" si="54"/>
        <v>0.34887956660233338</v>
      </c>
      <c r="AD210" s="22">
        <f t="shared" si="54"/>
        <v>0.35206948034993701</v>
      </c>
      <c r="AE210" s="22">
        <f t="shared" si="54"/>
        <v>0.3559611034908382</v>
      </c>
      <c r="AF210" s="22">
        <f t="shared" si="54"/>
        <v>0.36021553712523996</v>
      </c>
      <c r="AG210" s="22">
        <f t="shared" si="54"/>
        <v>0.36523063944756523</v>
      </c>
      <c r="AH210" s="22">
        <f t="shared" si="54"/>
        <v>0.36920261310751928</v>
      </c>
      <c r="AI210" s="22">
        <f t="shared" si="54"/>
        <v>0.3728925335928876</v>
      </c>
      <c r="AJ210" s="22">
        <f t="shared" si="54"/>
        <v>0.37698699496053195</v>
      </c>
      <c r="AK210" s="22">
        <f t="shared" si="54"/>
        <v>0.38097151646383681</v>
      </c>
      <c r="AL210" s="22">
        <f t="shared" si="54"/>
        <v>0.38519729456570295</v>
      </c>
      <c r="AM210" s="22">
        <f t="shared" si="54"/>
        <v>0.38948381880632194</v>
      </c>
      <c r="AN210" s="22">
        <f t="shared" si="54"/>
        <v>0.3942210595490877</v>
      </c>
      <c r="AO210" s="22">
        <f t="shared" si="54"/>
        <v>0.39879649772923048</v>
      </c>
      <c r="AP210" s="22">
        <f t="shared" si="54"/>
        <v>0.40348070497447158</v>
      </c>
      <c r="AQ210" s="22">
        <f t="shared" si="54"/>
        <v>0.40834470639522963</v>
      </c>
      <c r="AR210" s="22">
        <f t="shared" si="54"/>
        <v>0.41341630943614366</v>
      </c>
      <c r="AS210" s="22">
        <f t="shared" si="54"/>
        <v>0.41906350167167566</v>
      </c>
      <c r="AT210" s="22">
        <f t="shared" si="54"/>
        <v>0.42292582986675353</v>
      </c>
      <c r="AU210" s="22">
        <f t="shared" si="54"/>
        <v>0.42669932950648143</v>
      </c>
      <c r="AV210" s="22">
        <f t="shared" si="54"/>
        <v>0.43057975647849034</v>
      </c>
      <c r="AW210" s="22">
        <f t="shared" si="54"/>
        <v>0.43448428362104141</v>
      </c>
      <c r="AY210" s="79"/>
    </row>
    <row r="211" spans="1:51" x14ac:dyDescent="0.2">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0.93731746283627526</v>
      </c>
      <c r="M211" s="22">
        <f t="shared" si="54"/>
        <v>0.94471091139331731</v>
      </c>
      <c r="N211" s="22">
        <f t="shared" si="54"/>
        <v>0.94946198965576145</v>
      </c>
      <c r="O211" s="22">
        <f t="shared" si="54"/>
        <v>0.95261910289076102</v>
      </c>
      <c r="P211" s="22">
        <f t="shared" si="54"/>
        <v>0.95415117805450056</v>
      </c>
      <c r="Q211" s="22">
        <f t="shared" si="54"/>
        <v>0.95753610227115837</v>
      </c>
      <c r="R211" s="22">
        <f t="shared" si="54"/>
        <v>0.96141917889497119</v>
      </c>
      <c r="S211" s="22">
        <f t="shared" si="54"/>
        <v>0.93510011958643091</v>
      </c>
      <c r="T211" s="22">
        <f t="shared" si="54"/>
        <v>0.94584645417427005</v>
      </c>
      <c r="U211" s="22">
        <f t="shared" si="54"/>
        <v>0.95426734099543964</v>
      </c>
      <c r="V211" s="22">
        <f t="shared" si="54"/>
        <v>0.96224520596699892</v>
      </c>
      <c r="W211" s="22">
        <f t="shared" si="54"/>
        <v>0.97157210949510064</v>
      </c>
      <c r="X211" s="22">
        <f t="shared" si="54"/>
        <v>0.98050423405659315</v>
      </c>
      <c r="Y211" s="22">
        <f t="shared" si="54"/>
        <v>0.98799554560875424</v>
      </c>
      <c r="Z211" s="22">
        <f t="shared" si="54"/>
        <v>0.99527878883687138</v>
      </c>
      <c r="AA211" s="22">
        <f t="shared" si="54"/>
        <v>1.0021870424712456</v>
      </c>
      <c r="AB211" s="22">
        <f t="shared" si="54"/>
        <v>1.011173452459766</v>
      </c>
      <c r="AC211" s="22">
        <f t="shared" si="54"/>
        <v>1.0201136529406156</v>
      </c>
      <c r="AD211" s="22">
        <f t="shared" si="54"/>
        <v>1.0294408674786415</v>
      </c>
      <c r="AE211" s="22">
        <f t="shared" si="54"/>
        <v>1.0408198597675704</v>
      </c>
      <c r="AF211" s="22">
        <f t="shared" si="54"/>
        <v>1.0532596993324077</v>
      </c>
      <c r="AG211" s="22">
        <f t="shared" si="54"/>
        <v>1.0679237119019074</v>
      </c>
      <c r="AH211" s="22">
        <f t="shared" si="54"/>
        <v>1.0795376467594282</v>
      </c>
      <c r="AI211" s="22">
        <f t="shared" si="54"/>
        <v>1.0903268663805361</v>
      </c>
      <c r="AJ211" s="22">
        <f t="shared" si="54"/>
        <v>1.102298951714306</v>
      </c>
      <c r="AK211" s="22">
        <f t="shared" si="54"/>
        <v>1.1139495760989377</v>
      </c>
      <c r="AL211" s="22">
        <f t="shared" si="54"/>
        <v>1.1263056277244112</v>
      </c>
      <c r="AM211" s="22">
        <f t="shared" si="54"/>
        <v>1.1388392992836296</v>
      </c>
      <c r="AN211" s="22">
        <f t="shared" si="54"/>
        <v>1.152690852718028</v>
      </c>
      <c r="AO211" s="22">
        <f t="shared" si="54"/>
        <v>1.1660693001897589</v>
      </c>
      <c r="AP211" s="22">
        <f t="shared" si="54"/>
        <v>1.1797657852278758</v>
      </c>
      <c r="AQ211" s="22">
        <f t="shared" si="54"/>
        <v>1.1939879831787625</v>
      </c>
      <c r="AR211" s="22">
        <f t="shared" si="54"/>
        <v>1.2088172021975669</v>
      </c>
      <c r="AS211" s="22">
        <f t="shared" si="54"/>
        <v>1.225329427193572</v>
      </c>
      <c r="AT211" s="22">
        <f t="shared" si="54"/>
        <v>1.2366227619173775</v>
      </c>
      <c r="AU211" s="22">
        <f t="shared" si="54"/>
        <v>1.2476563645423218</v>
      </c>
      <c r="AV211" s="22">
        <f t="shared" si="54"/>
        <v>1.2590026195607404</v>
      </c>
      <c r="AW211" s="22">
        <f t="shared" si="54"/>
        <v>1.2704193427732338</v>
      </c>
      <c r="AY211" s="79"/>
    </row>
    <row r="212" spans="1:51" x14ac:dyDescent="0.2">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5.0141199304605817E-2</v>
      </c>
      <c r="M212" s="22">
        <f t="shared" si="54"/>
        <v>5.0536707115294892E-2</v>
      </c>
      <c r="N212" s="22">
        <f t="shared" si="54"/>
        <v>5.0790863013925151E-2</v>
      </c>
      <c r="O212" s="22">
        <f t="shared" si="54"/>
        <v>5.0959750770976343E-2</v>
      </c>
      <c r="P212" s="22">
        <f t="shared" si="54"/>
        <v>5.1041708153806091E-2</v>
      </c>
      <c r="Q212" s="22">
        <f t="shared" si="54"/>
        <v>5.122278251388987E-2</v>
      </c>
      <c r="R212" s="22">
        <f t="shared" si="54"/>
        <v>5.1430505218981168E-2</v>
      </c>
      <c r="S212" s="22">
        <f t="shared" si="54"/>
        <v>5.0022583942975041E-2</v>
      </c>
      <c r="T212" s="22">
        <f t="shared" si="54"/>
        <v>5.0597452251447961E-2</v>
      </c>
      <c r="U212" s="22">
        <f t="shared" si="54"/>
        <v>5.1047922216174907E-2</v>
      </c>
      <c r="V212" s="22">
        <f t="shared" si="54"/>
        <v>5.147469300987563E-2</v>
      </c>
      <c r="W212" s="22">
        <f t="shared" si="54"/>
        <v>5.1973629759952025E-2</v>
      </c>
      <c r="X212" s="22">
        <f t="shared" si="54"/>
        <v>5.2451448061230796E-2</v>
      </c>
      <c r="Y212" s="22">
        <f t="shared" si="54"/>
        <v>5.285219099036944E-2</v>
      </c>
      <c r="Z212" s="22">
        <f t="shared" si="54"/>
        <v>5.3241803437341126E-2</v>
      </c>
      <c r="AA212" s="22">
        <f t="shared" si="54"/>
        <v>5.361135605538344E-2</v>
      </c>
      <c r="AB212" s="22">
        <f t="shared" si="54"/>
        <v>5.4092078320926051E-2</v>
      </c>
      <c r="AC212" s="22">
        <f t="shared" si="54"/>
        <v>5.457032863835528E-2</v>
      </c>
      <c r="AD212" s="22">
        <f t="shared" si="54"/>
        <v>5.5069282025709015E-2</v>
      </c>
      <c r="AE212" s="22">
        <f t="shared" si="54"/>
        <v>5.5677993954022266E-2</v>
      </c>
      <c r="AF212" s="22">
        <f t="shared" si="54"/>
        <v>5.634345523013079E-2</v>
      </c>
      <c r="AG212" s="22">
        <f t="shared" si="54"/>
        <v>5.7127897221244069E-2</v>
      </c>
      <c r="AH212" s="22">
        <f t="shared" si="54"/>
        <v>5.774917725228023E-2</v>
      </c>
      <c r="AI212" s="22">
        <f t="shared" si="54"/>
        <v>5.8326339668230698E-2</v>
      </c>
      <c r="AJ212" s="22">
        <f t="shared" si="54"/>
        <v>5.8966778730355766E-2</v>
      </c>
      <c r="AK212" s="22">
        <f t="shared" si="54"/>
        <v>5.9590021444222652E-2</v>
      </c>
      <c r="AL212" s="22">
        <f t="shared" si="54"/>
        <v>6.025100053800389E-2</v>
      </c>
      <c r="AM212" s="22">
        <f t="shared" si="54"/>
        <v>6.0921481296750873E-2</v>
      </c>
      <c r="AN212" s="22">
        <f t="shared" si="54"/>
        <v>6.1662461305093973E-2</v>
      </c>
      <c r="AO212" s="22">
        <f t="shared" si="54"/>
        <v>6.2378132811988125E-2</v>
      </c>
      <c r="AP212" s="22">
        <f t="shared" si="54"/>
        <v>6.3110817535465588E-2</v>
      </c>
      <c r="AQ212" s="22">
        <f t="shared" si="54"/>
        <v>6.3871624935604179E-2</v>
      </c>
      <c r="AR212" s="22">
        <f t="shared" si="54"/>
        <v>6.4664904540257612E-2</v>
      </c>
      <c r="AS212" s="22">
        <f t="shared" si="54"/>
        <v>6.5548215475254884E-2</v>
      </c>
      <c r="AT212" s="22">
        <f t="shared" si="54"/>
        <v>6.6152345206804408E-2</v>
      </c>
      <c r="AU212" s="22">
        <f t="shared" si="54"/>
        <v>6.6742580735534546E-2</v>
      </c>
      <c r="AV212" s="22">
        <f t="shared" si="54"/>
        <v>6.7349541404460839E-2</v>
      </c>
      <c r="AW212" s="22">
        <f t="shared" si="54"/>
        <v>6.7960271724443314E-2</v>
      </c>
      <c r="AY212" s="79"/>
    </row>
    <row r="213" spans="1:51" x14ac:dyDescent="0.2">
      <c r="A213" s="95" t="str">
        <f t="shared" si="45"/>
        <v>FA Organic</v>
      </c>
      <c r="B213" s="95" t="s">
        <v>962</v>
      </c>
      <c r="C213" s="95" t="s">
        <v>1127</v>
      </c>
      <c r="D213" t="s">
        <v>369</v>
      </c>
      <c r="E213" t="s">
        <v>55</v>
      </c>
      <c r="F213" t="s">
        <v>421</v>
      </c>
      <c r="G213" t="s">
        <v>1158</v>
      </c>
      <c r="H213" t="s">
        <v>1159</v>
      </c>
      <c r="I213" t="s">
        <v>139</v>
      </c>
      <c r="J213" t="s">
        <v>287</v>
      </c>
      <c r="K213" s="22">
        <f t="shared" si="55"/>
        <v>0.3999997899835232</v>
      </c>
      <c r="L213" s="22">
        <f t="shared" si="54"/>
        <v>0.39653071954810204</v>
      </c>
      <c r="M213" s="22">
        <f t="shared" si="54"/>
        <v>0.39521014945095023</v>
      </c>
      <c r="N213" s="22">
        <f t="shared" si="54"/>
        <v>0.38993263522397309</v>
      </c>
      <c r="O213" s="22">
        <f t="shared" si="54"/>
        <v>0.38227219443770111</v>
      </c>
      <c r="P213" s="22">
        <f t="shared" si="54"/>
        <v>0.37238723301511378</v>
      </c>
      <c r="Q213" s="22">
        <f t="shared" si="54"/>
        <v>0.36459067483623875</v>
      </c>
      <c r="R213" s="22">
        <f t="shared" si="54"/>
        <v>0.3572142444544395</v>
      </c>
      <c r="S213" s="22">
        <f t="shared" si="54"/>
        <v>0.31703545795580812</v>
      </c>
      <c r="T213" s="22">
        <f t="shared" si="54"/>
        <v>0.32309971218055339</v>
      </c>
      <c r="U213" s="22">
        <f t="shared" si="54"/>
        <v>0.32634203711003062</v>
      </c>
      <c r="V213" s="22">
        <f t="shared" si="54"/>
        <v>0.32883794885575124</v>
      </c>
      <c r="W213" s="22">
        <f t="shared" si="54"/>
        <v>0.33244914541099557</v>
      </c>
      <c r="X213" s="22">
        <f t="shared" si="54"/>
        <v>0.33537982425623064</v>
      </c>
      <c r="Y213" s="22">
        <f t="shared" si="54"/>
        <v>0.33726910277056216</v>
      </c>
      <c r="Z213" s="22">
        <f t="shared" si="54"/>
        <v>0.33873976472971684</v>
      </c>
      <c r="AA213" s="22">
        <f t="shared" si="54"/>
        <v>0.3396512538265225</v>
      </c>
      <c r="AB213" s="22">
        <f t="shared" si="54"/>
        <v>0.34234961980351264</v>
      </c>
      <c r="AC213" s="22">
        <f t="shared" si="54"/>
        <v>0.34477749763229165</v>
      </c>
      <c r="AD213" s="22">
        <f t="shared" si="54"/>
        <v>0.34490271847402698</v>
      </c>
      <c r="AE213" s="22">
        <f t="shared" si="54"/>
        <v>0.34652917307942177</v>
      </c>
      <c r="AF213" s="22">
        <f t="shared" si="54"/>
        <v>0.34867994569293842</v>
      </c>
      <c r="AG213" s="22">
        <f t="shared" si="54"/>
        <v>0.35229087700726325</v>
      </c>
      <c r="AH213" s="22">
        <f t="shared" si="54"/>
        <v>0.35286760038592668</v>
      </c>
      <c r="AI213" s="22">
        <f t="shared" si="54"/>
        <v>0.35280706113320703</v>
      </c>
      <c r="AJ213" s="22">
        <f t="shared" si="54"/>
        <v>0.35333685278149574</v>
      </c>
      <c r="AK213" s="22">
        <f t="shared" si="54"/>
        <v>0.35323906806904226</v>
      </c>
      <c r="AL213" s="22">
        <f t="shared" si="54"/>
        <v>0.35331388529093138</v>
      </c>
      <c r="AM213" s="22">
        <f t="shared" si="54"/>
        <v>0.35314408948749232</v>
      </c>
      <c r="AN213" s="22">
        <f t="shared" si="54"/>
        <v>0.35567872633842856</v>
      </c>
      <c r="AO213" s="22">
        <f t="shared" si="54"/>
        <v>0.35753295708802146</v>
      </c>
      <c r="AP213" s="22">
        <f t="shared" si="54"/>
        <v>0.35928020343080169</v>
      </c>
      <c r="AQ213" s="22">
        <f t="shared" si="54"/>
        <v>0.36105415112579775</v>
      </c>
      <c r="AR213" s="22">
        <f t="shared" si="54"/>
        <v>0.36289326988326759</v>
      </c>
      <c r="AS213" s="22">
        <f t="shared" si="54"/>
        <v>0.36577537997432297</v>
      </c>
      <c r="AT213" s="22">
        <f t="shared" si="54"/>
        <v>0.36496360671057504</v>
      </c>
      <c r="AU213" s="22">
        <f t="shared" si="54"/>
        <v>0.36374650903258482</v>
      </c>
      <c r="AV213" s="22">
        <f t="shared" si="54"/>
        <v>0.36248592595380585</v>
      </c>
      <c r="AW213" s="22">
        <f t="shared" si="54"/>
        <v>0.36103102436723483</v>
      </c>
      <c r="AY213" s="79"/>
    </row>
    <row r="214" spans="1:51" x14ac:dyDescent="0.2">
      <c r="A214" s="95" t="str">
        <f t="shared" si="45"/>
        <v>FA Organic</v>
      </c>
      <c r="B214" s="95" t="s">
        <v>962</v>
      </c>
      <c r="C214" s="95" t="s">
        <v>1127</v>
      </c>
      <c r="D214" t="s">
        <v>369</v>
      </c>
      <c r="E214" t="s">
        <v>55</v>
      </c>
      <c r="F214" t="s">
        <v>421</v>
      </c>
      <c r="G214" t="s">
        <v>1160</v>
      </c>
      <c r="H214" t="s">
        <v>1161</v>
      </c>
      <c r="I214" t="s">
        <v>139</v>
      </c>
      <c r="J214" t="s">
        <v>287</v>
      </c>
      <c r="K214" s="22">
        <f t="shared" si="55"/>
        <v>2.6602988559851246</v>
      </c>
      <c r="L214" s="22">
        <f t="shared" si="54"/>
        <v>2.6372269335947092</v>
      </c>
      <c r="M214" s="22">
        <f t="shared" si="54"/>
        <v>2.6284441511866339</v>
      </c>
      <c r="N214" s="22">
        <f t="shared" si="54"/>
        <v>2.5933447201068058</v>
      </c>
      <c r="O214" s="22">
        <f t="shared" si="54"/>
        <v>2.5423970387070205</v>
      </c>
      <c r="P214" s="22">
        <f t="shared" ref="L214:AW220" si="56">P1470</f>
        <v>2.4766546252796311</v>
      </c>
      <c r="Q214" s="22">
        <f t="shared" si="56"/>
        <v>2.4248016610449818</v>
      </c>
      <c r="R214" s="22">
        <f t="shared" si="56"/>
        <v>2.3757428620222045</v>
      </c>
      <c r="S214" s="22">
        <f t="shared" si="56"/>
        <v>2.1085237723282266</v>
      </c>
      <c r="T214" s="22">
        <f t="shared" si="56"/>
        <v>2.1488556149453371</v>
      </c>
      <c r="U214" s="22">
        <f t="shared" si="56"/>
        <v>2.1704195095188212</v>
      </c>
      <c r="V214" s="22">
        <f t="shared" si="56"/>
        <v>2.1870191961387908</v>
      </c>
      <c r="W214" s="22">
        <f t="shared" si="56"/>
        <v>2.211036363910428</v>
      </c>
      <c r="X214" s="22">
        <f t="shared" si="56"/>
        <v>2.2305275780922154</v>
      </c>
      <c r="Y214" s="22">
        <f t="shared" si="56"/>
        <v>2.2430926983652055</v>
      </c>
      <c r="Z214" s="22">
        <f t="shared" si="56"/>
        <v>2.252873704319335</v>
      </c>
      <c r="AA214" s="22">
        <f t="shared" si="56"/>
        <v>2.2589357910058689</v>
      </c>
      <c r="AB214" s="22">
        <f t="shared" si="56"/>
        <v>2.2768819502323812</v>
      </c>
      <c r="AC214" s="22">
        <f t="shared" si="56"/>
        <v>2.2930291602362631</v>
      </c>
      <c r="AD214" s="22">
        <f t="shared" si="56"/>
        <v>2.2938619728285596</v>
      </c>
      <c r="AE214" s="22">
        <f t="shared" si="56"/>
        <v>2.3046791168231131</v>
      </c>
      <c r="AF214" s="22">
        <f t="shared" si="56"/>
        <v>2.3189833691414923</v>
      </c>
      <c r="AG214" s="22">
        <f t="shared" si="56"/>
        <v>2.3429987728619159</v>
      </c>
      <c r="AH214" s="22">
        <f t="shared" si="56"/>
        <v>2.346834416236983</v>
      </c>
      <c r="AI214" s="22">
        <f t="shared" si="56"/>
        <v>2.3464317847637033</v>
      </c>
      <c r="AJ214" s="22">
        <f t="shared" si="56"/>
        <v>2.3499552969033255</v>
      </c>
      <c r="AK214" s="22">
        <f t="shared" si="56"/>
        <v>2.3493049551651861</v>
      </c>
      <c r="AL214" s="22">
        <f t="shared" si="56"/>
        <v>2.3498025458509408</v>
      </c>
      <c r="AM214" s="22">
        <f t="shared" si="56"/>
        <v>2.3486732763039284</v>
      </c>
      <c r="AN214" s="22">
        <f t="shared" si="56"/>
        <v>2.3655305139418807</v>
      </c>
      <c r="AO214" s="22">
        <f t="shared" si="56"/>
        <v>2.3778625402713889</v>
      </c>
      <c r="AP214" s="22">
        <f t="shared" si="56"/>
        <v>2.3894830399896865</v>
      </c>
      <c r="AQ214" s="22">
        <f t="shared" si="56"/>
        <v>2.4012811237431047</v>
      </c>
      <c r="AR214" s="22">
        <f t="shared" si="56"/>
        <v>2.413512643981452</v>
      </c>
      <c r="AS214" s="22">
        <f t="shared" si="56"/>
        <v>2.4326808394906876</v>
      </c>
      <c r="AT214" s="22">
        <f t="shared" si="56"/>
        <v>2.4272819379438721</v>
      </c>
      <c r="AU214" s="22">
        <f t="shared" si="56"/>
        <v>2.4191873247929188</v>
      </c>
      <c r="AV214" s="22">
        <f t="shared" si="56"/>
        <v>2.4108035010851898</v>
      </c>
      <c r="AW214" s="22">
        <f t="shared" si="56"/>
        <v>2.4011273134389794</v>
      </c>
      <c r="AY214" s="79"/>
    </row>
    <row r="215" spans="1:51" x14ac:dyDescent="0.2">
      <c r="A215" s="95" t="str">
        <f t="shared" si="45"/>
        <v>FA Organic</v>
      </c>
      <c r="B215" s="95" t="s">
        <v>962</v>
      </c>
      <c r="C215" s="95" t="s">
        <v>1127</v>
      </c>
      <c r="D215" t="s">
        <v>369</v>
      </c>
      <c r="E215" t="s">
        <v>55</v>
      </c>
      <c r="F215" t="s">
        <v>421</v>
      </c>
      <c r="G215" t="s">
        <v>1162</v>
      </c>
      <c r="H215" t="s">
        <v>1163</v>
      </c>
      <c r="I215" t="s">
        <v>139</v>
      </c>
      <c r="J215" t="s">
        <v>287</v>
      </c>
      <c r="K215" s="22">
        <f t="shared" si="55"/>
        <v>0.34358078636628736</v>
      </c>
      <c r="L215" s="22">
        <f t="shared" si="56"/>
        <v>0.35516571939691516</v>
      </c>
      <c r="M215" s="22">
        <f t="shared" si="56"/>
        <v>0.36891582276573964</v>
      </c>
      <c r="N215" s="22">
        <f t="shared" si="56"/>
        <v>0.37917034791782095</v>
      </c>
      <c r="O215" s="22">
        <f t="shared" si="56"/>
        <v>0.38707850955818868</v>
      </c>
      <c r="P215" s="22">
        <f t="shared" si="56"/>
        <v>0.39252728601928993</v>
      </c>
      <c r="Q215" s="22">
        <f t="shared" si="56"/>
        <v>0.39996713645364929</v>
      </c>
      <c r="R215" s="22">
        <f t="shared" si="56"/>
        <v>0.40776627193753145</v>
      </c>
      <c r="S215" s="22">
        <f t="shared" si="56"/>
        <v>0.37652794837094722</v>
      </c>
      <c r="T215" s="22">
        <f t="shared" si="56"/>
        <v>0.39297526852441034</v>
      </c>
      <c r="U215" s="22">
        <f t="shared" si="56"/>
        <v>0.40635032563114942</v>
      </c>
      <c r="V215" s="22">
        <f t="shared" si="56"/>
        <v>0.41906397887076929</v>
      </c>
      <c r="W215" s="22">
        <f t="shared" si="56"/>
        <v>0.4334881601814114</v>
      </c>
      <c r="X215" s="22">
        <f t="shared" si="56"/>
        <v>0.44733744019305588</v>
      </c>
      <c r="Y215" s="22">
        <f t="shared" si="56"/>
        <v>0.46006881076150558</v>
      </c>
      <c r="Z215" s="22">
        <f t="shared" si="56"/>
        <v>0.47246549989332448</v>
      </c>
      <c r="AA215" s="22">
        <f t="shared" si="56"/>
        <v>0.4842972828341911</v>
      </c>
      <c r="AB215" s="22">
        <f t="shared" si="56"/>
        <v>0.49893915197034427</v>
      </c>
      <c r="AC215" s="22">
        <f t="shared" si="56"/>
        <v>0.51350643977275245</v>
      </c>
      <c r="AD215" s="22">
        <f t="shared" si="56"/>
        <v>0.53072839151044782</v>
      </c>
      <c r="AE215" s="22">
        <f t="shared" si="56"/>
        <v>0.55094843194330412</v>
      </c>
      <c r="AF215" s="22">
        <f t="shared" si="56"/>
        <v>0.57283458620168215</v>
      </c>
      <c r="AG215" s="22">
        <f t="shared" si="56"/>
        <v>0.59810752351139296</v>
      </c>
      <c r="AH215" s="22">
        <f t="shared" si="56"/>
        <v>0.61918227343437504</v>
      </c>
      <c r="AI215" s="22">
        <f t="shared" si="56"/>
        <v>0.63993352160681027</v>
      </c>
      <c r="AJ215" s="22">
        <f t="shared" si="56"/>
        <v>0.66259501614961847</v>
      </c>
      <c r="AK215" s="22">
        <f t="shared" si="56"/>
        <v>0.68496632766069843</v>
      </c>
      <c r="AL215" s="22">
        <f t="shared" si="56"/>
        <v>0.70858354272657831</v>
      </c>
      <c r="AM215" s="22">
        <f t="shared" si="56"/>
        <v>0.73267251576118442</v>
      </c>
      <c r="AN215" s="22">
        <f t="shared" si="56"/>
        <v>0.75875206021259933</v>
      </c>
      <c r="AO215" s="22">
        <f t="shared" si="56"/>
        <v>0.78430196742523084</v>
      </c>
      <c r="AP215" s="22">
        <f t="shared" si="56"/>
        <v>0.81053600981631879</v>
      </c>
      <c r="AQ215" s="22">
        <f t="shared" si="56"/>
        <v>0.83778993006127533</v>
      </c>
      <c r="AR215" s="22">
        <f t="shared" si="56"/>
        <v>0.86620935276117805</v>
      </c>
      <c r="AS215" s="22">
        <f t="shared" si="56"/>
        <v>0.89826083748814867</v>
      </c>
      <c r="AT215" s="22">
        <f t="shared" si="56"/>
        <v>0.9222529178926514</v>
      </c>
      <c r="AU215" s="22">
        <f t="shared" si="56"/>
        <v>0.94598858331962243</v>
      </c>
      <c r="AV215" s="22">
        <f t="shared" si="56"/>
        <v>0.9703863283837505</v>
      </c>
      <c r="AW215" s="22">
        <f t="shared" si="56"/>
        <v>0.99506234412260963</v>
      </c>
      <c r="AY215" s="79"/>
    </row>
    <row r="216" spans="1:51" x14ac:dyDescent="0.2">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5.9536061137450337E-2</v>
      </c>
      <c r="T216" s="22">
        <f t="shared" si="56"/>
        <v>5.9626729725854671E-2</v>
      </c>
      <c r="U216" s="22">
        <f t="shared" si="56"/>
        <v>5.9729206929355502E-2</v>
      </c>
      <c r="V216" s="22">
        <f t="shared" si="56"/>
        <v>5.9844810274995809E-2</v>
      </c>
      <c r="W216" s="22">
        <f t="shared" si="56"/>
        <v>5.9974855541164628E-2</v>
      </c>
      <c r="X216" s="22">
        <f t="shared" si="56"/>
        <v>6.0116631008549089E-2</v>
      </c>
      <c r="Y216" s="22">
        <f t="shared" si="56"/>
        <v>6.0202857685321479E-2</v>
      </c>
      <c r="Z216" s="22">
        <f t="shared" si="56"/>
        <v>6.0299167924469661E-2</v>
      </c>
      <c r="AA216" s="22">
        <f t="shared" si="56"/>
        <v>6.0404855231945616E-2</v>
      </c>
      <c r="AB216" s="22">
        <f t="shared" si="56"/>
        <v>6.052231244286084E-2</v>
      </c>
      <c r="AC216" s="22">
        <f t="shared" si="56"/>
        <v>6.064865362872638E-2</v>
      </c>
      <c r="AD216" s="22">
        <f t="shared" si="56"/>
        <v>6.0731208862415634E-2</v>
      </c>
      <c r="AE216" s="22">
        <f t="shared" si="56"/>
        <v>6.0823877481192126E-2</v>
      </c>
      <c r="AF216" s="22">
        <f t="shared" si="56"/>
        <v>6.0925179087084252E-2</v>
      </c>
      <c r="AG216" s="22">
        <f t="shared" si="56"/>
        <v>6.1036165719670403E-2</v>
      </c>
      <c r="AH216" s="22">
        <f t="shared" si="56"/>
        <v>6.1150437256879263E-2</v>
      </c>
      <c r="AI216" s="22">
        <f t="shared" si="56"/>
        <v>6.1220471443741167E-2</v>
      </c>
      <c r="AJ216" s="22">
        <f t="shared" si="56"/>
        <v>6.1297838147090833E-2</v>
      </c>
      <c r="AK216" s="22">
        <f t="shared" si="56"/>
        <v>6.1380565224491167E-2</v>
      </c>
      <c r="AL216" s="22">
        <f t="shared" si="56"/>
        <v>6.1469636895764942E-2</v>
      </c>
      <c r="AM216" s="22">
        <f t="shared" si="56"/>
        <v>6.1564248264751806E-2</v>
      </c>
      <c r="AN216" s="22">
        <f t="shared" si="56"/>
        <v>6.1619115142281453E-2</v>
      </c>
      <c r="AO216" s="22">
        <f t="shared" si="56"/>
        <v>6.1678131563041472E-2</v>
      </c>
      <c r="AP216" s="22">
        <f t="shared" si="56"/>
        <v>6.1742051762293963E-2</v>
      </c>
      <c r="AQ216" s="22">
        <f t="shared" si="56"/>
        <v>6.1810963980968171E-2</v>
      </c>
      <c r="AR216" s="22">
        <f t="shared" si="56"/>
        <v>6.1884820045811577E-2</v>
      </c>
      <c r="AS216" s="22">
        <f t="shared" si="56"/>
        <v>6.1917844796297146E-2</v>
      </c>
      <c r="AT216" s="22">
        <f t="shared" si="56"/>
        <v>6.1948582957053369E-2</v>
      </c>
      <c r="AU216" s="22">
        <f t="shared" si="56"/>
        <v>6.1982659332367518E-2</v>
      </c>
      <c r="AV216" s="22">
        <f t="shared" si="56"/>
        <v>6.2020620133408491E-2</v>
      </c>
      <c r="AW216" s="22">
        <f t="shared" si="56"/>
        <v>6.2062074580344864E-2</v>
      </c>
      <c r="AY216" s="79"/>
    </row>
    <row r="217" spans="1:51" x14ac:dyDescent="0.2">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4.8454260958953527E-2</v>
      </c>
      <c r="T217" s="22">
        <f t="shared" si="56"/>
        <v>4.8528052865226608E-2</v>
      </c>
      <c r="U217" s="22">
        <f t="shared" si="56"/>
        <v>4.8611455379029278E-2</v>
      </c>
      <c r="V217" s="22">
        <f t="shared" si="56"/>
        <v>4.8705540788281515E-2</v>
      </c>
      <c r="W217" s="22">
        <f t="shared" si="56"/>
        <v>4.8811379957736697E-2</v>
      </c>
      <c r="X217" s="22">
        <f t="shared" si="56"/>
        <v>4.8926765916481318E-2</v>
      </c>
      <c r="Y217" s="22">
        <f t="shared" si="56"/>
        <v>4.8996942710480308E-2</v>
      </c>
      <c r="Z217" s="22">
        <f t="shared" si="56"/>
        <v>4.9075326153582635E-2</v>
      </c>
      <c r="AA217" s="22">
        <f t="shared" si="56"/>
        <v>4.9161341255667866E-2</v>
      </c>
      <c r="AB217" s="22">
        <f t="shared" si="56"/>
        <v>4.9256935459255795E-2</v>
      </c>
      <c r="AC217" s="22">
        <f t="shared" si="56"/>
        <v>4.9359760010844099E-2</v>
      </c>
      <c r="AD217" s="22">
        <f t="shared" si="56"/>
        <v>4.9426948749236969E-2</v>
      </c>
      <c r="AE217" s="22">
        <f t="shared" si="56"/>
        <v>4.9502368408366512E-2</v>
      </c>
      <c r="AF217" s="22">
        <f t="shared" si="56"/>
        <v>4.9584814145516069E-2</v>
      </c>
      <c r="AG217" s="22">
        <f t="shared" si="56"/>
        <v>4.967514217789748E-2</v>
      </c>
      <c r="AH217" s="22">
        <f t="shared" si="56"/>
        <v>4.9768143676120806E-2</v>
      </c>
      <c r="AI217" s="22">
        <f t="shared" si="56"/>
        <v>4.9825141984396873E-2</v>
      </c>
      <c r="AJ217" s="22">
        <f t="shared" si="56"/>
        <v>4.9888107964376358E-2</v>
      </c>
      <c r="AK217" s="22">
        <f t="shared" si="56"/>
        <v>4.9955436560191149E-2</v>
      </c>
      <c r="AL217" s="22">
        <f t="shared" si="56"/>
        <v>5.0027928792990776E-2</v>
      </c>
      <c r="AM217" s="22">
        <f t="shared" si="56"/>
        <v>5.0104929586711242E-2</v>
      </c>
      <c r="AN217" s="22">
        <f t="shared" si="56"/>
        <v>5.0149583766901075E-2</v>
      </c>
      <c r="AO217" s="22">
        <f t="shared" si="56"/>
        <v>5.0197615111228118E-2</v>
      </c>
      <c r="AP217" s="22">
        <f t="shared" si="56"/>
        <v>5.0249637464671662E-2</v>
      </c>
      <c r="AQ217" s="22">
        <f t="shared" si="56"/>
        <v>5.0305722643353402E-2</v>
      </c>
      <c r="AR217" s="22">
        <f t="shared" si="56"/>
        <v>5.0365831440794026E-2</v>
      </c>
      <c r="AS217" s="22">
        <f t="shared" si="56"/>
        <v>5.0392709098596028E-2</v>
      </c>
      <c r="AT217" s="22">
        <f t="shared" si="56"/>
        <v>5.0417725783177193E-2</v>
      </c>
      <c r="AU217" s="22">
        <f t="shared" si="56"/>
        <v>5.0445459320641074E-2</v>
      </c>
      <c r="AV217" s="22">
        <f t="shared" si="56"/>
        <v>5.0476354252632014E-2</v>
      </c>
      <c r="AW217" s="22">
        <f t="shared" si="56"/>
        <v>5.0510092537486409E-2</v>
      </c>
      <c r="AY217" s="79"/>
    </row>
    <row r="218" spans="1:51" x14ac:dyDescent="0.2">
      <c r="A218" s="95" t="str">
        <f t="shared" si="45"/>
        <v>FA Organic</v>
      </c>
      <c r="B218" s="95" t="s">
        <v>962</v>
      </c>
      <c r="C218" s="95" t="s">
        <v>1127</v>
      </c>
      <c r="D218" t="s">
        <v>369</v>
      </c>
      <c r="E218" t="s">
        <v>55</v>
      </c>
      <c r="F218" t="s">
        <v>421</v>
      </c>
      <c r="G218" t="s">
        <v>1168</v>
      </c>
      <c r="H218" t="s">
        <v>1169</v>
      </c>
      <c r="I218" t="s">
        <v>139</v>
      </c>
      <c r="J218" t="s">
        <v>287</v>
      </c>
      <c r="K218" s="22">
        <f t="shared" si="55"/>
        <v>7.2140927380493743E-3</v>
      </c>
      <c r="L218" s="22">
        <f t="shared" si="56"/>
        <v>7.2328458969643655E-3</v>
      </c>
      <c r="M218" s="22">
        <f t="shared" si="56"/>
        <v>7.2587152169743185E-3</v>
      </c>
      <c r="N218" s="22">
        <f t="shared" si="56"/>
        <v>7.2902308808567339E-3</v>
      </c>
      <c r="O218" s="22">
        <f t="shared" si="56"/>
        <v>7.3273479389297461E-3</v>
      </c>
      <c r="P218" s="22">
        <f t="shared" si="56"/>
        <v>7.3698404773103405E-3</v>
      </c>
      <c r="Q218" s="22">
        <f t="shared" si="56"/>
        <v>7.4155715935563127E-3</v>
      </c>
      <c r="R218" s="22">
        <f t="shared" si="56"/>
        <v>7.4643602602570466E-3</v>
      </c>
      <c r="S218" s="22">
        <f t="shared" si="56"/>
        <v>7.5091824622274591E-3</v>
      </c>
      <c r="T218" s="22">
        <f t="shared" si="56"/>
        <v>7.5310026575768785E-3</v>
      </c>
      <c r="U218" s="22">
        <f t="shared" si="56"/>
        <v>7.5544556894728667E-3</v>
      </c>
      <c r="V218" s="22">
        <f t="shared" si="56"/>
        <v>7.5798283677162839E-3</v>
      </c>
      <c r="W218" s="22">
        <f t="shared" si="56"/>
        <v>7.6073992773568969E-3</v>
      </c>
      <c r="X218" s="22">
        <f t="shared" si="56"/>
        <v>7.6366778381520258E-3</v>
      </c>
      <c r="Y218" s="22">
        <f t="shared" si="56"/>
        <v>7.6549815598218112E-3</v>
      </c>
      <c r="Z218" s="22">
        <f t="shared" si="56"/>
        <v>7.6747813396639188E-3</v>
      </c>
      <c r="AA218" s="22">
        <f t="shared" si="56"/>
        <v>7.695960726553556E-3</v>
      </c>
      <c r="AB218" s="22">
        <f t="shared" si="56"/>
        <v>7.7189834484336205E-3</v>
      </c>
      <c r="AC218" s="22">
        <f t="shared" si="56"/>
        <v>7.7433191534407569E-3</v>
      </c>
      <c r="AD218" s="22">
        <f t="shared" si="56"/>
        <v>7.7591399700901245E-3</v>
      </c>
      <c r="AE218" s="22">
        <f t="shared" si="56"/>
        <v>7.7765645193301983E-3</v>
      </c>
      <c r="AF218" s="22">
        <f t="shared" si="56"/>
        <v>7.7953233528318755E-3</v>
      </c>
      <c r="AG218" s="22">
        <f t="shared" si="56"/>
        <v>7.8156183452166659E-3</v>
      </c>
      <c r="AH218" s="22">
        <f t="shared" si="56"/>
        <v>7.8362676853213336E-3</v>
      </c>
      <c r="AI218" s="22">
        <f t="shared" si="56"/>
        <v>7.8484908167339423E-3</v>
      </c>
      <c r="AJ218" s="22">
        <f t="shared" si="56"/>
        <v>7.8618680880810435E-3</v>
      </c>
      <c r="AK218" s="22">
        <f t="shared" si="56"/>
        <v>7.8760394561635683E-3</v>
      </c>
      <c r="AL218" s="22">
        <f t="shared" si="56"/>
        <v>7.8911907673676705E-3</v>
      </c>
      <c r="AM218" s="22">
        <f t="shared" si="56"/>
        <v>7.9071774267792192E-3</v>
      </c>
      <c r="AN218" s="22">
        <f t="shared" si="56"/>
        <v>7.9157019513346714E-3</v>
      </c>
      <c r="AO218" s="22">
        <f t="shared" si="56"/>
        <v>7.9248428379220318E-3</v>
      </c>
      <c r="AP218" s="22">
        <f t="shared" si="56"/>
        <v>7.9347410994360257E-3</v>
      </c>
      <c r="AQ218" s="22">
        <f t="shared" si="56"/>
        <v>7.9454149669416808E-3</v>
      </c>
      <c r="AR218" s="22">
        <f t="shared" si="56"/>
        <v>7.9568573935750887E-3</v>
      </c>
      <c r="AS218" s="22">
        <f t="shared" si="56"/>
        <v>7.9607498372215833E-3</v>
      </c>
      <c r="AT218" s="22">
        <f t="shared" si="56"/>
        <v>7.9641286536339551E-3</v>
      </c>
      <c r="AU218" s="22">
        <f t="shared" si="56"/>
        <v>7.9680196395720947E-3</v>
      </c>
      <c r="AV218" s="22">
        <f t="shared" si="56"/>
        <v>7.9725231105734155E-3</v>
      </c>
      <c r="AW218" s="22">
        <f t="shared" si="56"/>
        <v>7.9775693338345506E-3</v>
      </c>
      <c r="AY218" s="79"/>
    </row>
    <row r="219" spans="1:51" x14ac:dyDescent="0.2">
      <c r="A219" s="95" t="str">
        <f t="shared" si="45"/>
        <v>FA Organic</v>
      </c>
      <c r="B219" s="95" t="s">
        <v>962</v>
      </c>
      <c r="C219" s="95" t="s">
        <v>1127</v>
      </c>
      <c r="D219" t="s">
        <v>369</v>
      </c>
      <c r="E219" t="s">
        <v>55</v>
      </c>
      <c r="F219" t="s">
        <v>421</v>
      </c>
      <c r="G219" t="s">
        <v>1170</v>
      </c>
      <c r="H219" t="s">
        <v>1171</v>
      </c>
      <c r="I219" t="s">
        <v>139</v>
      </c>
      <c r="J219" t="s">
        <v>287</v>
      </c>
      <c r="K219" s="22">
        <f t="shared" si="55"/>
        <v>8.7045671471293523E-2</v>
      </c>
      <c r="L219" s="22">
        <f t="shared" si="56"/>
        <v>8.7271948200639354E-2</v>
      </c>
      <c r="M219" s="22">
        <f t="shared" si="56"/>
        <v>8.7584088952434122E-2</v>
      </c>
      <c r="N219" s="22">
        <f t="shared" si="56"/>
        <v>8.7964358824768801E-2</v>
      </c>
      <c r="O219" s="22">
        <f t="shared" si="56"/>
        <v>8.8412215452112072E-2</v>
      </c>
      <c r="P219" s="22">
        <f t="shared" si="56"/>
        <v>8.8924932944132923E-2</v>
      </c>
      <c r="Q219" s="22">
        <f t="shared" si="56"/>
        <v>8.9476727309038565E-2</v>
      </c>
      <c r="R219" s="22">
        <f t="shared" si="56"/>
        <v>9.0065414259340087E-2</v>
      </c>
      <c r="S219" s="22">
        <f t="shared" si="56"/>
        <v>9.0606241610610233E-2</v>
      </c>
      <c r="T219" s="22">
        <f t="shared" si="56"/>
        <v>9.0869525383745986E-2</v>
      </c>
      <c r="U219" s="22">
        <f t="shared" si="56"/>
        <v>9.1152511059637925E-2</v>
      </c>
      <c r="V219" s="22">
        <f t="shared" si="56"/>
        <v>9.14586593023788E-2</v>
      </c>
      <c r="W219" s="22">
        <f t="shared" si="56"/>
        <v>9.1791331535726078E-2</v>
      </c>
      <c r="X219" s="22">
        <f t="shared" si="56"/>
        <v>9.2144608389332791E-2</v>
      </c>
      <c r="Y219" s="22">
        <f t="shared" si="56"/>
        <v>9.2365462182182861E-2</v>
      </c>
      <c r="Z219" s="22">
        <f t="shared" si="56"/>
        <v>9.2604367501801177E-2</v>
      </c>
      <c r="AA219" s="22">
        <f t="shared" si="56"/>
        <v>9.2859919241999239E-2</v>
      </c>
      <c r="AB219" s="22">
        <f t="shared" si="56"/>
        <v>9.3137712771680009E-2</v>
      </c>
      <c r="AC219" s="22">
        <f t="shared" si="56"/>
        <v>9.3431348833759018E-2</v>
      </c>
      <c r="AD219" s="22">
        <f t="shared" si="56"/>
        <v>9.3622243747156081E-2</v>
      </c>
      <c r="AE219" s="22">
        <f t="shared" si="56"/>
        <v>9.3832489393249188E-2</v>
      </c>
      <c r="AF219" s="22">
        <f t="shared" si="56"/>
        <v>9.4058834592495047E-2</v>
      </c>
      <c r="AG219" s="22">
        <f t="shared" si="56"/>
        <v>9.4303715176067421E-2</v>
      </c>
      <c r="AH219" s="22">
        <f t="shared" si="56"/>
        <v>9.4552871340274972E-2</v>
      </c>
      <c r="AI219" s="22">
        <f t="shared" si="56"/>
        <v>9.4700356369914307E-2</v>
      </c>
      <c r="AJ219" s="22">
        <f t="shared" si="56"/>
        <v>9.4861767320555526E-2</v>
      </c>
      <c r="AK219" s="22">
        <f t="shared" si="56"/>
        <v>9.5032759889573118E-2</v>
      </c>
      <c r="AL219" s="22">
        <f t="shared" si="56"/>
        <v>9.5215576510501124E-2</v>
      </c>
      <c r="AM219" s="22">
        <f t="shared" si="56"/>
        <v>9.5408472492517202E-2</v>
      </c>
      <c r="AN219" s="22">
        <f t="shared" si="56"/>
        <v>9.5511329912132736E-2</v>
      </c>
      <c r="AO219" s="22">
        <f t="shared" si="56"/>
        <v>9.5621624392635218E-2</v>
      </c>
      <c r="AP219" s="22">
        <f t="shared" si="56"/>
        <v>9.5741057403988084E-2</v>
      </c>
      <c r="AQ219" s="22">
        <f t="shared" si="56"/>
        <v>9.5869848923304843E-2</v>
      </c>
      <c r="AR219" s="22">
        <f t="shared" si="56"/>
        <v>9.6007913922706994E-2</v>
      </c>
      <c r="AS219" s="22">
        <f t="shared" si="56"/>
        <v>9.6054880378944288E-2</v>
      </c>
      <c r="AT219" s="22">
        <f t="shared" si="56"/>
        <v>9.6095649378466819E-2</v>
      </c>
      <c r="AU219" s="22">
        <f t="shared" si="56"/>
        <v>9.6142598245908498E-2</v>
      </c>
      <c r="AV219" s="22">
        <f t="shared" si="56"/>
        <v>9.6196937394502191E-2</v>
      </c>
      <c r="AW219" s="22">
        <f t="shared" si="56"/>
        <v>9.6257825424100524E-2</v>
      </c>
      <c r="AY219" s="79"/>
    </row>
    <row r="220" spans="1:51" x14ac:dyDescent="0.2">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2">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2">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0.12395129293471778</v>
      </c>
      <c r="M222" s="22">
        <f t="shared" si="57"/>
        <v>0.12400689511310996</v>
      </c>
      <c r="N222" s="22">
        <f t="shared" si="57"/>
        <v>0.12286841678965586</v>
      </c>
      <c r="O222" s="22">
        <f t="shared" si="57"/>
        <v>0.12100901910045005</v>
      </c>
      <c r="P222" s="22">
        <f t="shared" si="57"/>
        <v>0.11845842648899832</v>
      </c>
      <c r="Q222" s="22">
        <f t="shared" si="57"/>
        <v>0.11660641339960408</v>
      </c>
      <c r="R222" s="22">
        <f t="shared" si="57"/>
        <v>0.11491827863139022</v>
      </c>
      <c r="S222" s="22">
        <f t="shared" si="57"/>
        <v>0.10239148734853588</v>
      </c>
      <c r="T222" s="22">
        <f t="shared" si="57"/>
        <v>0.10399015001119098</v>
      </c>
      <c r="U222" s="22">
        <f t="shared" si="57"/>
        <v>0.10466911672478917</v>
      </c>
      <c r="V222" s="22">
        <f t="shared" si="57"/>
        <v>0.10511626718572097</v>
      </c>
      <c r="W222" s="22">
        <f t="shared" si="57"/>
        <v>0.10594424528482288</v>
      </c>
      <c r="X222" s="22">
        <f t="shared" si="57"/>
        <v>0.10656092894002199</v>
      </c>
      <c r="Y222" s="22">
        <f t="shared" si="57"/>
        <v>0.10688440239408244</v>
      </c>
      <c r="Z222" s="22">
        <f t="shared" si="57"/>
        <v>0.10708259276512562</v>
      </c>
      <c r="AA222" s="22">
        <f t="shared" si="57"/>
        <v>0.10710947754337903</v>
      </c>
      <c r="AB222" s="22">
        <f t="shared" si="57"/>
        <v>0.1077314601885206</v>
      </c>
      <c r="AC222" s="22">
        <f t="shared" si="57"/>
        <v>0.10827475819020069</v>
      </c>
      <c r="AD222" s="22">
        <f t="shared" si="57"/>
        <v>0.1090564650607147</v>
      </c>
      <c r="AE222" s="22">
        <f t="shared" si="57"/>
        <v>0.11037691569913123</v>
      </c>
      <c r="AF222" s="22">
        <f t="shared" si="57"/>
        <v>0.11192323685515045</v>
      </c>
      <c r="AG222" s="22">
        <f t="shared" si="57"/>
        <v>0.1140168304907534</v>
      </c>
      <c r="AH222" s="22">
        <f t="shared" si="57"/>
        <v>0.11514704328773583</v>
      </c>
      <c r="AI222" s="22">
        <f t="shared" si="57"/>
        <v>0.11613416972234052</v>
      </c>
      <c r="AJ222" s="22">
        <f t="shared" si="57"/>
        <v>0.1173747047819844</v>
      </c>
      <c r="AK222" s="22">
        <f t="shared" si="57"/>
        <v>0.11845175629546961</v>
      </c>
      <c r="AL222" s="22">
        <f t="shared" si="57"/>
        <v>0.11964350265273288</v>
      </c>
      <c r="AM222" s="22">
        <f t="shared" si="57"/>
        <v>0.12080595767564568</v>
      </c>
      <c r="AN222" s="22">
        <f t="shared" si="57"/>
        <v>0.12237101221025357</v>
      </c>
      <c r="AO222" s="22">
        <f t="shared" si="57"/>
        <v>0.12373005325826542</v>
      </c>
      <c r="AP222" s="22">
        <f t="shared" si="57"/>
        <v>0.12508788651498504</v>
      </c>
      <c r="AQ222" s="22">
        <f t="shared" si="57"/>
        <v>0.12649394429591121</v>
      </c>
      <c r="AR222" s="22">
        <f t="shared" si="57"/>
        <v>0.12796403206190518</v>
      </c>
      <c r="AS222" s="22">
        <f t="shared" si="57"/>
        <v>0.12987984628529636</v>
      </c>
      <c r="AT222" s="22">
        <f t="shared" si="57"/>
        <v>0.13047315773125404</v>
      </c>
      <c r="AU222" s="22">
        <f t="shared" si="57"/>
        <v>0.13094704432863591</v>
      </c>
      <c r="AV222" s="22">
        <f t="shared" si="57"/>
        <v>0.13143575870732388</v>
      </c>
      <c r="AW222" s="22">
        <f t="shared" si="57"/>
        <v>0.13188303608420418</v>
      </c>
      <c r="AY222" s="79"/>
    </row>
    <row r="223" spans="1:51" x14ac:dyDescent="0.2">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3.1446916354757506E-2</v>
      </c>
      <c r="M223" s="22">
        <f t="shared" si="57"/>
        <v>3.1461022839745632E-2</v>
      </c>
      <c r="N223" s="22">
        <f t="shared" si="57"/>
        <v>3.1172186541537576E-2</v>
      </c>
      <c r="O223" s="22">
        <f t="shared" si="57"/>
        <v>3.0700450247237842E-2</v>
      </c>
      <c r="P223" s="22">
        <f t="shared" si="57"/>
        <v>3.0053355161673644E-2</v>
      </c>
      <c r="Q223" s="22">
        <f t="shared" si="57"/>
        <v>2.9583492368545926E-2</v>
      </c>
      <c r="R223" s="22">
        <f t="shared" si="57"/>
        <v>2.9155206131309681E-2</v>
      </c>
      <c r="S223" s="22">
        <f t="shared" si="57"/>
        <v>2.5977111346345238E-2</v>
      </c>
      <c r="T223" s="22">
        <f t="shared" si="57"/>
        <v>2.6382698168730914E-2</v>
      </c>
      <c r="U223" s="22">
        <f t="shared" si="57"/>
        <v>2.6554954616765158E-2</v>
      </c>
      <c r="V223" s="22">
        <f t="shared" si="57"/>
        <v>2.6668398396252971E-2</v>
      </c>
      <c r="W223" s="22">
        <f t="shared" si="57"/>
        <v>2.6878459601824591E-2</v>
      </c>
      <c r="X223" s="22">
        <f t="shared" si="57"/>
        <v>2.7034914600100463E-2</v>
      </c>
      <c r="Y223" s="22">
        <f t="shared" si="57"/>
        <v>2.7116981050655197E-2</v>
      </c>
      <c r="Z223" s="22">
        <f t="shared" si="57"/>
        <v>2.7167262704625481E-2</v>
      </c>
      <c r="AA223" s="22">
        <f t="shared" si="57"/>
        <v>2.7174083475534235E-2</v>
      </c>
      <c r="AB223" s="22">
        <f t="shared" si="57"/>
        <v>2.7331882847793948E-2</v>
      </c>
      <c r="AC223" s="22">
        <f t="shared" si="57"/>
        <v>2.7469719625531634E-2</v>
      </c>
      <c r="AD223" s="22">
        <f t="shared" si="57"/>
        <v>2.7668041643712917E-2</v>
      </c>
      <c r="AE223" s="22">
        <f t="shared" si="57"/>
        <v>2.8003045013131105E-2</v>
      </c>
      <c r="AF223" s="22">
        <f t="shared" si="57"/>
        <v>2.8395352595404884E-2</v>
      </c>
      <c r="AG223" s="22">
        <f t="shared" si="57"/>
        <v>2.8926505295637978E-2</v>
      </c>
      <c r="AH223" s="22">
        <f t="shared" si="57"/>
        <v>2.9213244598216302E-2</v>
      </c>
      <c r="AI223" s="22">
        <f t="shared" si="57"/>
        <v>2.9463682344250404E-2</v>
      </c>
      <c r="AJ223" s="22">
        <f t="shared" si="57"/>
        <v>2.9778410826157509E-2</v>
      </c>
      <c r="AK223" s="22">
        <f t="shared" si="57"/>
        <v>3.0051662908103689E-2</v>
      </c>
      <c r="AL223" s="22">
        <f t="shared" si="57"/>
        <v>3.0354013509905672E-2</v>
      </c>
      <c r="AM223" s="22">
        <f t="shared" si="57"/>
        <v>3.0648932788327074E-2</v>
      </c>
      <c r="AN223" s="22">
        <f t="shared" si="57"/>
        <v>3.1045993100286617E-2</v>
      </c>
      <c r="AO223" s="22">
        <f t="shared" si="57"/>
        <v>3.1390787003985711E-2</v>
      </c>
      <c r="AP223" s="22">
        <f t="shared" si="57"/>
        <v>3.1735274486421723E-2</v>
      </c>
      <c r="AQ223" s="22">
        <f t="shared" si="57"/>
        <v>3.2091996714805643E-2</v>
      </c>
      <c r="AR223" s="22">
        <f t="shared" si="57"/>
        <v>3.2464963594914874E-2</v>
      </c>
      <c r="AS223" s="22">
        <f t="shared" si="57"/>
        <v>3.2951012979377248E-2</v>
      </c>
      <c r="AT223" s="22">
        <f t="shared" si="57"/>
        <v>3.3101538358916271E-2</v>
      </c>
      <c r="AU223" s="22">
        <f t="shared" si="57"/>
        <v>3.3221765198319694E-2</v>
      </c>
      <c r="AV223" s="22">
        <f t="shared" si="57"/>
        <v>3.3345753902463859E-2</v>
      </c>
      <c r="AW223" s="22">
        <f t="shared" si="57"/>
        <v>3.3459229881012437E-2</v>
      </c>
      <c r="AY223" s="79"/>
    </row>
    <row r="224" spans="1:51" x14ac:dyDescent="0.2">
      <c r="A224" s="95" t="str">
        <f t="shared" si="45"/>
        <v>FA Organic</v>
      </c>
      <c r="B224" s="95" t="s">
        <v>962</v>
      </c>
      <c r="C224" s="95" t="s">
        <v>1127</v>
      </c>
      <c r="D224" t="s">
        <v>369</v>
      </c>
      <c r="E224" t="s">
        <v>55</v>
      </c>
      <c r="F224" t="s">
        <v>421</v>
      </c>
      <c r="G224" t="s">
        <v>1180</v>
      </c>
      <c r="H224" t="s">
        <v>1181</v>
      </c>
      <c r="I224" t="s">
        <v>139</v>
      </c>
      <c r="J224" t="s">
        <v>287</v>
      </c>
      <c r="K224" s="22">
        <f t="shared" si="55"/>
        <v>0.15700744358616764</v>
      </c>
      <c r="L224" s="22">
        <f t="shared" si="57"/>
        <v>0.16019971617730661</v>
      </c>
      <c r="M224" s="22">
        <f t="shared" si="57"/>
        <v>0.16393118028621728</v>
      </c>
      <c r="N224" s="22">
        <f t="shared" si="57"/>
        <v>0.1667959170810015</v>
      </c>
      <c r="O224" s="22">
        <f t="shared" si="57"/>
        <v>0.16909558154641688</v>
      </c>
      <c r="P224" s="22">
        <f t="shared" si="57"/>
        <v>0.1708164974258628</v>
      </c>
      <c r="Q224" s="22">
        <f t="shared" si="57"/>
        <v>0.17302318661183388</v>
      </c>
      <c r="R224" s="22">
        <f t="shared" si="57"/>
        <v>0.17531753251219051</v>
      </c>
      <c r="S224" s="22">
        <f t="shared" si="57"/>
        <v>0.16830476873000083</v>
      </c>
      <c r="T224" s="22">
        <f t="shared" si="57"/>
        <v>0.17276871314198702</v>
      </c>
      <c r="U224" s="22">
        <f t="shared" si="57"/>
        <v>0.1764934307199863</v>
      </c>
      <c r="V224" s="22">
        <f t="shared" si="57"/>
        <v>0.18005524898156572</v>
      </c>
      <c r="W224" s="22">
        <f t="shared" si="57"/>
        <v>0.1840152127784149</v>
      </c>
      <c r="X224" s="22">
        <f t="shared" si="57"/>
        <v>0.18783261457873554</v>
      </c>
      <c r="Y224" s="22">
        <f t="shared" si="57"/>
        <v>0.1912601747651877</v>
      </c>
      <c r="Z224" s="22">
        <f t="shared" si="57"/>
        <v>0.19460208719398481</v>
      </c>
      <c r="AA224" s="22">
        <f t="shared" si="57"/>
        <v>0.1978054102854529</v>
      </c>
      <c r="AB224" s="22">
        <f t="shared" si="57"/>
        <v>0.20165714923615963</v>
      </c>
      <c r="AC224" s="22">
        <f t="shared" si="57"/>
        <v>0.2054824805874291</v>
      </c>
      <c r="AD224" s="22">
        <f t="shared" si="57"/>
        <v>0.20949194963752207</v>
      </c>
      <c r="AE224" s="22">
        <f t="shared" si="57"/>
        <v>0.21416106283362638</v>
      </c>
      <c r="AF224" s="22">
        <f t="shared" si="57"/>
        <v>0.21917521895804776</v>
      </c>
      <c r="AG224" s="22">
        <f t="shared" si="57"/>
        <v>0.2249205996408121</v>
      </c>
      <c r="AH224" s="22">
        <f t="shared" si="57"/>
        <v>0.22966975525024821</v>
      </c>
      <c r="AI224" s="22">
        <f t="shared" si="57"/>
        <v>0.23421374773731693</v>
      </c>
      <c r="AJ224" s="22">
        <f t="shared" si="57"/>
        <v>0.23914977762419984</v>
      </c>
      <c r="AK224" s="22">
        <f t="shared" si="57"/>
        <v>0.24398161276357982</v>
      </c>
      <c r="AL224" s="22">
        <f t="shared" si="57"/>
        <v>0.24905154645514979</v>
      </c>
      <c r="AM224" s="22">
        <f t="shared" si="57"/>
        <v>0.25418530178524701</v>
      </c>
      <c r="AN224" s="22">
        <f t="shared" si="57"/>
        <v>0.25983124395687562</v>
      </c>
      <c r="AO224" s="22">
        <f t="shared" si="57"/>
        <v>0.26532627660152752</v>
      </c>
      <c r="AP224" s="22">
        <f t="shared" si="57"/>
        <v>0.27093697485535539</v>
      </c>
      <c r="AQ224" s="22">
        <f t="shared" si="57"/>
        <v>0.27673510691469561</v>
      </c>
      <c r="AR224" s="22">
        <f t="shared" si="57"/>
        <v>0.28275020857350047</v>
      </c>
      <c r="AS224" s="22">
        <f t="shared" si="57"/>
        <v>0.28941803313014858</v>
      </c>
      <c r="AT224" s="22">
        <f t="shared" si="57"/>
        <v>0.29430967875904612</v>
      </c>
      <c r="AU224" s="22">
        <f t="shared" si="57"/>
        <v>0.29911626555567689</v>
      </c>
      <c r="AV224" s="22">
        <f t="shared" si="57"/>
        <v>0.30403482357185191</v>
      </c>
      <c r="AW224" s="22">
        <f t="shared" si="57"/>
        <v>0.30898254148510845</v>
      </c>
      <c r="AY224" s="79"/>
    </row>
    <row r="225" spans="1:51" x14ac:dyDescent="0.2">
      <c r="A225" s="95" t="str">
        <f t="shared" si="45"/>
        <v>FA Organic</v>
      </c>
      <c r="B225" s="95" t="s">
        <v>962</v>
      </c>
      <c r="C225" s="95" t="s">
        <v>1127</v>
      </c>
      <c r="D225" t="s">
        <v>369</v>
      </c>
      <c r="E225" t="s">
        <v>55</v>
      </c>
      <c r="F225" t="s">
        <v>421</v>
      </c>
      <c r="G225" t="s">
        <v>1182</v>
      </c>
      <c r="H225" t="s">
        <v>1183</v>
      </c>
      <c r="I225" t="s">
        <v>139</v>
      </c>
      <c r="J225" t="s">
        <v>287</v>
      </c>
      <c r="K225" s="22">
        <f t="shared" si="55"/>
        <v>0.78620275218739033</v>
      </c>
      <c r="L225" s="22">
        <f t="shared" si="57"/>
        <v>0.7965556372017637</v>
      </c>
      <c r="M225" s="22">
        <f t="shared" si="57"/>
        <v>0.8131853402467214</v>
      </c>
      <c r="N225" s="22">
        <f t="shared" si="57"/>
        <v>0.81796021384654038</v>
      </c>
      <c r="O225" s="22">
        <f t="shared" si="57"/>
        <v>0.81503229757580642</v>
      </c>
      <c r="P225" s="22">
        <f t="shared" si="57"/>
        <v>0.80443274266431908</v>
      </c>
      <c r="Q225" s="22">
        <f t="shared" si="57"/>
        <v>0.79997057217510736</v>
      </c>
      <c r="R225" s="22">
        <f t="shared" si="57"/>
        <v>0.79652072541357799</v>
      </c>
      <c r="S225" s="22">
        <f t="shared" si="57"/>
        <v>0.68093953459407419</v>
      </c>
      <c r="T225" s="22">
        <f t="shared" si="57"/>
        <v>0.71095217743742134</v>
      </c>
      <c r="U225" s="22">
        <f t="shared" si="57"/>
        <v>0.73163451860770856</v>
      </c>
      <c r="V225" s="22">
        <f t="shared" si="57"/>
        <v>0.74998966017271962</v>
      </c>
      <c r="W225" s="22">
        <f t="shared" si="57"/>
        <v>0.77258910732812447</v>
      </c>
      <c r="X225" s="22">
        <f t="shared" si="57"/>
        <v>0.79310210321227914</v>
      </c>
      <c r="Y225" s="22">
        <f t="shared" si="57"/>
        <v>0.81120771116014501</v>
      </c>
      <c r="Z225" s="22">
        <f t="shared" si="57"/>
        <v>0.82802988036578451</v>
      </c>
      <c r="AA225" s="22">
        <f t="shared" si="57"/>
        <v>0.84300341806804124</v>
      </c>
      <c r="AB225" s="22">
        <f t="shared" si="57"/>
        <v>0.86494223642860679</v>
      </c>
      <c r="AC225" s="22">
        <f t="shared" si="57"/>
        <v>0.88622290534488479</v>
      </c>
      <c r="AD225" s="22">
        <f t="shared" si="57"/>
        <v>0.91112086440699802</v>
      </c>
      <c r="AE225" s="22">
        <f t="shared" si="57"/>
        <v>0.94284673608655079</v>
      </c>
      <c r="AF225" s="22">
        <f t="shared" si="57"/>
        <v>0.97785291166286403</v>
      </c>
      <c r="AG225" s="22">
        <f t="shared" si="57"/>
        <v>1.0202297421822766</v>
      </c>
      <c r="AH225" s="22">
        <f t="shared" si="57"/>
        <v>1.0513780855146408</v>
      </c>
      <c r="AI225" s="22">
        <f t="shared" si="57"/>
        <v>1.0817366322153388</v>
      </c>
      <c r="AJ225" s="22">
        <f t="shared" si="57"/>
        <v>1.1158458345440128</v>
      </c>
      <c r="AK225" s="22">
        <f t="shared" si="57"/>
        <v>1.1484374065317347</v>
      </c>
      <c r="AL225" s="22">
        <f t="shared" si="57"/>
        <v>1.1831076882134564</v>
      </c>
      <c r="AM225" s="22">
        <f t="shared" si="57"/>
        <v>1.2180177066709783</v>
      </c>
      <c r="AN225" s="22">
        <f t="shared" si="57"/>
        <v>1.2594503323832682</v>
      </c>
      <c r="AO225" s="22">
        <f t="shared" si="57"/>
        <v>1.298872537028497</v>
      </c>
      <c r="AP225" s="22">
        <f t="shared" si="57"/>
        <v>1.3390342962428967</v>
      </c>
      <c r="AQ225" s="22">
        <f t="shared" si="57"/>
        <v>1.3806522745115721</v>
      </c>
      <c r="AR225" s="22">
        <f t="shared" si="57"/>
        <v>1.4240025047133247</v>
      </c>
      <c r="AS225" s="22">
        <f t="shared" si="57"/>
        <v>1.4750856789053959</v>
      </c>
      <c r="AT225" s="22">
        <f t="shared" si="57"/>
        <v>1.5079842325146011</v>
      </c>
      <c r="AU225" s="22">
        <f t="shared" si="57"/>
        <v>1.5397226946349756</v>
      </c>
      <c r="AV225" s="22">
        <f t="shared" si="57"/>
        <v>1.5722599858562425</v>
      </c>
      <c r="AW225" s="22">
        <f t="shared" si="57"/>
        <v>1.6047748091186307</v>
      </c>
      <c r="AY225" s="79"/>
    </row>
    <row r="226" spans="1:51" x14ac:dyDescent="0.2">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2">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1.0836040032789309</v>
      </c>
      <c r="M227" s="22">
        <f t="shared" si="57"/>
        <v>1.0921513426512339</v>
      </c>
      <c r="N227" s="22">
        <f t="shared" si="57"/>
        <v>1.0976439186771809</v>
      </c>
      <c r="O227" s="22">
        <f t="shared" si="57"/>
        <v>1.1012937605673541</v>
      </c>
      <c r="P227" s="22">
        <f t="shared" si="57"/>
        <v>1.1030649457277464</v>
      </c>
      <c r="Q227" s="22">
        <f t="shared" si="57"/>
        <v>1.1069781529146336</v>
      </c>
      <c r="R227" s="22">
        <f t="shared" si="57"/>
        <v>1.1114672588381171</v>
      </c>
      <c r="S227" s="22">
        <f t="shared" si="57"/>
        <v>1.0810406006779549</v>
      </c>
      <c r="T227" s="22">
        <f t="shared" si="57"/>
        <v>1.0934641088719885</v>
      </c>
      <c r="U227" s="22">
        <f t="shared" si="57"/>
        <v>1.1031992381450169</v>
      </c>
      <c r="V227" s="22">
        <f t="shared" si="57"/>
        <v>1.1124222034300566</v>
      </c>
      <c r="W227" s="22">
        <f t="shared" si="57"/>
        <v>1.123204750861388</v>
      </c>
      <c r="X227" s="22">
        <f t="shared" si="57"/>
        <v>1.1335309064238068</v>
      </c>
      <c r="Y227" s="22">
        <f t="shared" si="57"/>
        <v>1.1421913822066523</v>
      </c>
      <c r="Z227" s="22">
        <f t="shared" si="57"/>
        <v>1.1506113165744176</v>
      </c>
      <c r="AA227" s="22">
        <f t="shared" si="57"/>
        <v>1.1585977369609775</v>
      </c>
      <c r="AB227" s="22">
        <f t="shared" si="57"/>
        <v>1.1689866502425044</v>
      </c>
      <c r="AC227" s="22">
        <f t="shared" si="57"/>
        <v>1.179322142127879</v>
      </c>
      <c r="AD227" s="22">
        <f t="shared" si="57"/>
        <v>1.1901050491082561</v>
      </c>
      <c r="AE227" s="22">
        <f t="shared" si="57"/>
        <v>1.2032599534885204</v>
      </c>
      <c r="AF227" s="22">
        <f t="shared" ref="L227:AW234" si="58">AF1483</f>
        <v>1.2176412709045177</v>
      </c>
      <c r="AG227" s="22">
        <f t="shared" si="58"/>
        <v>1.2345938865918005</v>
      </c>
      <c r="AH227" s="22">
        <f t="shared" si="58"/>
        <v>1.2480204008779516</v>
      </c>
      <c r="AI227" s="22">
        <f t="shared" si="58"/>
        <v>1.2604934871451285</v>
      </c>
      <c r="AJ227" s="22">
        <f t="shared" si="58"/>
        <v>1.2743340482246315</v>
      </c>
      <c r="AK227" s="22">
        <f t="shared" si="58"/>
        <v>1.2878029781490608</v>
      </c>
      <c r="AL227" s="22">
        <f t="shared" si="58"/>
        <v>1.302087430895273</v>
      </c>
      <c r="AM227" s="22">
        <f t="shared" si="58"/>
        <v>1.3165772246053524</v>
      </c>
      <c r="AN227" s="22">
        <f t="shared" si="58"/>
        <v>1.3325905811769112</v>
      </c>
      <c r="AO227" s="22">
        <f t="shared" si="58"/>
        <v>1.3480569944390275</v>
      </c>
      <c r="AP227" s="22">
        <f t="shared" si="58"/>
        <v>1.3638910811882956</v>
      </c>
      <c r="AQ227" s="22">
        <f t="shared" si="58"/>
        <v>1.3803329285303612</v>
      </c>
      <c r="AR227" s="22">
        <f t="shared" si="58"/>
        <v>1.3974765343324473</v>
      </c>
      <c r="AS227" s="22">
        <f t="shared" si="58"/>
        <v>1.4165658117844762</v>
      </c>
      <c r="AT227" s="22">
        <f t="shared" si="58"/>
        <v>1.4296216900778926</v>
      </c>
      <c r="AU227" s="22">
        <f t="shared" si="58"/>
        <v>1.4423773000489271</v>
      </c>
      <c r="AV227" s="22">
        <f t="shared" si="58"/>
        <v>1.4554943578736881</v>
      </c>
      <c r="AW227" s="22">
        <f t="shared" si="58"/>
        <v>1.468692881818767</v>
      </c>
      <c r="AY227" s="79"/>
    </row>
    <row r="228" spans="1:51" x14ac:dyDescent="0.2">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0.73794174034663862</v>
      </c>
      <c r="M228" s="22">
        <f t="shared" si="58"/>
        <v>0.74376253694082328</v>
      </c>
      <c r="N228" s="22">
        <f t="shared" si="58"/>
        <v>0.74750301879518044</v>
      </c>
      <c r="O228" s="22">
        <f t="shared" si="58"/>
        <v>0.74998858609492669</v>
      </c>
      <c r="P228" s="22">
        <f t="shared" si="58"/>
        <v>0.75119477530775824</v>
      </c>
      <c r="Q228" s="22">
        <f t="shared" si="58"/>
        <v>0.7538596961765357</v>
      </c>
      <c r="R228" s="22">
        <f t="shared" si="58"/>
        <v>0.75691680802528427</v>
      </c>
      <c r="S228" s="22">
        <f t="shared" si="58"/>
        <v>0.73619604563634833</v>
      </c>
      <c r="T228" s="22">
        <f t="shared" si="58"/>
        <v>0.74465653971921864</v>
      </c>
      <c r="U228" s="22">
        <f t="shared" si="58"/>
        <v>0.75128622936275991</v>
      </c>
      <c r="V228" s="22">
        <f t="shared" si="58"/>
        <v>0.75756713182620983</v>
      </c>
      <c r="W228" s="22">
        <f t="shared" si="58"/>
        <v>0.76491012040208251</v>
      </c>
      <c r="X228" s="22">
        <f t="shared" si="58"/>
        <v>0.77194230299255218</v>
      </c>
      <c r="Y228" s="22">
        <f t="shared" si="58"/>
        <v>0.77784014625640541</v>
      </c>
      <c r="Z228" s="22">
        <f t="shared" si="58"/>
        <v>0.78357417917078342</v>
      </c>
      <c r="AA228" s="22">
        <f t="shared" si="58"/>
        <v>0.78901298609781978</v>
      </c>
      <c r="AB228" s="22">
        <f t="shared" si="58"/>
        <v>0.79608790712439581</v>
      </c>
      <c r="AC228" s="22">
        <f t="shared" si="58"/>
        <v>0.80312644781467857</v>
      </c>
      <c r="AD228" s="22">
        <f t="shared" si="58"/>
        <v>0.81046968124591112</v>
      </c>
      <c r="AE228" s="22">
        <f t="shared" si="58"/>
        <v>0.81942826113588163</v>
      </c>
      <c r="AF228" s="22">
        <f t="shared" si="58"/>
        <v>0.8292220366944113</v>
      </c>
      <c r="AG228" s="22">
        <f t="shared" si="58"/>
        <v>0.84076688396873545</v>
      </c>
      <c r="AH228" s="22">
        <f t="shared" si="58"/>
        <v>0.84991043206299322</v>
      </c>
      <c r="AI228" s="22">
        <f t="shared" si="58"/>
        <v>0.85840468915289159</v>
      </c>
      <c r="AJ228" s="22">
        <f t="shared" si="58"/>
        <v>0.86783020594636673</v>
      </c>
      <c r="AK228" s="22">
        <f t="shared" si="58"/>
        <v>0.87700263938050371</v>
      </c>
      <c r="AL228" s="22">
        <f t="shared" si="58"/>
        <v>0.8867304494361532</v>
      </c>
      <c r="AM228" s="22">
        <f t="shared" si="58"/>
        <v>0.89659809809315782</v>
      </c>
      <c r="AN228" s="22">
        <f t="shared" si="58"/>
        <v>0.90750330348317998</v>
      </c>
      <c r="AO228" s="22">
        <f t="shared" si="58"/>
        <v>0.91803603673723821</v>
      </c>
      <c r="AP228" s="22">
        <f t="shared" si="58"/>
        <v>0.92881915815170113</v>
      </c>
      <c r="AQ228" s="22">
        <f t="shared" si="58"/>
        <v>0.94001616868821003</v>
      </c>
      <c r="AR228" s="22">
        <f t="shared" si="58"/>
        <v>0.95169108153748594</v>
      </c>
      <c r="AS228" s="22">
        <f t="shared" si="58"/>
        <v>0.9646910100928292</v>
      </c>
      <c r="AT228" s="22">
        <f t="shared" si="58"/>
        <v>0.97358215254011127</v>
      </c>
      <c r="AU228" s="22">
        <f t="shared" si="58"/>
        <v>0.98226881020538814</v>
      </c>
      <c r="AV228" s="22">
        <f t="shared" si="58"/>
        <v>0.99120161633211146</v>
      </c>
      <c r="AW228" s="22">
        <f t="shared" si="58"/>
        <v>1.0001899014441695</v>
      </c>
      <c r="AY228" s="79"/>
    </row>
    <row r="229" spans="1:51" x14ac:dyDescent="0.2">
      <c r="A229" s="95" t="str">
        <f t="shared" si="45"/>
        <v>FA U&amp;D</v>
      </c>
      <c r="B229" s="95" t="s">
        <v>962</v>
      </c>
      <c r="C229" s="95" t="s">
        <v>1336</v>
      </c>
      <c r="D229" t="s">
        <v>369</v>
      </c>
      <c r="E229" t="s">
        <v>55</v>
      </c>
      <c r="F229" t="s">
        <v>422</v>
      </c>
      <c r="G229" t="s">
        <v>1158</v>
      </c>
      <c r="H229" t="s">
        <v>1243</v>
      </c>
      <c r="I229" t="s">
        <v>139</v>
      </c>
      <c r="J229" t="s">
        <v>287</v>
      </c>
      <c r="K229" s="22">
        <f t="shared" si="55"/>
        <v>15.353527292296844</v>
      </c>
      <c r="L229" s="22">
        <f t="shared" si="58"/>
        <v>15.220371053361493</v>
      </c>
      <c r="M229" s="22">
        <f t="shared" si="58"/>
        <v>15.169682504177887</v>
      </c>
      <c r="N229" s="22">
        <f t="shared" si="58"/>
        <v>14.967111251021189</v>
      </c>
      <c r="O229" s="22">
        <f t="shared" si="58"/>
        <v>14.673074129931962</v>
      </c>
      <c r="P229" s="22">
        <f t="shared" si="58"/>
        <v>14.293651368256896</v>
      </c>
      <c r="Q229" s="22">
        <f t="shared" si="58"/>
        <v>13.994389539168758</v>
      </c>
      <c r="R229" s="22">
        <f t="shared" si="58"/>
        <v>13.711253827544139</v>
      </c>
      <c r="S229" s="22">
        <f t="shared" si="58"/>
        <v>12.169037780121926</v>
      </c>
      <c r="T229" s="22">
        <f t="shared" si="58"/>
        <v>12.401807134203059</v>
      </c>
      <c r="U229" s="22">
        <f t="shared" si="58"/>
        <v>12.526260010284002</v>
      </c>
      <c r="V229" s="22">
        <f t="shared" si="58"/>
        <v>12.622062683352066</v>
      </c>
      <c r="W229" s="22">
        <f t="shared" si="58"/>
        <v>12.760674268300837</v>
      </c>
      <c r="X229" s="22">
        <f t="shared" si="58"/>
        <v>12.873164971451276</v>
      </c>
      <c r="Y229" s="22">
        <f t="shared" si="58"/>
        <v>12.945682732607438</v>
      </c>
      <c r="Z229" s="22">
        <f t="shared" si="58"/>
        <v>13.002132383564884</v>
      </c>
      <c r="AA229" s="22">
        <f t="shared" si="58"/>
        <v>13.037118833745307</v>
      </c>
      <c r="AB229" s="22">
        <f t="shared" si="58"/>
        <v>13.140692477306542</v>
      </c>
      <c r="AC229" s="22">
        <f t="shared" si="58"/>
        <v>13.233883747502103</v>
      </c>
      <c r="AD229" s="22">
        <f t="shared" si="58"/>
        <v>13.23869020405356</v>
      </c>
      <c r="AE229" s="22">
        <f t="shared" si="58"/>
        <v>13.301119774765679</v>
      </c>
      <c r="AF229" s="22">
        <f t="shared" si="58"/>
        <v>13.383674683163292</v>
      </c>
      <c r="AG229" s="22">
        <f t="shared" si="58"/>
        <v>13.522276087147475</v>
      </c>
      <c r="AH229" s="22">
        <f t="shared" si="58"/>
        <v>13.544412944106279</v>
      </c>
      <c r="AI229" s="22">
        <f t="shared" si="58"/>
        <v>13.542089215214004</v>
      </c>
      <c r="AJ229" s="22">
        <f t="shared" si="58"/>
        <v>13.562424652219031</v>
      </c>
      <c r="AK229" s="22">
        <f t="shared" si="58"/>
        <v>13.558671299619801</v>
      </c>
      <c r="AL229" s="22">
        <f t="shared" si="58"/>
        <v>13.561543071773121</v>
      </c>
      <c r="AM229" s="22">
        <f t="shared" si="58"/>
        <v>13.555025657095664</v>
      </c>
      <c r="AN229" s="22">
        <f t="shared" si="58"/>
        <v>13.65231474834372</v>
      </c>
      <c r="AO229" s="22">
        <f t="shared" si="58"/>
        <v>13.72348724176244</v>
      </c>
      <c r="AP229" s="22">
        <f t="shared" si="58"/>
        <v>13.790553263000465</v>
      </c>
      <c r="AQ229" s="22">
        <f t="shared" si="58"/>
        <v>13.858644184626581</v>
      </c>
      <c r="AR229" s="22">
        <f t="shared" si="58"/>
        <v>13.929236621781989</v>
      </c>
      <c r="AS229" s="22">
        <f t="shared" si="58"/>
        <v>14.039863069721484</v>
      </c>
      <c r="AT229" s="22">
        <f t="shared" si="58"/>
        <v>14.008704095961466</v>
      </c>
      <c r="AU229" s="22">
        <f t="shared" si="58"/>
        <v>13.961987215392144</v>
      </c>
      <c r="AV229" s="22">
        <f t="shared" si="58"/>
        <v>13.913601198226885</v>
      </c>
      <c r="AW229" s="22">
        <f t="shared" si="58"/>
        <v>13.857756490863558</v>
      </c>
      <c r="AY229" s="79"/>
    </row>
    <row r="230" spans="1:51" x14ac:dyDescent="0.2">
      <c r="A230" s="95" t="str">
        <f t="shared" si="45"/>
        <v>FA U&amp;D</v>
      </c>
      <c r="B230" s="95" t="s">
        <v>962</v>
      </c>
      <c r="C230" s="95" t="s">
        <v>1336</v>
      </c>
      <c r="D230" t="s">
        <v>369</v>
      </c>
      <c r="E230" t="s">
        <v>55</v>
      </c>
      <c r="F230" t="s">
        <v>422</v>
      </c>
      <c r="G230" t="s">
        <v>1160</v>
      </c>
      <c r="H230" t="s">
        <v>1244</v>
      </c>
      <c r="I230" t="s">
        <v>139</v>
      </c>
      <c r="J230" t="s">
        <v>287</v>
      </c>
      <c r="K230" s="22">
        <f t="shared" si="55"/>
        <v>9.6543103644621464</v>
      </c>
      <c r="L230" s="22">
        <f t="shared" si="58"/>
        <v>9.5705816138517683</v>
      </c>
      <c r="M230" s="22">
        <f t="shared" si="58"/>
        <v>9.5387086131773007</v>
      </c>
      <c r="N230" s="22">
        <f t="shared" si="58"/>
        <v>9.4113316455488931</v>
      </c>
      <c r="O230" s="22">
        <f t="shared" si="58"/>
        <v>9.22644086627548</v>
      </c>
      <c r="P230" s="22">
        <f t="shared" si="58"/>
        <v>8.9878595272244652</v>
      </c>
      <c r="Q230" s="22">
        <f t="shared" si="58"/>
        <v>8.7996834473406587</v>
      </c>
      <c r="R230" s="22">
        <f t="shared" si="58"/>
        <v>8.6216474831450967</v>
      </c>
      <c r="S230" s="22">
        <f t="shared" si="58"/>
        <v>7.6519007866750153</v>
      </c>
      <c r="T230" s="22">
        <f t="shared" si="58"/>
        <v>7.79826634455969</v>
      </c>
      <c r="U230" s="22">
        <f t="shared" si="58"/>
        <v>7.8765224135763656</v>
      </c>
      <c r="V230" s="22">
        <f t="shared" si="58"/>
        <v>7.9367632117940001</v>
      </c>
      <c r="W230" s="22">
        <f t="shared" si="58"/>
        <v>8.0239222883846164</v>
      </c>
      <c r="X230" s="22">
        <f t="shared" si="58"/>
        <v>8.0946565333991707</v>
      </c>
      <c r="Y230" s="22">
        <f t="shared" si="58"/>
        <v>8.1402557601963093</v>
      </c>
      <c r="Z230" s="22">
        <f t="shared" si="58"/>
        <v>8.175751346320169</v>
      </c>
      <c r="AA230" s="22">
        <f t="shared" si="58"/>
        <v>8.1977508544567819</v>
      </c>
      <c r="AB230" s="22">
        <f t="shared" si="58"/>
        <v>8.2628780451981587</v>
      </c>
      <c r="AC230" s="22">
        <f t="shared" si="58"/>
        <v>8.3214767911799861</v>
      </c>
      <c r="AD230" s="22">
        <f t="shared" si="58"/>
        <v>8.3244990949423538</v>
      </c>
      <c r="AE230" s="22">
        <f t="shared" si="58"/>
        <v>8.3637548594387177</v>
      </c>
      <c r="AF230" s="22">
        <f t="shared" si="58"/>
        <v>8.4156654525296073</v>
      </c>
      <c r="AG230" s="22">
        <f t="shared" si="58"/>
        <v>8.5028181273214702</v>
      </c>
      <c r="AH230" s="22">
        <f t="shared" si="58"/>
        <v>8.5167378008600192</v>
      </c>
      <c r="AI230" s="22">
        <f t="shared" si="58"/>
        <v>8.515276638255374</v>
      </c>
      <c r="AJ230" s="22">
        <f t="shared" si="58"/>
        <v>8.5280635774717464</v>
      </c>
      <c r="AK230" s="22">
        <f t="shared" si="58"/>
        <v>8.5257034663252735</v>
      </c>
      <c r="AL230" s="22">
        <f t="shared" si="58"/>
        <v>8.5275092389751901</v>
      </c>
      <c r="AM230" s="22">
        <f t="shared" si="58"/>
        <v>8.5234110833610295</v>
      </c>
      <c r="AN230" s="22">
        <f t="shared" si="58"/>
        <v>8.5845865425310173</v>
      </c>
      <c r="AO230" s="22">
        <f t="shared" si="58"/>
        <v>8.6293398638881058</v>
      </c>
      <c r="AP230" s="22">
        <f t="shared" si="58"/>
        <v>8.6715110322206357</v>
      </c>
      <c r="AQ230" s="22">
        <f t="shared" si="58"/>
        <v>8.7143266587451382</v>
      </c>
      <c r="AR230" s="22">
        <f t="shared" si="58"/>
        <v>8.7587152402552686</v>
      </c>
      <c r="AS230" s="22">
        <f t="shared" si="58"/>
        <v>8.8282772400871714</v>
      </c>
      <c r="AT230" s="22">
        <f t="shared" si="58"/>
        <v>8.8086844522156653</v>
      </c>
      <c r="AU230" s="22">
        <f t="shared" si="58"/>
        <v>8.7793088399743002</v>
      </c>
      <c r="AV230" s="22">
        <f t="shared" si="58"/>
        <v>8.7488836732930295</v>
      </c>
      <c r="AW230" s="22">
        <f t="shared" si="58"/>
        <v>8.7137684761898431</v>
      </c>
      <c r="AY230" s="79"/>
    </row>
    <row r="231" spans="1:51" x14ac:dyDescent="0.2">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2">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5.9177410166742819</v>
      </c>
      <c r="T232" s="22">
        <f t="shared" si="58"/>
        <v>5.9267532558831455</v>
      </c>
      <c r="U232" s="22">
        <f t="shared" si="58"/>
        <v>5.9369392429781076</v>
      </c>
      <c r="V232" s="22">
        <f t="shared" si="58"/>
        <v>5.9484299369724756</v>
      </c>
      <c r="W232" s="22">
        <f t="shared" si="58"/>
        <v>5.9613561230675689</v>
      </c>
      <c r="X232" s="22">
        <f t="shared" si="58"/>
        <v>5.9754482628979506</v>
      </c>
      <c r="Y232" s="22">
        <f t="shared" si="58"/>
        <v>5.9840189867940028</v>
      </c>
      <c r="Z232" s="22">
        <f t="shared" si="58"/>
        <v>5.9935919924924663</v>
      </c>
      <c r="AA232" s="22">
        <f t="shared" si="58"/>
        <v>6.0040970561873648</v>
      </c>
      <c r="AB232" s="22">
        <f t="shared" si="58"/>
        <v>6.015772019922915</v>
      </c>
      <c r="AC232" s="22">
        <f t="shared" si="58"/>
        <v>6.0283300293613564</v>
      </c>
      <c r="AD232" s="22">
        <f t="shared" si="58"/>
        <v>6.0365358206617943</v>
      </c>
      <c r="AE232" s="22">
        <f t="shared" si="58"/>
        <v>6.0457468580703022</v>
      </c>
      <c r="AF232" s="22">
        <f t="shared" si="58"/>
        <v>6.0558159935957239</v>
      </c>
      <c r="AG232" s="22">
        <f t="shared" si="58"/>
        <v>6.0668477974371191</v>
      </c>
      <c r="AH232" s="22">
        <f t="shared" si="58"/>
        <v>6.0782061128825768</v>
      </c>
      <c r="AI232" s="22">
        <f t="shared" si="58"/>
        <v>6.0851673422995747</v>
      </c>
      <c r="AJ232" s="22">
        <f t="shared" si="58"/>
        <v>6.0928574061867389</v>
      </c>
      <c r="AK232" s="22">
        <f t="shared" si="58"/>
        <v>6.1010802783379781</v>
      </c>
      <c r="AL232" s="22">
        <f t="shared" si="58"/>
        <v>6.1099337878320572</v>
      </c>
      <c r="AM232" s="22">
        <f t="shared" si="58"/>
        <v>6.1193379299301505</v>
      </c>
      <c r="AN232" s="22">
        <f t="shared" si="58"/>
        <v>6.1247915653472518</v>
      </c>
      <c r="AO232" s="22">
        <f t="shared" si="58"/>
        <v>6.1306576553625556</v>
      </c>
      <c r="AP232" s="22">
        <f t="shared" si="58"/>
        <v>6.1370111691436762</v>
      </c>
      <c r="AQ232" s="22">
        <f t="shared" si="58"/>
        <v>6.1438608776263539</v>
      </c>
      <c r="AR232" s="22">
        <f t="shared" si="58"/>
        <v>6.1512019925053671</v>
      </c>
      <c r="AS232" s="22">
        <f t="shared" si="58"/>
        <v>6.1544845731259219</v>
      </c>
      <c r="AT232" s="22">
        <f t="shared" si="58"/>
        <v>6.1575398722372316</v>
      </c>
      <c r="AU232" s="22">
        <f t="shared" si="58"/>
        <v>6.1609269818317118</v>
      </c>
      <c r="AV232" s="22">
        <f t="shared" si="58"/>
        <v>6.1647001939833732</v>
      </c>
      <c r="AW232" s="22">
        <f t="shared" si="58"/>
        <v>6.1688206661186156</v>
      </c>
      <c r="AY232" s="79"/>
    </row>
    <row r="233" spans="1:51" x14ac:dyDescent="0.2">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0.66059463009348052</v>
      </c>
      <c r="T233" s="22">
        <f t="shared" si="58"/>
        <v>0.66160066209280566</v>
      </c>
      <c r="U233" s="22">
        <f t="shared" si="58"/>
        <v>0.66273771901337264</v>
      </c>
      <c r="V233" s="22">
        <f t="shared" si="58"/>
        <v>0.66402041974788251</v>
      </c>
      <c r="W233" s="22">
        <f t="shared" si="58"/>
        <v>0.66546336378648574</v>
      </c>
      <c r="X233" s="22">
        <f t="shared" si="58"/>
        <v>0.66703646268896311</v>
      </c>
      <c r="Y233" s="22">
        <f t="shared" si="58"/>
        <v>0.66799320854279376</v>
      </c>
      <c r="Z233" s="22">
        <f t="shared" si="58"/>
        <v>0.66906183864006219</v>
      </c>
      <c r="AA233" s="22">
        <f t="shared" si="58"/>
        <v>0.67023451393053002</v>
      </c>
      <c r="AB233" s="22">
        <f t="shared" si="58"/>
        <v>0.67153778460907243</v>
      </c>
      <c r="AC233" s="22">
        <f t="shared" si="58"/>
        <v>0.67293962926167272</v>
      </c>
      <c r="AD233" s="22">
        <f t="shared" si="58"/>
        <v>0.67385563786249902</v>
      </c>
      <c r="AE233" s="22">
        <f t="shared" si="58"/>
        <v>0.67488386161080183</v>
      </c>
      <c r="AF233" s="22">
        <f t="shared" si="58"/>
        <v>0.67600787444594213</v>
      </c>
      <c r="AG233" s="22">
        <f t="shared" si="58"/>
        <v>0.67723934948976972</v>
      </c>
      <c r="AH233" s="22">
        <f t="shared" si="58"/>
        <v>0.6785072728694912</v>
      </c>
      <c r="AI233" s="22">
        <f t="shared" si="58"/>
        <v>0.67928435161605349</v>
      </c>
      <c r="AJ233" s="22">
        <f t="shared" si="58"/>
        <v>0.68014278980971932</v>
      </c>
      <c r="AK233" s="22">
        <f t="shared" si="58"/>
        <v>0.68106070513784001</v>
      </c>
      <c r="AL233" s="22">
        <f t="shared" si="58"/>
        <v>0.68204901821419661</v>
      </c>
      <c r="AM233" s="22">
        <f t="shared" si="58"/>
        <v>0.68309879814764285</v>
      </c>
      <c r="AN233" s="22">
        <f t="shared" si="58"/>
        <v>0.68370758488921768</v>
      </c>
      <c r="AO233" s="22">
        <f t="shared" si="58"/>
        <v>0.68436241374246343</v>
      </c>
      <c r="AP233" s="22">
        <f t="shared" si="58"/>
        <v>0.68507165348009424</v>
      </c>
      <c r="AQ233" s="22">
        <f t="shared" si="58"/>
        <v>0.68583628319751733</v>
      </c>
      <c r="AR233" s="22">
        <f t="shared" si="58"/>
        <v>0.68665576837848608</v>
      </c>
      <c r="AS233" s="22">
        <f t="shared" si="58"/>
        <v>0.68702220130021696</v>
      </c>
      <c r="AT233" s="22">
        <f t="shared" si="58"/>
        <v>0.68736326289459471</v>
      </c>
      <c r="AU233" s="22">
        <f t="shared" si="58"/>
        <v>0.6877413643362339</v>
      </c>
      <c r="AV233" s="22">
        <f t="shared" si="58"/>
        <v>0.68816256622367178</v>
      </c>
      <c r="AW233" s="22">
        <f t="shared" si="58"/>
        <v>0.68862253257879269</v>
      </c>
      <c r="AY233" s="79"/>
    </row>
    <row r="234" spans="1:51" x14ac:dyDescent="0.2">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0.72463138273575967</v>
      </c>
      <c r="O234" s="22">
        <f t="shared" si="58"/>
        <v>0.72832072886952293</v>
      </c>
      <c r="P234" s="22">
        <f t="shared" si="58"/>
        <v>0.7325443847928953</v>
      </c>
      <c r="Q234" s="22">
        <f t="shared" si="58"/>
        <v>0.73708994755228407</v>
      </c>
      <c r="R234" s="22">
        <f t="shared" si="58"/>
        <v>0.74193942345928476</v>
      </c>
      <c r="S234" s="22">
        <f t="shared" si="58"/>
        <v>0.74639464232983788</v>
      </c>
      <c r="T234" s="22">
        <f t="shared" si="58"/>
        <v>0.74856351716878611</v>
      </c>
      <c r="U234" s="22">
        <f t="shared" ref="L234:AW240" si="59">U1490</f>
        <v>0.7508946920259173</v>
      </c>
      <c r="V234" s="22">
        <f t="shared" si="59"/>
        <v>0.75341667510432941</v>
      </c>
      <c r="W234" s="22">
        <f t="shared" si="59"/>
        <v>0.75615715708667941</v>
      </c>
      <c r="X234" s="22">
        <f t="shared" si="59"/>
        <v>0.75906737547896641</v>
      </c>
      <c r="Y234" s="22">
        <f t="shared" si="59"/>
        <v>0.76088672130758961</v>
      </c>
      <c r="Z234" s="22">
        <f t="shared" si="59"/>
        <v>0.76285477171358229</v>
      </c>
      <c r="AA234" s="22">
        <f t="shared" si="59"/>
        <v>0.76495995173574494</v>
      </c>
      <c r="AB234" s="22">
        <f t="shared" si="59"/>
        <v>0.76724835481418519</v>
      </c>
      <c r="AC234" s="22">
        <f t="shared" si="59"/>
        <v>0.76966726525164153</v>
      </c>
      <c r="AD234" s="22">
        <f t="shared" si="59"/>
        <v>0.77123981630413885</v>
      </c>
      <c r="AE234" s="22">
        <f t="shared" si="59"/>
        <v>0.7729717745117366</v>
      </c>
      <c r="AF234" s="22">
        <f t="shared" si="59"/>
        <v>0.77483635735979484</v>
      </c>
      <c r="AG234" s="22">
        <f t="shared" si="59"/>
        <v>0.77685363069924696</v>
      </c>
      <c r="AH234" s="22">
        <f t="shared" si="59"/>
        <v>0.7789061253482048</v>
      </c>
      <c r="AI234" s="22">
        <f t="shared" si="59"/>
        <v>0.78012107515728923</v>
      </c>
      <c r="AJ234" s="22">
        <f t="shared" si="59"/>
        <v>0.78145074369480261</v>
      </c>
      <c r="AK234" s="22">
        <f t="shared" si="59"/>
        <v>0.7828593435343304</v>
      </c>
      <c r="AL234" s="22">
        <f t="shared" si="59"/>
        <v>0.78436534735883467</v>
      </c>
      <c r="AM234" s="22">
        <f t="shared" si="59"/>
        <v>0.78595438278227181</v>
      </c>
      <c r="AN234" s="22">
        <f t="shared" si="59"/>
        <v>0.78680169998206073</v>
      </c>
      <c r="AO234" s="22">
        <f t="shared" si="59"/>
        <v>0.78771028208261162</v>
      </c>
      <c r="AP234" s="22">
        <f t="shared" si="59"/>
        <v>0.78869414542587013</v>
      </c>
      <c r="AQ234" s="22">
        <f t="shared" si="59"/>
        <v>0.78975510213576938</v>
      </c>
      <c r="AR234" s="22">
        <f t="shared" si="59"/>
        <v>0.79089245177101786</v>
      </c>
      <c r="AS234" s="22">
        <f t="shared" si="59"/>
        <v>0.79127935129009708</v>
      </c>
      <c r="AT234" s="22">
        <f t="shared" si="59"/>
        <v>0.7916151974997605</v>
      </c>
      <c r="AU234" s="22">
        <f t="shared" si="59"/>
        <v>0.79200195212614188</v>
      </c>
      <c r="AV234" s="22">
        <f t="shared" si="59"/>
        <v>0.79244958629193585</v>
      </c>
      <c r="AW234" s="22">
        <f t="shared" si="59"/>
        <v>0.79295116872451854</v>
      </c>
      <c r="AY234" s="79"/>
    </row>
    <row r="235" spans="1:51" x14ac:dyDescent="0.2">
      <c r="A235" s="95" t="str">
        <f t="shared" si="45"/>
        <v>FA U&amp;D</v>
      </c>
      <c r="B235" s="95" t="s">
        <v>962</v>
      </c>
      <c r="C235" s="95" t="s">
        <v>1336</v>
      </c>
      <c r="D235" t="s">
        <v>369</v>
      </c>
      <c r="E235" t="s">
        <v>55</v>
      </c>
      <c r="F235" t="s">
        <v>422</v>
      </c>
      <c r="G235" t="s">
        <v>1170</v>
      </c>
      <c r="H235" t="s">
        <v>1249</v>
      </c>
      <c r="I235" t="s">
        <v>139</v>
      </c>
      <c r="J235" t="s">
        <v>287</v>
      </c>
      <c r="K235" s="22">
        <f t="shared" si="55"/>
        <v>1.1867254191644501</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1.2198688909683482</v>
      </c>
      <c r="R235" s="22">
        <f t="shared" si="59"/>
        <v>1.2278946750888551</v>
      </c>
      <c r="S235" s="22">
        <f t="shared" si="59"/>
        <v>1.2352679718224364</v>
      </c>
      <c r="T235" s="22">
        <f t="shared" si="59"/>
        <v>1.2388574156253576</v>
      </c>
      <c r="U235" s="22">
        <f t="shared" si="59"/>
        <v>1.2427154626616324</v>
      </c>
      <c r="V235" s="22">
        <f t="shared" si="59"/>
        <v>1.2468892934283116</v>
      </c>
      <c r="W235" s="22">
        <f t="shared" si="59"/>
        <v>1.2514247354427215</v>
      </c>
      <c r="X235" s="22">
        <f t="shared" si="59"/>
        <v>1.2562410877677852</v>
      </c>
      <c r="Y235" s="22">
        <f t="shared" si="59"/>
        <v>1.2592520681584702</v>
      </c>
      <c r="Z235" s="22">
        <f t="shared" si="59"/>
        <v>1.2625091516041205</v>
      </c>
      <c r="AA235" s="22">
        <f t="shared" si="59"/>
        <v>1.2659931817790702</v>
      </c>
      <c r="AB235" s="22">
        <f t="shared" si="59"/>
        <v>1.2697804423904187</v>
      </c>
      <c r="AC235" s="22">
        <f t="shared" si="59"/>
        <v>1.2737836900299913</v>
      </c>
      <c r="AD235" s="22">
        <f t="shared" si="59"/>
        <v>1.2763862300792366</v>
      </c>
      <c r="AE235" s="22">
        <f t="shared" si="59"/>
        <v>1.2792525857321959</v>
      </c>
      <c r="AF235" s="22">
        <f t="shared" si="59"/>
        <v>1.2823384324711629</v>
      </c>
      <c r="AG235" s="22">
        <f t="shared" si="59"/>
        <v>1.2856769788718418</v>
      </c>
      <c r="AH235" s="22">
        <f t="shared" si="59"/>
        <v>1.2890738158243156</v>
      </c>
      <c r="AI235" s="22">
        <f t="shared" si="59"/>
        <v>1.2910845330795322</v>
      </c>
      <c r="AJ235" s="22">
        <f t="shared" si="59"/>
        <v>1.2932851075000604</v>
      </c>
      <c r="AK235" s="22">
        <f t="shared" si="59"/>
        <v>1.2956163116221209</v>
      </c>
      <c r="AL235" s="22">
        <f t="shared" si="59"/>
        <v>1.2981087173607861</v>
      </c>
      <c r="AM235" s="22">
        <f t="shared" si="59"/>
        <v>1.3007385387090959</v>
      </c>
      <c r="AN235" s="22">
        <f t="shared" si="59"/>
        <v>1.3021408314635115</v>
      </c>
      <c r="AO235" s="22">
        <f t="shared" si="59"/>
        <v>1.303644516384237</v>
      </c>
      <c r="AP235" s="22">
        <f t="shared" si="59"/>
        <v>1.3052727902324839</v>
      </c>
      <c r="AQ235" s="22">
        <f t="shared" si="59"/>
        <v>1.3070286520365533</v>
      </c>
      <c r="AR235" s="22">
        <f t="shared" si="59"/>
        <v>1.308910942580334</v>
      </c>
      <c r="AS235" s="22">
        <f t="shared" si="59"/>
        <v>1.3095512534254661</v>
      </c>
      <c r="AT235" s="22">
        <f t="shared" si="59"/>
        <v>1.3101070720805417</v>
      </c>
      <c r="AU235" s="22">
        <f t="shared" si="59"/>
        <v>1.310747143131201</v>
      </c>
      <c r="AV235" s="22">
        <f t="shared" si="59"/>
        <v>1.3114879685829661</v>
      </c>
      <c r="AW235" s="22">
        <f t="shared" si="59"/>
        <v>1.312318077320435</v>
      </c>
      <c r="AY235" s="79"/>
    </row>
    <row r="236" spans="1:51" x14ac:dyDescent="0.2">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0.19368291106027899</v>
      </c>
      <c r="P236" s="22">
        <f t="shared" si="59"/>
        <v>0.19253602379697463</v>
      </c>
      <c r="Q236" s="22">
        <f t="shared" si="59"/>
        <v>0.19190012409058904</v>
      </c>
      <c r="R236" s="22">
        <f t="shared" si="59"/>
        <v>0.19132863754616405</v>
      </c>
      <c r="S236" s="22">
        <f t="shared" si="59"/>
        <v>0.18119977029128689</v>
      </c>
      <c r="T236" s="22">
        <f t="shared" si="59"/>
        <v>0.18372263045933149</v>
      </c>
      <c r="U236" s="22">
        <f t="shared" si="59"/>
        <v>0.18542569851972082</v>
      </c>
      <c r="V236" s="22">
        <f t="shared" si="59"/>
        <v>0.18690586811212617</v>
      </c>
      <c r="W236" s="22">
        <f t="shared" si="59"/>
        <v>0.18871846813186952</v>
      </c>
      <c r="X236" s="22">
        <f t="shared" si="59"/>
        <v>0.19032856308746704</v>
      </c>
      <c r="Y236" s="22">
        <f t="shared" si="59"/>
        <v>0.19181155412665482</v>
      </c>
      <c r="Z236" s="22">
        <f t="shared" si="59"/>
        <v>0.19316694252651395</v>
      </c>
      <c r="AA236" s="22">
        <f t="shared" si="59"/>
        <v>0.19434817692528195</v>
      </c>
      <c r="AB236" s="22">
        <f t="shared" si="59"/>
        <v>0.19609130445368728</v>
      </c>
      <c r="AC236" s="22">
        <f t="shared" si="59"/>
        <v>0.19775823400143536</v>
      </c>
      <c r="AD236" s="22">
        <f t="shared" si="59"/>
        <v>0.19979376823512379</v>
      </c>
      <c r="AE236" s="22">
        <f t="shared" si="59"/>
        <v>0.2023779928594536</v>
      </c>
      <c r="AF236" s="22">
        <f t="shared" si="59"/>
        <v>0.20521413875451175</v>
      </c>
      <c r="AG236" s="22">
        <f t="shared" si="59"/>
        <v>0.20863865671050874</v>
      </c>
      <c r="AH236" s="22">
        <f t="shared" si="59"/>
        <v>0.21111219620408483</v>
      </c>
      <c r="AI236" s="22">
        <f t="shared" si="59"/>
        <v>0.21359919528074695</v>
      </c>
      <c r="AJ236" s="22">
        <f t="shared" si="59"/>
        <v>0.21637994777249434</v>
      </c>
      <c r="AK236" s="22">
        <f t="shared" si="59"/>
        <v>0.21901936705190489</v>
      </c>
      <c r="AL236" s="22">
        <f t="shared" si="59"/>
        <v>0.22181322909338433</v>
      </c>
      <c r="AM236" s="22">
        <f t="shared" si="59"/>
        <v>0.22460946011468219</v>
      </c>
      <c r="AN236" s="22">
        <f t="shared" si="59"/>
        <v>0.22803030127957039</v>
      </c>
      <c r="AO236" s="22">
        <f t="shared" si="59"/>
        <v>0.23127378160095582</v>
      </c>
      <c r="AP236" s="22">
        <f t="shared" si="59"/>
        <v>0.23456525375289961</v>
      </c>
      <c r="AQ236" s="22">
        <f t="shared" si="59"/>
        <v>0.23796293573474386</v>
      </c>
      <c r="AR236" s="22">
        <f t="shared" si="59"/>
        <v>0.24148877503172564</v>
      </c>
      <c r="AS236" s="22">
        <f t="shared" si="59"/>
        <v>0.24576012405635958</v>
      </c>
      <c r="AT236" s="22">
        <f t="shared" si="59"/>
        <v>0.24853256796744563</v>
      </c>
      <c r="AU236" s="22">
        <f t="shared" si="59"/>
        <v>0.25120157665253162</v>
      </c>
      <c r="AV236" s="22">
        <f t="shared" si="59"/>
        <v>0.25392762754999298</v>
      </c>
      <c r="AW236" s="22">
        <f t="shared" si="59"/>
        <v>0.25664306300563272</v>
      </c>
      <c r="AY236" s="79"/>
    </row>
    <row r="237" spans="1:51" x14ac:dyDescent="0.2">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2">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2">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2">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2">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2">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2">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2">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2">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2">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2">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2">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2">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2">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2">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2">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2">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2">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0.66038869625937391</v>
      </c>
      <c r="U254" s="22">
        <f t="shared" si="61"/>
        <v>0.66020342469478921</v>
      </c>
      <c r="V254" s="22">
        <f t="shared" si="61"/>
        <v>0.66005840725031206</v>
      </c>
      <c r="W254" s="22">
        <f t="shared" si="61"/>
        <v>0.65992416571177226</v>
      </c>
      <c r="X254" s="22">
        <f t="shared" si="61"/>
        <v>0.65977411232427086</v>
      </c>
      <c r="Y254" s="22">
        <f t="shared" si="61"/>
        <v>0.65963380636148372</v>
      </c>
      <c r="Z254" s="22">
        <f t="shared" ref="L254:AW261" si="62">Z1510</f>
        <v>0.65950885900535394</v>
      </c>
      <c r="AA254" s="22">
        <f t="shared" si="62"/>
        <v>0.65938996649107751</v>
      </c>
      <c r="AB254" s="22">
        <f t="shared" si="62"/>
        <v>0.65927919026350434</v>
      </c>
      <c r="AC254" s="22">
        <f t="shared" si="62"/>
        <v>0.65914248070564796</v>
      </c>
      <c r="AD254" s="22">
        <f t="shared" si="62"/>
        <v>0.65900953819081531</v>
      </c>
      <c r="AE254" s="22">
        <f t="shared" si="62"/>
        <v>0.65886770470789013</v>
      </c>
      <c r="AF254" s="22">
        <f t="shared" si="62"/>
        <v>0.65870194021035933</v>
      </c>
      <c r="AG254" s="22">
        <f t="shared" si="62"/>
        <v>0.65852622329414567</v>
      </c>
      <c r="AH254" s="22">
        <f t="shared" si="62"/>
        <v>0.65832642389355089</v>
      </c>
      <c r="AI254" s="22">
        <f t="shared" si="62"/>
        <v>0.6581693318477011</v>
      </c>
      <c r="AJ254" s="22">
        <f t="shared" si="62"/>
        <v>0.65801985919199812</v>
      </c>
      <c r="AK254" s="22">
        <f t="shared" si="62"/>
        <v>0.65785915117586091</v>
      </c>
      <c r="AL254" s="22">
        <f t="shared" si="62"/>
        <v>0.65770555695996225</v>
      </c>
      <c r="AM254" s="22">
        <f t="shared" si="62"/>
        <v>0.65754680730045456</v>
      </c>
      <c r="AN254" s="22">
        <f t="shared" si="62"/>
        <v>0.65738921443316178</v>
      </c>
      <c r="AO254" s="22">
        <f t="shared" si="62"/>
        <v>0.65721499435540864</v>
      </c>
      <c r="AP254" s="22">
        <f t="shared" si="62"/>
        <v>0.65704963238558323</v>
      </c>
      <c r="AQ254" s="22">
        <f t="shared" si="62"/>
        <v>0.65688413494168396</v>
      </c>
      <c r="AR254" s="22">
        <f t="shared" si="62"/>
        <v>0.65671634182939487</v>
      </c>
      <c r="AS254" s="22">
        <f t="shared" si="62"/>
        <v>0.65654557216665388</v>
      </c>
      <c r="AT254" s="22">
        <f t="shared" si="62"/>
        <v>0.65635649622881898</v>
      </c>
      <c r="AU254" s="22">
        <f t="shared" si="62"/>
        <v>0.65622389108641888</v>
      </c>
      <c r="AV254" s="22">
        <f t="shared" si="62"/>
        <v>0.65609603440705455</v>
      </c>
      <c r="AW254" s="22">
        <f t="shared" si="62"/>
        <v>0.65596714127254918</v>
      </c>
      <c r="AY254" s="79"/>
    </row>
    <row r="255" spans="1:51" x14ac:dyDescent="0.2">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8.7171307906237401E-3</v>
      </c>
      <c r="U255" s="22">
        <f t="shared" si="62"/>
        <v>8.714685205971219E-3</v>
      </c>
      <c r="V255" s="22">
        <f t="shared" si="62"/>
        <v>8.7127709757041216E-3</v>
      </c>
      <c r="W255" s="22">
        <f t="shared" si="62"/>
        <v>8.7109989873953957E-3</v>
      </c>
      <c r="X255" s="22">
        <f t="shared" si="62"/>
        <v>8.7090182826803763E-3</v>
      </c>
      <c r="Y255" s="22">
        <f t="shared" si="62"/>
        <v>8.7071662439715883E-3</v>
      </c>
      <c r="Z255" s="22">
        <f t="shared" si="62"/>
        <v>8.7055169388706739E-3</v>
      </c>
      <c r="AA255" s="22">
        <f t="shared" si="62"/>
        <v>8.7039475576822217E-3</v>
      </c>
      <c r="AB255" s="22">
        <f t="shared" si="62"/>
        <v>8.7024853114782592E-3</v>
      </c>
      <c r="AC255" s="22">
        <f t="shared" si="62"/>
        <v>8.7006807453145554E-3</v>
      </c>
      <c r="AD255" s="22">
        <f t="shared" si="62"/>
        <v>8.6989259041187622E-3</v>
      </c>
      <c r="AE255" s="22">
        <f t="shared" si="62"/>
        <v>8.6970537021441498E-3</v>
      </c>
      <c r="AF255" s="22">
        <f t="shared" si="62"/>
        <v>8.6948656107767464E-3</v>
      </c>
      <c r="AG255" s="22">
        <f t="shared" si="62"/>
        <v>8.6925461474827246E-3</v>
      </c>
      <c r="AH255" s="22">
        <f t="shared" si="62"/>
        <v>8.6899087953948712E-3</v>
      </c>
      <c r="AI255" s="22">
        <f t="shared" si="62"/>
        <v>8.6878351803896525E-3</v>
      </c>
      <c r="AJ255" s="22">
        <f t="shared" si="62"/>
        <v>8.685862141334379E-3</v>
      </c>
      <c r="AK255" s="22">
        <f t="shared" si="62"/>
        <v>8.6837407955213629E-3</v>
      </c>
      <c r="AL255" s="22">
        <f t="shared" si="62"/>
        <v>8.681713351871503E-3</v>
      </c>
      <c r="AM255" s="22">
        <f t="shared" si="62"/>
        <v>8.679617856366003E-3</v>
      </c>
      <c r="AN255" s="22">
        <f t="shared" si="62"/>
        <v>8.677537630517736E-3</v>
      </c>
      <c r="AO255" s="22">
        <f t="shared" si="62"/>
        <v>8.6752379254913976E-3</v>
      </c>
      <c r="AP255" s="22">
        <f t="shared" si="62"/>
        <v>8.6730551474897017E-3</v>
      </c>
      <c r="AQ255" s="22">
        <f t="shared" si="62"/>
        <v>8.6708705812302295E-3</v>
      </c>
      <c r="AR255" s="22">
        <f t="shared" si="62"/>
        <v>8.6686557121480167E-3</v>
      </c>
      <c r="AS255" s="22">
        <f t="shared" si="62"/>
        <v>8.6664015525998329E-3</v>
      </c>
      <c r="AT255" s="22">
        <f t="shared" si="62"/>
        <v>8.6639057502204114E-3</v>
      </c>
      <c r="AU255" s="22">
        <f t="shared" si="62"/>
        <v>8.6621553623407298E-3</v>
      </c>
      <c r="AV255" s="22">
        <f t="shared" si="62"/>
        <v>8.66046765417312E-3</v>
      </c>
      <c r="AW255" s="22">
        <f t="shared" si="62"/>
        <v>8.6587662647976526E-3</v>
      </c>
      <c r="AY255" s="79"/>
    </row>
    <row r="256" spans="1:51" x14ac:dyDescent="0.2">
      <c r="A256" s="95" t="str">
        <f t="shared" si="45"/>
        <v>FA Volatilisation</v>
      </c>
      <c r="B256" s="95" t="s">
        <v>962</v>
      </c>
      <c r="C256" s="95" t="s">
        <v>62</v>
      </c>
      <c r="D256" t="s">
        <v>369</v>
      </c>
      <c r="E256" t="s">
        <v>61</v>
      </c>
      <c r="F256" t="s">
        <v>62</v>
      </c>
      <c r="G256" t="s">
        <v>437</v>
      </c>
      <c r="H256" t="s">
        <v>1186</v>
      </c>
      <c r="I256" t="s">
        <v>139</v>
      </c>
      <c r="J256" t="s">
        <v>287</v>
      </c>
      <c r="K256" s="22">
        <f t="shared" si="55"/>
        <v>1.2008407282256135</v>
      </c>
      <c r="L256" s="22">
        <f t="shared" si="62"/>
        <v>1.2019035107607596</v>
      </c>
      <c r="M256" s="22">
        <f t="shared" si="62"/>
        <v>1.2088775122881088</v>
      </c>
      <c r="N256" s="22">
        <f t="shared" si="62"/>
        <v>1.2055442230548155</v>
      </c>
      <c r="O256" s="22">
        <f t="shared" si="62"/>
        <v>1.1958435838326282</v>
      </c>
      <c r="P256" s="22">
        <f t="shared" si="62"/>
        <v>1.1799964998501222</v>
      </c>
      <c r="Q256" s="22">
        <f t="shared" si="62"/>
        <v>1.169776622170569</v>
      </c>
      <c r="R256" s="22">
        <f t="shared" si="62"/>
        <v>1.1606871439933113</v>
      </c>
      <c r="S256" s="22">
        <f t="shared" si="62"/>
        <v>1.0581466820913914</v>
      </c>
      <c r="T256" s="22">
        <f t="shared" si="62"/>
        <v>1.0811007370653605</v>
      </c>
      <c r="U256" s="22">
        <f t="shared" si="62"/>
        <v>1.0962373736212656</v>
      </c>
      <c r="V256" s="22">
        <f t="shared" si="62"/>
        <v>1.1094295908986627</v>
      </c>
      <c r="W256" s="22">
        <f t="shared" si="62"/>
        <v>1.1260819451253103</v>
      </c>
      <c r="X256" s="22">
        <f t="shared" si="62"/>
        <v>1.1409777774824073</v>
      </c>
      <c r="Y256" s="22">
        <f t="shared" si="62"/>
        <v>1.1529726027889684</v>
      </c>
      <c r="Z256" s="22">
        <f t="shared" si="62"/>
        <v>1.1639042106537316</v>
      </c>
      <c r="AA256" s="22">
        <f t="shared" si="62"/>
        <v>1.1733291691179792</v>
      </c>
      <c r="AB256" s="22">
        <f t="shared" si="62"/>
        <v>1.1883113875074136</v>
      </c>
      <c r="AC256" s="22">
        <f t="shared" si="62"/>
        <v>1.2027019182394856</v>
      </c>
      <c r="AD256" s="22">
        <f t="shared" si="62"/>
        <v>1.2149899149490335</v>
      </c>
      <c r="AE256" s="22">
        <f t="shared" si="62"/>
        <v>1.2323877476985694</v>
      </c>
      <c r="AF256" s="22">
        <f t="shared" si="62"/>
        <v>1.2520054927946573</v>
      </c>
      <c r="AG256" s="22">
        <f t="shared" si="62"/>
        <v>1.2769207481959246</v>
      </c>
      <c r="AH256" s="22">
        <f t="shared" si="62"/>
        <v>1.2928179151571899</v>
      </c>
      <c r="AI256" s="22">
        <f t="shared" si="62"/>
        <v>1.3071721599558817</v>
      </c>
      <c r="AJ256" s="22">
        <f t="shared" si="62"/>
        <v>1.3240396401072183</v>
      </c>
      <c r="AK256" s="22">
        <f t="shared" si="62"/>
        <v>1.3394377409062461</v>
      </c>
      <c r="AL256" s="22">
        <f t="shared" si="62"/>
        <v>1.3560429960988876</v>
      </c>
      <c r="AM256" s="22">
        <f t="shared" si="62"/>
        <v>1.3724754415260532</v>
      </c>
      <c r="AN256" s="22">
        <f t="shared" si="62"/>
        <v>1.3952859972976908</v>
      </c>
      <c r="AO256" s="22">
        <f t="shared" si="62"/>
        <v>1.4163366526625445</v>
      </c>
      <c r="AP256" s="22">
        <f t="shared" si="62"/>
        <v>1.4376236961609334</v>
      </c>
      <c r="AQ256" s="22">
        <f t="shared" si="62"/>
        <v>1.4596469584782656</v>
      </c>
      <c r="AR256" s="22">
        <f t="shared" si="62"/>
        <v>1.4825821629092799</v>
      </c>
      <c r="AS256" s="22">
        <f t="shared" si="62"/>
        <v>1.5100637913409878</v>
      </c>
      <c r="AT256" s="22">
        <f t="shared" si="62"/>
        <v>1.5244988187348365</v>
      </c>
      <c r="AU256" s="22">
        <f t="shared" si="62"/>
        <v>1.5379134396371121</v>
      </c>
      <c r="AV256" s="22">
        <f t="shared" si="62"/>
        <v>1.5516700859590873</v>
      </c>
      <c r="AW256" s="22">
        <f t="shared" si="62"/>
        <v>1.5651983516984527</v>
      </c>
      <c r="AY256" s="79"/>
    </row>
    <row r="257" spans="1:51" x14ac:dyDescent="0.2">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4.3473821211305586</v>
      </c>
      <c r="O257" s="22">
        <f t="shared" si="62"/>
        <v>4.3052096453824609</v>
      </c>
      <c r="P257" s="22">
        <f t="shared" si="62"/>
        <v>4.2496956169043703</v>
      </c>
      <c r="Q257" s="22">
        <f t="shared" si="62"/>
        <v>4.2083609134426787</v>
      </c>
      <c r="R257" s="22">
        <f t="shared" si="62"/>
        <v>4.1703852155628214</v>
      </c>
      <c r="S257" s="22">
        <f t="shared" si="62"/>
        <v>3.918985241839104</v>
      </c>
      <c r="T257" s="22">
        <f t="shared" si="62"/>
        <v>3.962647023266995</v>
      </c>
      <c r="U257" s="22">
        <f t="shared" si="62"/>
        <v>3.988397466462279</v>
      </c>
      <c r="V257" s="22">
        <f t="shared" si="62"/>
        <v>4.0097420759989726</v>
      </c>
      <c r="W257" s="22">
        <f t="shared" si="62"/>
        <v>4.0388232265836717</v>
      </c>
      <c r="X257" s="22">
        <f t="shared" si="62"/>
        <v>4.063881936096621</v>
      </c>
      <c r="Y257" s="22">
        <f t="shared" si="62"/>
        <v>4.0803176241982966</v>
      </c>
      <c r="Z257" s="22">
        <f t="shared" si="62"/>
        <v>4.0943719762440898</v>
      </c>
      <c r="AA257" s="22">
        <f t="shared" si="62"/>
        <v>4.1051027315234014</v>
      </c>
      <c r="AB257" s="22">
        <f t="shared" si="62"/>
        <v>4.1278786035109292</v>
      </c>
      <c r="AC257" s="22">
        <f t="shared" si="62"/>
        <v>4.149204796729399</v>
      </c>
      <c r="AD257" s="22">
        <f t="shared" si="62"/>
        <v>4.1548667718492807</v>
      </c>
      <c r="AE257" s="22">
        <f t="shared" si="62"/>
        <v>4.1707310137254909</v>
      </c>
      <c r="AF257" s="22">
        <f t="shared" si="62"/>
        <v>4.1903910179403239</v>
      </c>
      <c r="AG257" s="22">
        <f t="shared" si="62"/>
        <v>4.2200248954303605</v>
      </c>
      <c r="AH257" s="22">
        <f t="shared" si="62"/>
        <v>4.2299973767021726</v>
      </c>
      <c r="AI257" s="22">
        <f t="shared" si="62"/>
        <v>4.2344058167490939</v>
      </c>
      <c r="AJ257" s="22">
        <f t="shared" si="62"/>
        <v>4.2430165616646569</v>
      </c>
      <c r="AK257" s="22">
        <f t="shared" si="62"/>
        <v>4.2477733537700137</v>
      </c>
      <c r="AL257" s="22">
        <f t="shared" si="62"/>
        <v>4.2539691533655395</v>
      </c>
      <c r="AM257" s="22">
        <f t="shared" si="62"/>
        <v>4.2588371425380025</v>
      </c>
      <c r="AN257" s="22">
        <f t="shared" si="62"/>
        <v>4.2797220284315198</v>
      </c>
      <c r="AO257" s="22">
        <f t="shared" si="62"/>
        <v>4.2963498578029604</v>
      </c>
      <c r="AP257" s="22">
        <f t="shared" si="62"/>
        <v>4.3125285701488281</v>
      </c>
      <c r="AQ257" s="22">
        <f t="shared" si="62"/>
        <v>4.3291488784909324</v>
      </c>
      <c r="AR257" s="22">
        <f t="shared" si="62"/>
        <v>4.3464700481298193</v>
      </c>
      <c r="AS257" s="22">
        <f t="shared" si="62"/>
        <v>4.3694873280939213</v>
      </c>
      <c r="AT257" s="22">
        <f t="shared" si="62"/>
        <v>4.3680189479011426</v>
      </c>
      <c r="AU257" s="22">
        <f t="shared" si="62"/>
        <v>4.3640461344633534</v>
      </c>
      <c r="AV257" s="22">
        <f t="shared" si="62"/>
        <v>4.3599917873846739</v>
      </c>
      <c r="AW257" s="22">
        <f t="shared" si="62"/>
        <v>4.3548399908669477</v>
      </c>
      <c r="AY257" s="79"/>
    </row>
    <row r="258" spans="1:51" x14ac:dyDescent="0.2">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2.27834100209484E-4</v>
      </c>
      <c r="U258" s="22">
        <f t="shared" si="62"/>
        <v>2.2777018151970223E-4</v>
      </c>
      <c r="V258" s="22">
        <f t="shared" si="62"/>
        <v>2.2772015050135763E-4</v>
      </c>
      <c r="W258" s="22">
        <f t="shared" si="62"/>
        <v>2.276738371705614E-4</v>
      </c>
      <c r="X258" s="22">
        <f t="shared" si="62"/>
        <v>2.2762206875187344E-4</v>
      </c>
      <c r="Y258" s="22">
        <f t="shared" si="62"/>
        <v>2.2757366319471181E-4</v>
      </c>
      <c r="Z258" s="22">
        <f t="shared" si="62"/>
        <v>2.2753055635684708E-4</v>
      </c>
      <c r="AA258" s="22">
        <f t="shared" si="62"/>
        <v>2.2748953843942165E-4</v>
      </c>
      <c r="AB258" s="22">
        <f t="shared" si="62"/>
        <v>2.2745132064090905E-4</v>
      </c>
      <c r="AC258" s="22">
        <f t="shared" si="62"/>
        <v>2.2740415584344853E-4</v>
      </c>
      <c r="AD258" s="22">
        <f t="shared" si="62"/>
        <v>2.2735829067583124E-4</v>
      </c>
      <c r="AE258" s="22">
        <f t="shared" si="62"/>
        <v>2.2730935812422204E-4</v>
      </c>
      <c r="AF258" s="22">
        <f t="shared" si="62"/>
        <v>2.2725216937257396E-4</v>
      </c>
      <c r="AG258" s="22">
        <f t="shared" si="62"/>
        <v>2.2719154703648017E-4</v>
      </c>
      <c r="AH258" s="22">
        <f t="shared" si="62"/>
        <v>2.2712261624327501E-4</v>
      </c>
      <c r="AI258" s="22">
        <f t="shared" si="62"/>
        <v>2.2706841948745679E-4</v>
      </c>
      <c r="AJ258" s="22">
        <f t="shared" si="62"/>
        <v>2.2701685142123931E-4</v>
      </c>
      <c r="AK258" s="22">
        <f t="shared" si="62"/>
        <v>2.26961407155672E-4</v>
      </c>
      <c r="AL258" s="22">
        <f t="shared" si="62"/>
        <v>2.2690841715118691E-4</v>
      </c>
      <c r="AM258" s="22">
        <f t="shared" si="62"/>
        <v>2.268536485186568E-4</v>
      </c>
      <c r="AN258" s="22">
        <f t="shared" si="62"/>
        <v>2.267992789794407E-4</v>
      </c>
      <c r="AO258" s="22">
        <f t="shared" si="62"/>
        <v>2.2673917305261599E-4</v>
      </c>
      <c r="AP258" s="22">
        <f t="shared" si="62"/>
        <v>2.2668212317302622E-4</v>
      </c>
      <c r="AQ258" s="22">
        <f t="shared" si="62"/>
        <v>2.2662502655488093E-4</v>
      </c>
      <c r="AR258" s="22">
        <f t="shared" si="62"/>
        <v>2.2656713793114123E-4</v>
      </c>
      <c r="AS258" s="22">
        <f t="shared" si="62"/>
        <v>2.2650822239749554E-4</v>
      </c>
      <c r="AT258" s="22">
        <f t="shared" si="62"/>
        <v>2.2644299119894249E-4</v>
      </c>
      <c r="AU258" s="22">
        <f t="shared" si="62"/>
        <v>2.2639724242481442E-4</v>
      </c>
      <c r="AV258" s="22">
        <f t="shared" si="62"/>
        <v>2.2635313187043375E-4</v>
      </c>
      <c r="AW258" s="22">
        <f t="shared" si="62"/>
        <v>2.2630866373902947E-4</v>
      </c>
      <c r="AY258" s="79"/>
    </row>
    <row r="259" spans="1:51" x14ac:dyDescent="0.2">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1.5037050613825948E-6</v>
      </c>
      <c r="U259" s="22">
        <f t="shared" si="62"/>
        <v>1.5032831980300348E-6</v>
      </c>
      <c r="V259" s="22">
        <f t="shared" si="62"/>
        <v>1.5029529933089607E-6</v>
      </c>
      <c r="W259" s="22">
        <f t="shared" si="62"/>
        <v>1.5026473253257052E-6</v>
      </c>
      <c r="X259" s="22">
        <f t="shared" si="62"/>
        <v>1.5023056537623651E-6</v>
      </c>
      <c r="Y259" s="22">
        <f t="shared" si="62"/>
        <v>1.5019861770850986E-6</v>
      </c>
      <c r="Z259" s="22">
        <f t="shared" si="62"/>
        <v>1.501701671955191E-6</v>
      </c>
      <c r="AA259" s="22">
        <f t="shared" si="62"/>
        <v>1.5014309537001836E-6</v>
      </c>
      <c r="AB259" s="22">
        <f t="shared" si="62"/>
        <v>1.5011787162299995E-6</v>
      </c>
      <c r="AC259" s="22">
        <f t="shared" si="62"/>
        <v>1.5008674285667609E-6</v>
      </c>
      <c r="AD259" s="22">
        <f t="shared" si="62"/>
        <v>1.5005647184604863E-6</v>
      </c>
      <c r="AE259" s="22">
        <f t="shared" si="62"/>
        <v>1.5002417636198659E-6</v>
      </c>
      <c r="AF259" s="22">
        <f t="shared" si="62"/>
        <v>1.4998643178589887E-6</v>
      </c>
      <c r="AG259" s="22">
        <f t="shared" si="62"/>
        <v>1.4994642104407695E-6</v>
      </c>
      <c r="AH259" s="22">
        <f t="shared" si="62"/>
        <v>1.4990092672056151E-6</v>
      </c>
      <c r="AI259" s="22">
        <f t="shared" si="62"/>
        <v>1.4986515686172149E-6</v>
      </c>
      <c r="AJ259" s="22">
        <f t="shared" si="62"/>
        <v>1.49831121938018E-6</v>
      </c>
      <c r="AK259" s="22">
        <f t="shared" si="62"/>
        <v>1.4979452872274355E-6</v>
      </c>
      <c r="AL259" s="22">
        <f t="shared" si="62"/>
        <v>1.497595553197834E-6</v>
      </c>
      <c r="AM259" s="22">
        <f t="shared" si="62"/>
        <v>1.4972340802231352E-6</v>
      </c>
      <c r="AN259" s="22">
        <f t="shared" si="62"/>
        <v>1.4968752412643093E-6</v>
      </c>
      <c r="AO259" s="22">
        <f t="shared" si="62"/>
        <v>1.4964785421472656E-6</v>
      </c>
      <c r="AP259" s="22">
        <f t="shared" si="62"/>
        <v>1.4961020129419735E-6</v>
      </c>
      <c r="AQ259" s="22">
        <f t="shared" si="62"/>
        <v>1.4957251752622144E-6</v>
      </c>
      <c r="AR259" s="22">
        <f t="shared" si="62"/>
        <v>1.4953431103455323E-6</v>
      </c>
      <c r="AS259" s="22">
        <f t="shared" si="62"/>
        <v>1.4949542678234709E-6</v>
      </c>
      <c r="AT259" s="22">
        <f t="shared" si="62"/>
        <v>1.4945237419130207E-6</v>
      </c>
      <c r="AU259" s="22">
        <f t="shared" si="62"/>
        <v>1.4942218000037758E-6</v>
      </c>
      <c r="AV259" s="22">
        <f t="shared" si="62"/>
        <v>1.4939306703448634E-6</v>
      </c>
      <c r="AW259" s="22">
        <f t="shared" si="62"/>
        <v>1.4936371806775946E-6</v>
      </c>
      <c r="AY259" s="79"/>
    </row>
    <row r="260" spans="1:51" x14ac:dyDescent="0.2">
      <c r="A260" s="95" t="str">
        <f t="shared" si="45"/>
        <v>FA Leaching</v>
      </c>
      <c r="B260" s="95" t="s">
        <v>962</v>
      </c>
      <c r="C260" s="95" t="s">
        <v>1190</v>
      </c>
      <c r="D260" t="s">
        <v>369</v>
      </c>
      <c r="E260" t="s">
        <v>61</v>
      </c>
      <c r="F260" t="s">
        <v>63</v>
      </c>
      <c r="G260" t="s">
        <v>437</v>
      </c>
      <c r="H260" t="s">
        <v>1189</v>
      </c>
      <c r="I260" t="s">
        <v>139</v>
      </c>
      <c r="J260" t="s">
        <v>287</v>
      </c>
      <c r="K260" s="22">
        <f t="shared" si="55"/>
        <v>0.20714502561891829</v>
      </c>
      <c r="L260" s="22">
        <f t="shared" si="62"/>
        <v>0.20732835560623103</v>
      </c>
      <c r="M260" s="22">
        <f t="shared" si="62"/>
        <v>0.20853137086969875</v>
      </c>
      <c r="N260" s="22">
        <f t="shared" si="62"/>
        <v>0.20795637847695567</v>
      </c>
      <c r="O260" s="22">
        <f t="shared" si="62"/>
        <v>0.20628301821112838</v>
      </c>
      <c r="P260" s="22">
        <f t="shared" si="62"/>
        <v>0.20354939622414608</v>
      </c>
      <c r="Q260" s="22">
        <f t="shared" si="62"/>
        <v>0.20178646732442315</v>
      </c>
      <c r="R260" s="22">
        <f t="shared" si="62"/>
        <v>0.20021853233884618</v>
      </c>
      <c r="S260" s="22">
        <f t="shared" si="62"/>
        <v>0.182530302660765</v>
      </c>
      <c r="T260" s="22">
        <f t="shared" si="62"/>
        <v>0.18648987714377463</v>
      </c>
      <c r="U260" s="22">
        <f t="shared" si="62"/>
        <v>0.18910094694966831</v>
      </c>
      <c r="V260" s="22">
        <f t="shared" si="62"/>
        <v>0.19137660443001928</v>
      </c>
      <c r="W260" s="22">
        <f t="shared" si="62"/>
        <v>0.19424913553411605</v>
      </c>
      <c r="X260" s="22">
        <f t="shared" si="62"/>
        <v>0.19681866661571523</v>
      </c>
      <c r="Y260" s="22">
        <f t="shared" si="62"/>
        <v>0.198887773981097</v>
      </c>
      <c r="Z260" s="22">
        <f t="shared" si="62"/>
        <v>0.20077347633776868</v>
      </c>
      <c r="AA260" s="22">
        <f t="shared" si="62"/>
        <v>0.20239928167285137</v>
      </c>
      <c r="AB260" s="22">
        <f t="shared" si="62"/>
        <v>0.20498371434502882</v>
      </c>
      <c r="AC260" s="22">
        <f t="shared" si="62"/>
        <v>0.20746608089631127</v>
      </c>
      <c r="AD260" s="22">
        <f t="shared" si="62"/>
        <v>0.20958576032870826</v>
      </c>
      <c r="AE260" s="22">
        <f t="shared" si="62"/>
        <v>0.2125868864780032</v>
      </c>
      <c r="AF260" s="22">
        <f t="shared" si="62"/>
        <v>0.21597094750707838</v>
      </c>
      <c r="AG260" s="22">
        <f t="shared" si="62"/>
        <v>0.22026882906379694</v>
      </c>
      <c r="AH260" s="22">
        <f t="shared" si="62"/>
        <v>0.22301109036461528</v>
      </c>
      <c r="AI260" s="22">
        <f t="shared" si="62"/>
        <v>0.2254871975923895</v>
      </c>
      <c r="AJ260" s="22">
        <f t="shared" si="62"/>
        <v>0.22839683791849513</v>
      </c>
      <c r="AK260" s="22">
        <f t="shared" si="62"/>
        <v>0.23105301030632744</v>
      </c>
      <c r="AL260" s="22">
        <f t="shared" si="62"/>
        <v>0.23391741682705808</v>
      </c>
      <c r="AM260" s="22">
        <f t="shared" si="62"/>
        <v>0.23675201366324419</v>
      </c>
      <c r="AN260" s="22">
        <f t="shared" si="62"/>
        <v>0.24068683453385165</v>
      </c>
      <c r="AO260" s="22">
        <f t="shared" si="62"/>
        <v>0.24431807258428889</v>
      </c>
      <c r="AP260" s="22">
        <f t="shared" si="62"/>
        <v>0.247990087587761</v>
      </c>
      <c r="AQ260" s="22">
        <f t="shared" si="62"/>
        <v>0.25178910033750079</v>
      </c>
      <c r="AR260" s="22">
        <f t="shared" si="62"/>
        <v>0.25574542310185078</v>
      </c>
      <c r="AS260" s="22">
        <f t="shared" si="62"/>
        <v>0.26048600400632033</v>
      </c>
      <c r="AT260" s="22">
        <f t="shared" si="62"/>
        <v>0.2629760462317593</v>
      </c>
      <c r="AU260" s="22">
        <f t="shared" si="62"/>
        <v>0.26529006833740182</v>
      </c>
      <c r="AV260" s="22">
        <f t="shared" si="62"/>
        <v>0.26766308982794251</v>
      </c>
      <c r="AW260" s="22">
        <f t="shared" si="62"/>
        <v>0.26999671566798311</v>
      </c>
      <c r="AY260" s="79"/>
    </row>
    <row r="261" spans="1:51" x14ac:dyDescent="0.2">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2">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0.10241934435921343</v>
      </c>
      <c r="U262" s="22">
        <f t="shared" si="63"/>
        <v>0.10289653491421205</v>
      </c>
      <c r="V262" s="22">
        <f t="shared" si="63"/>
        <v>0.10327004584650011</v>
      </c>
      <c r="W262" s="22">
        <f t="shared" si="63"/>
        <v>0.10361580205805489</v>
      </c>
      <c r="X262" s="22">
        <f t="shared" si="63"/>
        <v>0.10400228370418145</v>
      </c>
      <c r="Y262" s="22">
        <f t="shared" si="63"/>
        <v>0.10436365961419813</v>
      </c>
      <c r="Z262" s="22">
        <f t="shared" si="63"/>
        <v>0.10468547747303018</v>
      </c>
      <c r="AA262" s="22">
        <f t="shared" si="63"/>
        <v>0.10499170031407964</v>
      </c>
      <c r="AB262" s="22">
        <f t="shared" si="63"/>
        <v>0.10527701862309623</v>
      </c>
      <c r="AC262" s="22">
        <f t="shared" si="63"/>
        <v>0.1056291315333171</v>
      </c>
      <c r="AD262" s="22">
        <f t="shared" si="63"/>
        <v>0.10597154194356044</v>
      </c>
      <c r="AE262" s="22">
        <f t="shared" si="63"/>
        <v>0.10633685217660206</v>
      </c>
      <c r="AF262" s="22">
        <f t="shared" si="63"/>
        <v>0.10676379979132655</v>
      </c>
      <c r="AG262" s="22">
        <f t="shared" si="63"/>
        <v>0.10721638113028523</v>
      </c>
      <c r="AH262" s="22">
        <f t="shared" si="63"/>
        <v>0.10773098998066055</v>
      </c>
      <c r="AI262" s="22">
        <f t="shared" si="63"/>
        <v>0.10813560058948724</v>
      </c>
      <c r="AJ262" s="22">
        <f t="shared" si="63"/>
        <v>0.10852058648676627</v>
      </c>
      <c r="AK262" s="22">
        <f t="shared" si="63"/>
        <v>0.10893451048846137</v>
      </c>
      <c r="AL262" s="22">
        <f t="shared" si="63"/>
        <v>0.10933011198993048</v>
      </c>
      <c r="AM262" s="22">
        <f t="shared" si="63"/>
        <v>0.10973899199424218</v>
      </c>
      <c r="AN262" s="22">
        <f t="shared" si="63"/>
        <v>0.11014489253259981</v>
      </c>
      <c r="AO262" s="22">
        <f t="shared" si="63"/>
        <v>0.11059361857310758</v>
      </c>
      <c r="AP262" s="22">
        <f t="shared" si="63"/>
        <v>0.11101952942636521</v>
      </c>
      <c r="AQ262" s="22">
        <f t="shared" si="63"/>
        <v>0.11144578921038648</v>
      </c>
      <c r="AR262" s="22">
        <f t="shared" si="63"/>
        <v>0.11187796178126933</v>
      </c>
      <c r="AS262" s="22">
        <f t="shared" si="63"/>
        <v>0.11231780083764567</v>
      </c>
      <c r="AT262" s="22">
        <f t="shared" si="63"/>
        <v>0.1128047900413833</v>
      </c>
      <c r="AU262" s="22">
        <f t="shared" si="63"/>
        <v>0.11314633150587833</v>
      </c>
      <c r="AV262" s="22">
        <f t="shared" si="63"/>
        <v>0.11347564269792666</v>
      </c>
      <c r="AW262" s="22">
        <f t="shared" si="63"/>
        <v>0.1138076234124414</v>
      </c>
      <c r="AY262" s="79"/>
    </row>
    <row r="263" spans="1:51" x14ac:dyDescent="0.2">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2">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2">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2">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2">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2">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2">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2">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2">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2">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2">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2">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2">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0.39831175345583053</v>
      </c>
      <c r="M275" s="22">
        <f t="shared" si="66"/>
        <v>0.40145358914715529</v>
      </c>
      <c r="N275" s="22">
        <f t="shared" si="66"/>
        <v>0.40347255325329029</v>
      </c>
      <c r="O275" s="22">
        <f t="shared" si="66"/>
        <v>0.40481416413578281</v>
      </c>
      <c r="P275" s="22">
        <f t="shared" si="66"/>
        <v>0.40546521734783814</v>
      </c>
      <c r="Q275" s="22">
        <f t="shared" si="66"/>
        <v>0.40690363619044922</v>
      </c>
      <c r="R275" s="22">
        <f t="shared" si="66"/>
        <v>0.40855374420631185</v>
      </c>
      <c r="S275" s="22">
        <f t="shared" si="66"/>
        <v>0.39736949652274572</v>
      </c>
      <c r="T275" s="22">
        <f t="shared" si="66"/>
        <v>0.40193613647411602</v>
      </c>
      <c r="U275" s="22">
        <f t="shared" si="66"/>
        <v>0.40551458062818502</v>
      </c>
      <c r="V275" s="22">
        <f t="shared" si="66"/>
        <v>0.40890476326282849</v>
      </c>
      <c r="W275" s="22">
        <f t="shared" si="66"/>
        <v>0.41286821795762335</v>
      </c>
      <c r="X275" s="22">
        <f t="shared" si="66"/>
        <v>0.4166639118790918</v>
      </c>
      <c r="Y275" s="22">
        <f t="shared" si="66"/>
        <v>0.4198473343142145</v>
      </c>
      <c r="Z275" s="22">
        <f t="shared" si="66"/>
        <v>0.42294233840413964</v>
      </c>
      <c r="AA275" s="22">
        <f t="shared" si="66"/>
        <v>0.42587799118724151</v>
      </c>
      <c r="AB275" s="22">
        <f t="shared" si="66"/>
        <v>0.42969675362549747</v>
      </c>
      <c r="AC275" s="22">
        <f t="shared" si="66"/>
        <v>0.43349587939767537</v>
      </c>
      <c r="AD275" s="22">
        <f t="shared" si="66"/>
        <v>0.43745946625570531</v>
      </c>
      <c r="AE275" s="22">
        <f t="shared" si="66"/>
        <v>0.44229495321809359</v>
      </c>
      <c r="AF275" s="22">
        <f t="shared" si="66"/>
        <v>0.44758124575636155</v>
      </c>
      <c r="AG275" s="22">
        <f t="shared" si="66"/>
        <v>0.45381269752253439</v>
      </c>
      <c r="AH275" s="22">
        <f t="shared" si="66"/>
        <v>0.45874802300299961</v>
      </c>
      <c r="AI275" s="22">
        <f t="shared" si="66"/>
        <v>0.46333288688967006</v>
      </c>
      <c r="AJ275" s="22">
        <f t="shared" si="66"/>
        <v>0.46842040791737738</v>
      </c>
      <c r="AK275" s="22">
        <f t="shared" si="66"/>
        <v>0.47337132456140918</v>
      </c>
      <c r="AL275" s="22">
        <f t="shared" si="66"/>
        <v>0.47862201153126527</v>
      </c>
      <c r="AM275" s="22">
        <f t="shared" si="66"/>
        <v>0.48394817784516875</v>
      </c>
      <c r="AN275" s="22">
        <f t="shared" si="66"/>
        <v>0.48983437623076936</v>
      </c>
      <c r="AO275" s="22">
        <f t="shared" si="66"/>
        <v>0.49551952889490208</v>
      </c>
      <c r="AP275" s="22">
        <f t="shared" si="66"/>
        <v>0.50133983118096659</v>
      </c>
      <c r="AQ275" s="22">
        <f t="shared" si="66"/>
        <v>0.50738353443884876</v>
      </c>
      <c r="AR275" s="22">
        <f t="shared" si="66"/>
        <v>0.51368519045610384</v>
      </c>
      <c r="AS275" s="22">
        <f t="shared" si="66"/>
        <v>0.52070203752488053</v>
      </c>
      <c r="AT275" s="22">
        <f t="shared" si="66"/>
        <v>0.52550112442398844</v>
      </c>
      <c r="AU275" s="22">
        <f t="shared" si="66"/>
        <v>0.53018983852857582</v>
      </c>
      <c r="AV275" s="22">
        <f t="shared" si="66"/>
        <v>0.53501141383334805</v>
      </c>
      <c r="AW275" s="22">
        <f t="shared" si="66"/>
        <v>0.53986293449927925</v>
      </c>
      <c r="AY275" s="79"/>
    </row>
    <row r="276" spans="1:51" x14ac:dyDescent="0.2">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3.1424516095088999E-2</v>
      </c>
      <c r="M276" s="22">
        <f t="shared" si="66"/>
        <v>3.1672388936885787E-2</v>
      </c>
      <c r="N276" s="22">
        <f t="shared" si="66"/>
        <v>3.1831673641638247E-2</v>
      </c>
      <c r="O276" s="22">
        <f t="shared" si="66"/>
        <v>3.1937519056453263E-2</v>
      </c>
      <c r="P276" s="22">
        <f t="shared" si="66"/>
        <v>3.198888342610464E-2</v>
      </c>
      <c r="Q276" s="22">
        <f t="shared" si="66"/>
        <v>3.2102366434524382E-2</v>
      </c>
      <c r="R276" s="22">
        <f t="shared" si="66"/>
        <v>3.2232550506305392E-2</v>
      </c>
      <c r="S276" s="22">
        <f t="shared" si="66"/>
        <v>3.1350177419660695E-2</v>
      </c>
      <c r="T276" s="22">
        <f t="shared" si="66"/>
        <v>3.1710459157287665E-2</v>
      </c>
      <c r="U276" s="22">
        <f t="shared" si="66"/>
        <v>3.19927779062055E-2</v>
      </c>
      <c r="V276" s="22">
        <f t="shared" si="66"/>
        <v>3.2260243899471644E-2</v>
      </c>
      <c r="W276" s="22">
        <f t="shared" si="66"/>
        <v>3.2572937774980257E-2</v>
      </c>
      <c r="X276" s="22">
        <f t="shared" si="66"/>
        <v>3.2872396286290406E-2</v>
      </c>
      <c r="Y276" s="22">
        <f t="shared" si="66"/>
        <v>3.3123550083992911E-2</v>
      </c>
      <c r="Z276" s="22">
        <f t="shared" si="66"/>
        <v>3.336772818065812E-2</v>
      </c>
      <c r="AA276" s="22">
        <f t="shared" si="66"/>
        <v>3.3599334371868343E-2</v>
      </c>
      <c r="AB276" s="22">
        <f t="shared" si="66"/>
        <v>3.3900612857032622E-2</v>
      </c>
      <c r="AC276" s="22">
        <f t="shared" si="66"/>
        <v>3.4200342121708499E-2</v>
      </c>
      <c r="AD276" s="22">
        <f t="shared" si="66"/>
        <v>3.4513046424139431E-2</v>
      </c>
      <c r="AE276" s="22">
        <f t="shared" si="66"/>
        <v>3.4894538651167102E-2</v>
      </c>
      <c r="AF276" s="22">
        <f t="shared" si="66"/>
        <v>3.5311596856231003E-2</v>
      </c>
      <c r="AG276" s="22">
        <f t="shared" si="66"/>
        <v>3.5803222711162215E-2</v>
      </c>
      <c r="AH276" s="22">
        <f t="shared" si="66"/>
        <v>3.6192591625460596E-2</v>
      </c>
      <c r="AI276" s="22">
        <f t="shared" si="66"/>
        <v>3.6554311127208743E-2</v>
      </c>
      <c r="AJ276" s="22">
        <f t="shared" si="66"/>
        <v>3.6955687398514313E-2</v>
      </c>
      <c r="AK276" s="22">
        <f t="shared" si="66"/>
        <v>3.7346286366322763E-2</v>
      </c>
      <c r="AL276" s="22">
        <f t="shared" si="66"/>
        <v>3.7760535495962914E-2</v>
      </c>
      <c r="AM276" s="22">
        <f t="shared" si="66"/>
        <v>3.8180739513555217E-2</v>
      </c>
      <c r="AN276" s="22">
        <f t="shared" si="66"/>
        <v>3.8645126854130414E-2</v>
      </c>
      <c r="AO276" s="22">
        <f t="shared" si="66"/>
        <v>3.9093652838731792E-2</v>
      </c>
      <c r="AP276" s="22">
        <f t="shared" si="66"/>
        <v>3.9552841354460577E-2</v>
      </c>
      <c r="AQ276" s="22">
        <f t="shared" si="66"/>
        <v>4.0029654927380476E-2</v>
      </c>
      <c r="AR276" s="22">
        <f t="shared" si="66"/>
        <v>4.0526819495640978E-2</v>
      </c>
      <c r="AS276" s="22">
        <f t="shared" si="66"/>
        <v>4.1080408541749817E-2</v>
      </c>
      <c r="AT276" s="22">
        <f t="shared" si="66"/>
        <v>4.145902901225889E-2</v>
      </c>
      <c r="AU276" s="22">
        <f t="shared" si="66"/>
        <v>4.1828941701418883E-2</v>
      </c>
      <c r="AV276" s="22">
        <f t="shared" si="66"/>
        <v>4.2209336378336959E-2</v>
      </c>
      <c r="AW276" s="22">
        <f t="shared" si="66"/>
        <v>4.2592093572744245E-2</v>
      </c>
      <c r="AY276" s="79"/>
    </row>
    <row r="277" spans="1:51" x14ac:dyDescent="0.2">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2.9129279224209421E-4</v>
      </c>
      <c r="M277" s="22">
        <f t="shared" si="66"/>
        <v>2.9359047510821973E-4</v>
      </c>
      <c r="N277" s="22">
        <f t="shared" si="66"/>
        <v>2.9506698110336069E-4</v>
      </c>
      <c r="O277" s="22">
        <f t="shared" si="66"/>
        <v>2.960481260901027E-4</v>
      </c>
      <c r="P277" s="22">
        <f t="shared" si="66"/>
        <v>2.9652425341095714E-4</v>
      </c>
      <c r="Q277" s="22">
        <f t="shared" si="66"/>
        <v>2.9757619585915883E-4</v>
      </c>
      <c r="R277" s="22">
        <f t="shared" si="66"/>
        <v>2.9878295053629647E-4</v>
      </c>
      <c r="S277" s="22">
        <f t="shared" si="66"/>
        <v>2.906037022248744E-4</v>
      </c>
      <c r="T277" s="22">
        <f t="shared" si="66"/>
        <v>2.9394337094179688E-4</v>
      </c>
      <c r="U277" s="22">
        <f t="shared" si="66"/>
        <v>2.9656035369582628E-4</v>
      </c>
      <c r="V277" s="22">
        <f t="shared" si="66"/>
        <v>2.9903965729981968E-4</v>
      </c>
      <c r="W277" s="22">
        <f t="shared" si="66"/>
        <v>3.0193820542187468E-4</v>
      </c>
      <c r="X277" s="22">
        <f t="shared" si="66"/>
        <v>3.0471406697074431E-4</v>
      </c>
      <c r="Y277" s="22">
        <f t="shared" si="66"/>
        <v>3.0704216299594947E-4</v>
      </c>
      <c r="Z277" s="22">
        <f t="shared" si="66"/>
        <v>3.093055970410988E-4</v>
      </c>
      <c r="AA277" s="22">
        <f t="shared" si="66"/>
        <v>3.1145249451229731E-4</v>
      </c>
      <c r="AB277" s="22">
        <f t="shared" si="66"/>
        <v>3.1424522649647207E-4</v>
      </c>
      <c r="AC277" s="22">
        <f t="shared" si="66"/>
        <v>3.1702359782158373E-4</v>
      </c>
      <c r="AD277" s="22">
        <f t="shared" si="66"/>
        <v>3.1992224259707024E-4</v>
      </c>
      <c r="AE277" s="22">
        <f t="shared" si="66"/>
        <v>3.2345852413258482E-4</v>
      </c>
      <c r="AF277" s="22">
        <f t="shared" si="66"/>
        <v>3.2732448816884659E-4</v>
      </c>
      <c r="AG277" s="22">
        <f t="shared" si="66"/>
        <v>3.3188166472450077E-4</v>
      </c>
      <c r="AH277" s="22">
        <f t="shared" si="66"/>
        <v>3.3549096002486584E-4</v>
      </c>
      <c r="AI277" s="22">
        <f t="shared" si="66"/>
        <v>3.3884395624456256E-4</v>
      </c>
      <c r="AJ277" s="22">
        <f t="shared" si="66"/>
        <v>3.4256455497882901E-4</v>
      </c>
      <c r="AK277" s="22">
        <f t="shared" si="66"/>
        <v>3.4618525238704095E-4</v>
      </c>
      <c r="AL277" s="22">
        <f t="shared" si="66"/>
        <v>3.5002517740900785E-4</v>
      </c>
      <c r="AM277" s="22">
        <f t="shared" si="66"/>
        <v>3.539203018788781E-4</v>
      </c>
      <c r="AN277" s="22">
        <f t="shared" si="66"/>
        <v>3.5822498821704474E-4</v>
      </c>
      <c r="AO277" s="22">
        <f t="shared" si="66"/>
        <v>3.6238264608048877E-4</v>
      </c>
      <c r="AP277" s="22">
        <f t="shared" si="66"/>
        <v>3.6663914137567152E-4</v>
      </c>
      <c r="AQ277" s="22">
        <f t="shared" si="66"/>
        <v>3.7105901395587245E-4</v>
      </c>
      <c r="AR277" s="22">
        <f t="shared" si="66"/>
        <v>3.756675321858498E-4</v>
      </c>
      <c r="AS277" s="22">
        <f t="shared" si="66"/>
        <v>3.8079908293137994E-4</v>
      </c>
      <c r="AT277" s="22">
        <f t="shared" si="66"/>
        <v>3.8430874442372815E-4</v>
      </c>
      <c r="AU277" s="22">
        <f t="shared" si="66"/>
        <v>3.877376882389691E-4</v>
      </c>
      <c r="AV277" s="22">
        <f t="shared" si="66"/>
        <v>3.9126379592057032E-4</v>
      </c>
      <c r="AW277" s="22">
        <f t="shared" si="66"/>
        <v>3.9481180320164583E-4</v>
      </c>
      <c r="AY277" s="79"/>
    </row>
    <row r="278" spans="1:51" x14ac:dyDescent="0.2">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3.2323215352203891E-3</v>
      </c>
      <c r="L278" s="22">
        <f t="shared" si="66"/>
        <v>3.2042886428129457E-3</v>
      </c>
      <c r="M278" s="22">
        <f t="shared" si="66"/>
        <v>3.193617369300608E-3</v>
      </c>
      <c r="N278" s="22">
        <f t="shared" si="66"/>
        <v>3.150970789688672E-3</v>
      </c>
      <c r="O278" s="22">
        <f t="shared" si="66"/>
        <v>3.0890682378804132E-3</v>
      </c>
      <c r="P278" s="22">
        <f t="shared" si="66"/>
        <v>3.0091897617382942E-3</v>
      </c>
      <c r="Q278" s="22">
        <f t="shared" si="66"/>
        <v>2.9461872714039495E-3</v>
      </c>
      <c r="R278" s="22">
        <f t="shared" si="66"/>
        <v>2.8865797531671877E-3</v>
      </c>
      <c r="S278" s="22">
        <f t="shared" si="66"/>
        <v>2.561902690551985E-3</v>
      </c>
      <c r="T278" s="22">
        <f t="shared" si="66"/>
        <v>2.6109067650953812E-3</v>
      </c>
      <c r="U278" s="22">
        <f t="shared" si="66"/>
        <v>2.6371073705861066E-3</v>
      </c>
      <c r="V278" s="22">
        <f t="shared" si="66"/>
        <v>2.6572763543899086E-3</v>
      </c>
      <c r="W278" s="22">
        <f t="shared" si="66"/>
        <v>2.6864577406949136E-3</v>
      </c>
      <c r="X278" s="22">
        <f t="shared" si="66"/>
        <v>2.7101399939897432E-3</v>
      </c>
      <c r="Y278" s="22">
        <f t="shared" si="66"/>
        <v>2.7254068910752506E-3</v>
      </c>
      <c r="Z278" s="22">
        <f t="shared" si="66"/>
        <v>2.7372910281189241E-3</v>
      </c>
      <c r="AA278" s="22">
        <f t="shared" si="66"/>
        <v>2.7446565965779596E-3</v>
      </c>
      <c r="AB278" s="22">
        <f t="shared" si="66"/>
        <v>2.766461574169799E-3</v>
      </c>
      <c r="AC278" s="22">
        <f t="shared" si="66"/>
        <v>2.7860807889478114E-3</v>
      </c>
      <c r="AD278" s="22">
        <f t="shared" si="66"/>
        <v>2.7870926745375917E-3</v>
      </c>
      <c r="AE278" s="22">
        <f t="shared" si="66"/>
        <v>2.8002357420559331E-3</v>
      </c>
      <c r="AF278" s="22">
        <f t="shared" si="66"/>
        <v>2.8176157227712195E-3</v>
      </c>
      <c r="AG278" s="22">
        <f t="shared" si="66"/>
        <v>2.8467949657152583E-3</v>
      </c>
      <c r="AH278" s="22">
        <f t="shared" si="66"/>
        <v>2.8514553566539535E-3</v>
      </c>
      <c r="AI278" s="22">
        <f t="shared" si="66"/>
        <v>2.8509661505713695E-3</v>
      </c>
      <c r="AJ278" s="22">
        <f t="shared" si="66"/>
        <v>2.8552472952040066E-3</v>
      </c>
      <c r="AK278" s="22">
        <f t="shared" si="66"/>
        <v>2.8544571157094324E-3</v>
      </c>
      <c r="AL278" s="22">
        <f t="shared" si="66"/>
        <v>2.8550616993206577E-3</v>
      </c>
      <c r="AM278" s="22">
        <f t="shared" si="66"/>
        <v>2.8536896120201398E-3</v>
      </c>
      <c r="AN278" s="22">
        <f t="shared" si="66"/>
        <v>2.8741715259670993E-3</v>
      </c>
      <c r="AO278" s="22">
        <f t="shared" si="66"/>
        <v>2.8891552087920934E-3</v>
      </c>
      <c r="AP278" s="22">
        <f t="shared" si="66"/>
        <v>2.9032743711579932E-3</v>
      </c>
      <c r="AQ278" s="22">
        <f t="shared" si="66"/>
        <v>2.9176093020266492E-3</v>
      </c>
      <c r="AR278" s="22">
        <f t="shared" si="66"/>
        <v>2.9324708677435766E-3</v>
      </c>
      <c r="AS278" s="22">
        <f t="shared" si="66"/>
        <v>2.955760646257155E-3</v>
      </c>
      <c r="AT278" s="22">
        <f t="shared" si="66"/>
        <v>2.949200862307677E-3</v>
      </c>
      <c r="AU278" s="22">
        <f t="shared" si="66"/>
        <v>2.9393657295562411E-3</v>
      </c>
      <c r="AV278" s="22">
        <f t="shared" si="66"/>
        <v>2.9291791996267137E-3</v>
      </c>
      <c r="AW278" s="22">
        <f t="shared" si="66"/>
        <v>2.9174224191291709E-3</v>
      </c>
      <c r="AY278" s="79"/>
    </row>
    <row r="279" spans="1:51" x14ac:dyDescent="0.2">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1.6090517274103575E-2</v>
      </c>
      <c r="L279" s="22">
        <f t="shared" si="66"/>
        <v>1.5950969356419611E-2</v>
      </c>
      <c r="M279" s="22">
        <f t="shared" si="66"/>
        <v>1.5897847688628834E-2</v>
      </c>
      <c r="N279" s="22">
        <f t="shared" si="66"/>
        <v>1.5685552742581484E-2</v>
      </c>
      <c r="O279" s="22">
        <f t="shared" si="66"/>
        <v>1.5377401443792467E-2</v>
      </c>
      <c r="P279" s="22">
        <f t="shared" si="66"/>
        <v>1.4979765878707444E-2</v>
      </c>
      <c r="Q279" s="22">
        <f t="shared" si="66"/>
        <v>1.4666139078901097E-2</v>
      </c>
      <c r="R279" s="22">
        <f t="shared" si="66"/>
        <v>1.4369412471908495E-2</v>
      </c>
      <c r="S279" s="22">
        <f t="shared" si="66"/>
        <v>1.2753167977791692E-2</v>
      </c>
      <c r="T279" s="22">
        <f t="shared" si="66"/>
        <v>1.2997110574266151E-2</v>
      </c>
      <c r="U279" s="22">
        <f t="shared" si="66"/>
        <v>1.312753735596061E-2</v>
      </c>
      <c r="V279" s="22">
        <f t="shared" si="66"/>
        <v>1.3227938686323331E-2</v>
      </c>
      <c r="W279" s="22">
        <f t="shared" si="66"/>
        <v>1.337320381397436E-2</v>
      </c>
      <c r="X279" s="22">
        <f t="shared" si="66"/>
        <v>1.349109422233195E-2</v>
      </c>
      <c r="Y279" s="22">
        <f t="shared" si="66"/>
        <v>1.3567092933660515E-2</v>
      </c>
      <c r="Z279" s="22">
        <f t="shared" si="66"/>
        <v>1.3626252243866949E-2</v>
      </c>
      <c r="AA279" s="22">
        <f t="shared" si="66"/>
        <v>1.3662918090761304E-2</v>
      </c>
      <c r="AB279" s="22">
        <f t="shared" si="66"/>
        <v>1.3771463408663595E-2</v>
      </c>
      <c r="AC279" s="22">
        <f t="shared" si="66"/>
        <v>1.3869127985299977E-2</v>
      </c>
      <c r="AD279" s="22">
        <f t="shared" si="66"/>
        <v>1.3874165158237254E-2</v>
      </c>
      <c r="AE279" s="22">
        <f t="shared" si="66"/>
        <v>1.3939591432397862E-2</v>
      </c>
      <c r="AF279" s="22">
        <f t="shared" si="66"/>
        <v>1.4026109087549346E-2</v>
      </c>
      <c r="AG279" s="22">
        <f t="shared" si="66"/>
        <v>1.4171363545535784E-2</v>
      </c>
      <c r="AH279" s="22">
        <f t="shared" si="66"/>
        <v>1.4194563001433364E-2</v>
      </c>
      <c r="AI279" s="22">
        <f t="shared" si="66"/>
        <v>1.4192127730425623E-2</v>
      </c>
      <c r="AJ279" s="22">
        <f t="shared" si="66"/>
        <v>1.4213439295786241E-2</v>
      </c>
      <c r="AK279" s="22">
        <f t="shared" si="66"/>
        <v>1.4209505777208791E-2</v>
      </c>
      <c r="AL279" s="22">
        <f t="shared" si="66"/>
        <v>1.4212515398291981E-2</v>
      </c>
      <c r="AM279" s="22">
        <f t="shared" si="66"/>
        <v>1.4205685138935052E-2</v>
      </c>
      <c r="AN279" s="22">
        <f t="shared" si="66"/>
        <v>1.4307644237551697E-2</v>
      </c>
      <c r="AO279" s="22">
        <f t="shared" si="66"/>
        <v>1.4382233106480177E-2</v>
      </c>
      <c r="AP279" s="22">
        <f t="shared" si="66"/>
        <v>1.4452518387034392E-2</v>
      </c>
      <c r="AQ279" s="22">
        <f t="shared" si="66"/>
        <v>1.4523877764575229E-2</v>
      </c>
      <c r="AR279" s="22">
        <f t="shared" si="66"/>
        <v>1.4597858733758781E-2</v>
      </c>
      <c r="AS279" s="22">
        <f t="shared" si="66"/>
        <v>1.4713795400145288E-2</v>
      </c>
      <c r="AT279" s="22">
        <f t="shared" si="66"/>
        <v>1.4681140753692774E-2</v>
      </c>
      <c r="AU279" s="22">
        <f t="shared" si="66"/>
        <v>1.4632181399957167E-2</v>
      </c>
      <c r="AV279" s="22">
        <f t="shared" si="66"/>
        <v>1.4581472788821714E-2</v>
      </c>
      <c r="AW279" s="22">
        <f t="shared" si="66"/>
        <v>1.4522947460316408E-2</v>
      </c>
      <c r="AY279" s="79"/>
    </row>
    <row r="280" spans="1:51" x14ac:dyDescent="0.2">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0.15836052531214873</v>
      </c>
      <c r="L280" s="22">
        <f t="shared" si="66"/>
        <v>0.16370016056893644</v>
      </c>
      <c r="M280" s="22">
        <f t="shared" si="66"/>
        <v>0.17003774892948584</v>
      </c>
      <c r="N280" s="22">
        <f t="shared" si="66"/>
        <v>0.17476418316081974</v>
      </c>
      <c r="O280" s="22">
        <f t="shared" si="66"/>
        <v>0.17840915017095665</v>
      </c>
      <c r="P280" s="22">
        <f t="shared" si="66"/>
        <v>0.18092055691117107</v>
      </c>
      <c r="Q280" s="22">
        <f t="shared" si="66"/>
        <v>0.18434967364231716</v>
      </c>
      <c r="R280" s="22">
        <f t="shared" si="66"/>
        <v>0.18794438918293385</v>
      </c>
      <c r="S280" s="22">
        <f t="shared" si="66"/>
        <v>0.17354626936315642</v>
      </c>
      <c r="T280" s="22">
        <f t="shared" si="66"/>
        <v>0.18112703744691877</v>
      </c>
      <c r="U280" s="22">
        <f t="shared" si="66"/>
        <v>0.18729176246517146</v>
      </c>
      <c r="V280" s="22">
        <f t="shared" si="66"/>
        <v>0.19315163846975197</v>
      </c>
      <c r="W280" s="22">
        <f t="shared" si="66"/>
        <v>0.1997999174777515</v>
      </c>
      <c r="X280" s="22">
        <f t="shared" si="66"/>
        <v>0.20618321754826516</v>
      </c>
      <c r="Y280" s="22">
        <f t="shared" si="66"/>
        <v>0.21205125968323466</v>
      </c>
      <c r="Z280" s="22">
        <f t="shared" si="66"/>
        <v>0.21776504311044109</v>
      </c>
      <c r="AA280" s="22">
        <f t="shared" si="66"/>
        <v>0.22321845446592189</v>
      </c>
      <c r="AB280" s="22">
        <f t="shared" si="66"/>
        <v>0.22996706841629874</v>
      </c>
      <c r="AC280" s="22">
        <f t="shared" si="66"/>
        <v>0.23668130693108949</v>
      </c>
      <c r="AD280" s="22">
        <f t="shared" si="66"/>
        <v>0.24461911204797512</v>
      </c>
      <c r="AE280" s="22">
        <f t="shared" si="66"/>
        <v>0.25393877237777696</v>
      </c>
      <c r="AF280" s="22">
        <f t="shared" si="66"/>
        <v>0.26402636464996099</v>
      </c>
      <c r="AG280" s="22">
        <f t="shared" si="66"/>
        <v>0.27567496604841074</v>
      </c>
      <c r="AH280" s="22">
        <f t="shared" si="66"/>
        <v>0.28538857228327053</v>
      </c>
      <c r="AI280" s="22">
        <f t="shared" si="66"/>
        <v>0.29495307266242238</v>
      </c>
      <c r="AJ280" s="22">
        <f t="shared" si="66"/>
        <v>0.3053980286161922</v>
      </c>
      <c r="AK280" s="22">
        <f t="shared" si="66"/>
        <v>0.3157092357133186</v>
      </c>
      <c r="AL280" s="22">
        <f t="shared" si="66"/>
        <v>0.32659469477462816</v>
      </c>
      <c r="AM280" s="22">
        <f t="shared" si="66"/>
        <v>0.33769759276940581</v>
      </c>
      <c r="AN280" s="22">
        <f t="shared" si="66"/>
        <v>0.34971796912079089</v>
      </c>
      <c r="AO280" s="22">
        <f t="shared" si="66"/>
        <v>0.36149422928557057</v>
      </c>
      <c r="AP280" s="22">
        <f t="shared" si="66"/>
        <v>0.3735858155993782</v>
      </c>
      <c r="AQ280" s="22">
        <f t="shared" si="66"/>
        <v>0.38614747590772142</v>
      </c>
      <c r="AR280" s="22">
        <f t="shared" si="66"/>
        <v>0.3992463303443215</v>
      </c>
      <c r="AS280" s="22">
        <f t="shared" si="66"/>
        <v>0.41401924594323458</v>
      </c>
      <c r="AT280" s="22">
        <f t="shared" si="66"/>
        <v>0.42507748495703629</v>
      </c>
      <c r="AU280" s="22">
        <f t="shared" si="66"/>
        <v>0.43601753921735037</v>
      </c>
      <c r="AV280" s="22">
        <f t="shared" si="66"/>
        <v>0.44726275396189152</v>
      </c>
      <c r="AW280" s="22">
        <f t="shared" si="66"/>
        <v>0.45863622701416706</v>
      </c>
      <c r="AY280" s="79"/>
    </row>
    <row r="281" spans="1:51" x14ac:dyDescent="0.2">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1.195503235691774E-4</v>
      </c>
      <c r="T281" s="22">
        <f t="shared" si="66"/>
        <v>1.1973238900774034E-4</v>
      </c>
      <c r="U281" s="22">
        <f t="shared" si="66"/>
        <v>1.1993816652481025E-4</v>
      </c>
      <c r="V281" s="22">
        <f t="shared" si="66"/>
        <v>1.2017030175701969E-4</v>
      </c>
      <c r="W281" s="22">
        <f t="shared" si="66"/>
        <v>1.2043143682964787E-4</v>
      </c>
      <c r="X281" s="22">
        <f t="shared" si="66"/>
        <v>1.2071612652319093E-4</v>
      </c>
      <c r="Y281" s="22">
        <f t="shared" si="66"/>
        <v>1.2088927246048491E-4</v>
      </c>
      <c r="Z281" s="22">
        <f t="shared" si="66"/>
        <v>1.2108266651499932E-4</v>
      </c>
      <c r="AA281" s="22">
        <f t="shared" si="66"/>
        <v>1.2129489002398719E-4</v>
      </c>
      <c r="AB281" s="22">
        <f t="shared" si="66"/>
        <v>1.2153074787723059E-4</v>
      </c>
      <c r="AC281" s="22">
        <f t="shared" si="66"/>
        <v>1.2178444503760319E-4</v>
      </c>
      <c r="AD281" s="22">
        <f t="shared" si="66"/>
        <v>1.2195021859922819E-4</v>
      </c>
      <c r="AE281" s="22">
        <f t="shared" si="66"/>
        <v>1.2213630016303642E-4</v>
      </c>
      <c r="AF281" s="22">
        <f t="shared" si="66"/>
        <v>1.2233971704233787E-4</v>
      </c>
      <c r="AG281" s="22">
        <f t="shared" si="66"/>
        <v>1.2256258176640642E-4</v>
      </c>
      <c r="AH281" s="22">
        <f t="shared" si="66"/>
        <v>1.2279204268449652E-4</v>
      </c>
      <c r="AI281" s="22">
        <f t="shared" ref="L281:AW288" si="67">AI1537</f>
        <v>1.2293267358180957E-4</v>
      </c>
      <c r="AJ281" s="22">
        <f t="shared" si="67"/>
        <v>1.230880284078129E-4</v>
      </c>
      <c r="AK281" s="22">
        <f t="shared" si="67"/>
        <v>1.2325414703713089E-4</v>
      </c>
      <c r="AL281" s="22">
        <f t="shared" si="67"/>
        <v>1.2343300581478905E-4</v>
      </c>
      <c r="AM281" s="22">
        <f t="shared" si="67"/>
        <v>1.2362298848343737E-4</v>
      </c>
      <c r="AN281" s="22">
        <f t="shared" si="67"/>
        <v>1.2373316293630814E-4</v>
      </c>
      <c r="AO281" s="22">
        <f t="shared" si="67"/>
        <v>1.2385166980530415E-4</v>
      </c>
      <c r="AP281" s="22">
        <f t="shared" si="67"/>
        <v>1.2398002361906419E-4</v>
      </c>
      <c r="AQ281" s="22">
        <f t="shared" si="67"/>
        <v>1.2411840156820918E-4</v>
      </c>
      <c r="AR281" s="22">
        <f t="shared" si="67"/>
        <v>1.2426670691930035E-4</v>
      </c>
      <c r="AS281" s="22">
        <f t="shared" si="67"/>
        <v>1.2433302167931155E-4</v>
      </c>
      <c r="AT281" s="22">
        <f t="shared" si="67"/>
        <v>1.2439474489368146E-4</v>
      </c>
      <c r="AU281" s="22">
        <f t="shared" si="67"/>
        <v>1.2446317135013558E-4</v>
      </c>
      <c r="AV281" s="22">
        <f t="shared" si="67"/>
        <v>1.2453939785824996E-4</v>
      </c>
      <c r="AW281" s="22">
        <f t="shared" si="67"/>
        <v>1.24622639719568E-4</v>
      </c>
      <c r="AY281" s="79"/>
    </row>
    <row r="282" spans="1:51" x14ac:dyDescent="0.2">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8.2041591156770978E-4</v>
      </c>
      <c r="T282" s="22">
        <f t="shared" si="67"/>
        <v>8.216653384055813E-4</v>
      </c>
      <c r="U282" s="22">
        <f t="shared" si="67"/>
        <v>8.2307748974241456E-4</v>
      </c>
      <c r="V282" s="22">
        <f t="shared" si="67"/>
        <v>8.246705212997898E-4</v>
      </c>
      <c r="W282" s="22">
        <f t="shared" si="67"/>
        <v>8.2646256470257108E-4</v>
      </c>
      <c r="X282" s="22">
        <f t="shared" si="67"/>
        <v>8.284162520491963E-4</v>
      </c>
      <c r="Y282" s="22">
        <f t="shared" si="67"/>
        <v>8.2960446867411488E-4</v>
      </c>
      <c r="Z282" s="22">
        <f t="shared" si="67"/>
        <v>8.3093163831104511E-4</v>
      </c>
      <c r="AA282" s="22">
        <f t="shared" si="67"/>
        <v>8.323880253653359E-4</v>
      </c>
      <c r="AB282" s="22">
        <f t="shared" si="67"/>
        <v>8.3400660346610628E-4</v>
      </c>
      <c r="AC282" s="22">
        <f t="shared" si="67"/>
        <v>8.3574760408304538E-4</v>
      </c>
      <c r="AD282" s="22">
        <f t="shared" si="67"/>
        <v>8.3688522766794265E-4</v>
      </c>
      <c r="AE282" s="22">
        <f t="shared" si="67"/>
        <v>8.3816221522631858E-4</v>
      </c>
      <c r="AF282" s="22">
        <f t="shared" si="67"/>
        <v>8.3955816665060555E-4</v>
      </c>
      <c r="AG282" s="22">
        <f t="shared" si="67"/>
        <v>8.4108757920503671E-4</v>
      </c>
      <c r="AH282" s="22">
        <f t="shared" si="67"/>
        <v>8.4266225824114254E-4</v>
      </c>
      <c r="AI282" s="22">
        <f t="shared" si="67"/>
        <v>8.436273399102601E-4</v>
      </c>
      <c r="AJ282" s="22">
        <f t="shared" si="67"/>
        <v>8.4469346476368369E-4</v>
      </c>
      <c r="AK282" s="22">
        <f t="shared" si="67"/>
        <v>8.4583345638086619E-4</v>
      </c>
      <c r="AL282" s="22">
        <f t="shared" si="67"/>
        <v>8.4706087745956699E-4</v>
      </c>
      <c r="AM282" s="22">
        <f t="shared" si="67"/>
        <v>8.483646364091695E-4</v>
      </c>
      <c r="AN282" s="22">
        <f t="shared" si="67"/>
        <v>8.4912071026564152E-4</v>
      </c>
      <c r="AO282" s="22">
        <f t="shared" si="67"/>
        <v>8.4993396545434991E-4</v>
      </c>
      <c r="AP282" s="22">
        <f t="shared" si="67"/>
        <v>8.5081479545108508E-4</v>
      </c>
      <c r="AQ282" s="22">
        <f t="shared" si="67"/>
        <v>8.5176441622917501E-4</v>
      </c>
      <c r="AR282" s="22">
        <f t="shared" si="67"/>
        <v>8.5278216395392656E-4</v>
      </c>
      <c r="AS282" s="22">
        <f t="shared" si="67"/>
        <v>8.5323725000188266E-4</v>
      </c>
      <c r="AT282" s="22">
        <f t="shared" si="67"/>
        <v>8.5366082649812602E-4</v>
      </c>
      <c r="AU282" s="22">
        <f t="shared" si="67"/>
        <v>8.5413040409500023E-4</v>
      </c>
      <c r="AV282" s="22">
        <f t="shared" si="67"/>
        <v>8.546535096648827E-4</v>
      </c>
      <c r="AW282" s="22">
        <f t="shared" si="67"/>
        <v>8.5522475820269445E-4</v>
      </c>
      <c r="AY282" s="79"/>
    </row>
    <row r="283" spans="1:51" x14ac:dyDescent="0.2">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1.4486129996083081E-5</v>
      </c>
      <c r="L283" s="22">
        <f t="shared" si="67"/>
        <v>1.4523786941695515E-5</v>
      </c>
      <c r="M283" s="22">
        <f t="shared" si="67"/>
        <v>1.4575733367418309E-5</v>
      </c>
      <c r="N283" s="22">
        <f t="shared" si="67"/>
        <v>1.4639017833045651E-5</v>
      </c>
      <c r="O283" s="22">
        <f t="shared" si="67"/>
        <v>1.471355007817218E-5</v>
      </c>
      <c r="P283" s="22">
        <f t="shared" si="67"/>
        <v>1.4798876460462532E-5</v>
      </c>
      <c r="Q283" s="22">
        <f t="shared" si="67"/>
        <v>1.4890706011157255E-5</v>
      </c>
      <c r="R283" s="22">
        <f t="shared" si="67"/>
        <v>1.4988675221399694E-5</v>
      </c>
      <c r="S283" s="22">
        <f t="shared" si="67"/>
        <v>1.5078679643027028E-5</v>
      </c>
      <c r="T283" s="22">
        <f t="shared" si="67"/>
        <v>1.5122495296339113E-5</v>
      </c>
      <c r="U283" s="22">
        <f t="shared" si="67"/>
        <v>1.516958973789732E-5</v>
      </c>
      <c r="V283" s="22">
        <f t="shared" si="67"/>
        <v>1.5220538890996556E-5</v>
      </c>
      <c r="W283" s="22">
        <f t="shared" si="67"/>
        <v>1.5275902163367261E-5</v>
      </c>
      <c r="X283" s="22">
        <f t="shared" si="67"/>
        <v>1.5334694454120534E-5</v>
      </c>
      <c r="Y283" s="22">
        <f t="shared" si="67"/>
        <v>1.5371448915304841E-5</v>
      </c>
      <c r="Z283" s="22">
        <f t="shared" si="67"/>
        <v>1.5411207509365297E-5</v>
      </c>
      <c r="AA283" s="22">
        <f t="shared" si="67"/>
        <v>1.5453736398701918E-5</v>
      </c>
      <c r="AB283" s="22">
        <f t="shared" si="67"/>
        <v>1.5499966763922933E-5</v>
      </c>
      <c r="AC283" s="22">
        <f t="shared" si="67"/>
        <v>1.5548833641447303E-5</v>
      </c>
      <c r="AD283" s="22">
        <f t="shared" si="67"/>
        <v>1.5580602349578564E-5</v>
      </c>
      <c r="AE283" s="22">
        <f t="shared" si="67"/>
        <v>1.5615591404277508E-5</v>
      </c>
      <c r="AF283" s="22">
        <f t="shared" si="67"/>
        <v>1.5653259744642323E-5</v>
      </c>
      <c r="AG283" s="22">
        <f t="shared" si="67"/>
        <v>1.5694012741398928E-5</v>
      </c>
      <c r="AH283" s="22">
        <f t="shared" si="67"/>
        <v>1.5735477279761714E-5</v>
      </c>
      <c r="AI283" s="22">
        <f t="shared" si="67"/>
        <v>1.5760021720349279E-5</v>
      </c>
      <c r="AJ283" s="22">
        <f t="shared" si="67"/>
        <v>1.5786883711006113E-5</v>
      </c>
      <c r="AK283" s="22">
        <f t="shared" si="67"/>
        <v>1.5815340273420816E-5</v>
      </c>
      <c r="AL283" s="22">
        <f t="shared" si="67"/>
        <v>1.5845764593107772E-5</v>
      </c>
      <c r="AM283" s="22">
        <f t="shared" si="67"/>
        <v>1.5877866318833775E-5</v>
      </c>
      <c r="AN283" s="22">
        <f t="shared" si="67"/>
        <v>1.5894983838021428E-5</v>
      </c>
      <c r="AO283" s="22">
        <f t="shared" si="67"/>
        <v>1.5913339031971955E-5</v>
      </c>
      <c r="AP283" s="22">
        <f t="shared" si="67"/>
        <v>1.593321505910849E-5</v>
      </c>
      <c r="AQ283" s="22">
        <f t="shared" si="67"/>
        <v>1.5954648527995344E-5</v>
      </c>
      <c r="AR283" s="22">
        <f t="shared" si="67"/>
        <v>1.5977625288303394E-5</v>
      </c>
      <c r="AS283" s="22">
        <f t="shared" si="67"/>
        <v>1.5985441440203981E-5</v>
      </c>
      <c r="AT283" s="22">
        <f t="shared" si="67"/>
        <v>1.5992226212116376E-5</v>
      </c>
      <c r="AU283" s="22">
        <f t="shared" si="67"/>
        <v>1.6000039436891757E-5</v>
      </c>
      <c r="AV283" s="22">
        <f t="shared" si="67"/>
        <v>1.6009082551352237E-5</v>
      </c>
      <c r="AW283" s="22">
        <f t="shared" si="67"/>
        <v>1.6019215529788255E-5</v>
      </c>
      <c r="AY283" s="79"/>
    </row>
    <row r="284" spans="1:51" x14ac:dyDescent="0.2">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1.4738364076719785E-3</v>
      </c>
      <c r="L284" s="22">
        <f t="shared" si="67"/>
        <v>1.4776676709189833E-3</v>
      </c>
      <c r="M284" s="22">
        <f t="shared" si="67"/>
        <v>1.4829527631761549E-3</v>
      </c>
      <c r="N284" s="22">
        <f t="shared" si="67"/>
        <v>1.4893914013429299E-3</v>
      </c>
      <c r="O284" s="22">
        <f t="shared" si="67"/>
        <v>1.4969744022163664E-3</v>
      </c>
      <c r="P284" s="22">
        <f t="shared" si="67"/>
        <v>1.5056556116759296E-3</v>
      </c>
      <c r="Q284" s="22">
        <f t="shared" si="67"/>
        <v>1.5149984613639165E-3</v>
      </c>
      <c r="R284" s="22">
        <f t="shared" si="67"/>
        <v>1.5249659674490626E-3</v>
      </c>
      <c r="S284" s="22">
        <f t="shared" si="67"/>
        <v>1.5341231262956069E-3</v>
      </c>
      <c r="T284" s="22">
        <f t="shared" si="67"/>
        <v>1.5385809839218152E-3</v>
      </c>
      <c r="U284" s="22">
        <f t="shared" si="67"/>
        <v>1.5433724294346084E-3</v>
      </c>
      <c r="V284" s="22">
        <f t="shared" si="67"/>
        <v>1.5485560579674195E-3</v>
      </c>
      <c r="W284" s="22">
        <f t="shared" si="67"/>
        <v>1.5541887843401544E-3</v>
      </c>
      <c r="X284" s="22">
        <f t="shared" si="67"/>
        <v>1.5601703831954754E-3</v>
      </c>
      <c r="Y284" s="22">
        <f t="shared" si="67"/>
        <v>1.5639098265839071E-3</v>
      </c>
      <c r="Z284" s="22">
        <f t="shared" si="67"/>
        <v>1.5679549140889886E-3</v>
      </c>
      <c r="AA284" s="22">
        <f t="shared" si="67"/>
        <v>1.5722818547901358E-3</v>
      </c>
      <c r="AB284" s="22">
        <f t="shared" si="67"/>
        <v>1.5769853881300361E-3</v>
      </c>
      <c r="AC284" s="22">
        <f t="shared" si="67"/>
        <v>1.5819571634243445E-3</v>
      </c>
      <c r="AD284" s="22">
        <f t="shared" si="67"/>
        <v>1.5851893502596976E-3</v>
      </c>
      <c r="AE284" s="22">
        <f t="shared" si="67"/>
        <v>1.5887491790545015E-3</v>
      </c>
      <c r="AF284" s="22">
        <f t="shared" si="67"/>
        <v>1.5925816016174124E-3</v>
      </c>
      <c r="AG284" s="22">
        <f t="shared" si="67"/>
        <v>1.5967278608569652E-3</v>
      </c>
      <c r="AH284" s="22">
        <f t="shared" si="67"/>
        <v>1.6009465132011667E-3</v>
      </c>
      <c r="AI284" s="22">
        <f t="shared" si="67"/>
        <v>1.6034436943084516E-3</v>
      </c>
      <c r="AJ284" s="22">
        <f t="shared" si="67"/>
        <v>1.6061766657662043E-3</v>
      </c>
      <c r="AK284" s="22">
        <f t="shared" si="67"/>
        <v>1.6090718708855374E-3</v>
      </c>
      <c r="AL284" s="22">
        <f t="shared" si="67"/>
        <v>1.6121672780125896E-3</v>
      </c>
      <c r="AM284" s="22">
        <f t="shared" si="67"/>
        <v>1.6154333464612968E-3</v>
      </c>
      <c r="AN284" s="22">
        <f t="shared" si="67"/>
        <v>1.6171749035917807E-3</v>
      </c>
      <c r="AO284" s="22">
        <f t="shared" si="67"/>
        <v>1.6190423832513916E-3</v>
      </c>
      <c r="AP284" s="22">
        <f t="shared" si="67"/>
        <v>1.6210645943209887E-3</v>
      </c>
      <c r="AQ284" s="22">
        <f t="shared" si="67"/>
        <v>1.6232452614002358E-3</v>
      </c>
      <c r="AR284" s="22">
        <f t="shared" si="67"/>
        <v>1.6255829448175118E-3</v>
      </c>
      <c r="AS284" s="22">
        <f t="shared" si="67"/>
        <v>1.6263781695767885E-3</v>
      </c>
      <c r="AT284" s="22">
        <f t="shared" si="67"/>
        <v>1.6270684604871241E-3</v>
      </c>
      <c r="AU284" s="22">
        <f t="shared" si="67"/>
        <v>1.6278633874371373E-3</v>
      </c>
      <c r="AV284" s="22">
        <f t="shared" si="67"/>
        <v>1.6287834448530387E-3</v>
      </c>
      <c r="AW284" s="22">
        <f t="shared" si="67"/>
        <v>1.6298143863495728E-3</v>
      </c>
      <c r="AY284" s="79"/>
    </row>
    <row r="285" spans="1:51" x14ac:dyDescent="0.2">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2">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2">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0.13004550543955873</v>
      </c>
      <c r="M287" s="22">
        <f t="shared" si="67"/>
        <v>0.13010384136507713</v>
      </c>
      <c r="N287" s="22">
        <f t="shared" si="67"/>
        <v>0.1289093884029483</v>
      </c>
      <c r="O287" s="22">
        <f t="shared" si="67"/>
        <v>0.12695857121838477</v>
      </c>
      <c r="P287" s="22">
        <f t="shared" si="67"/>
        <v>0.12428257569245395</v>
      </c>
      <c r="Q287" s="22">
        <f t="shared" si="67"/>
        <v>0.12233950618032065</v>
      </c>
      <c r="R287" s="22">
        <f t="shared" si="67"/>
        <v>0.12056837226162823</v>
      </c>
      <c r="S287" s="22">
        <f t="shared" si="67"/>
        <v>0.10742568641023791</v>
      </c>
      <c r="T287" s="22">
        <f t="shared" si="67"/>
        <v>0.1091029492210569</v>
      </c>
      <c r="U287" s="22">
        <f t="shared" si="67"/>
        <v>0.1098152981393777</v>
      </c>
      <c r="V287" s="22">
        <f t="shared" si="67"/>
        <v>0.11028443328369632</v>
      </c>
      <c r="W287" s="22">
        <f t="shared" si="67"/>
        <v>0.11115311990923482</v>
      </c>
      <c r="X287" s="22">
        <f t="shared" si="67"/>
        <v>0.11180012354863146</v>
      </c>
      <c r="Y287" s="22">
        <f t="shared" si="67"/>
        <v>0.11213950095917391</v>
      </c>
      <c r="Z287" s="22">
        <f t="shared" si="67"/>
        <v>0.11234743559515332</v>
      </c>
      <c r="AA287" s="22">
        <f t="shared" si="67"/>
        <v>0.11237564219545433</v>
      </c>
      <c r="AB287" s="22">
        <f t="shared" si="67"/>
        <v>0.1130282053559263</v>
      </c>
      <c r="AC287" s="22">
        <f t="shared" si="67"/>
        <v>0.11359821524900583</v>
      </c>
      <c r="AD287" s="22">
        <f t="shared" si="67"/>
        <v>0.11441835566605747</v>
      </c>
      <c r="AE287" s="22">
        <f t="shared" si="67"/>
        <v>0.11580372782809943</v>
      </c>
      <c r="AF287" s="22">
        <f t="shared" si="67"/>
        <v>0.11742607569995514</v>
      </c>
      <c r="AG287" s="22">
        <f t="shared" si="67"/>
        <v>0.11962260335271972</v>
      </c>
      <c r="AH287" s="22">
        <f t="shared" si="67"/>
        <v>0.12080838440395283</v>
      </c>
      <c r="AI287" s="22">
        <f t="shared" si="67"/>
        <v>0.12184404408189208</v>
      </c>
      <c r="AJ287" s="22">
        <f t="shared" si="67"/>
        <v>0.12314557152083414</v>
      </c>
      <c r="AK287" s="22">
        <f t="shared" si="67"/>
        <v>0.12427557755093979</v>
      </c>
      <c r="AL287" s="22">
        <f t="shared" si="67"/>
        <v>0.1255259175330139</v>
      </c>
      <c r="AM287" s="22">
        <f t="shared" si="67"/>
        <v>0.12674552603750175</v>
      </c>
      <c r="AN287" s="22">
        <f t="shared" si="67"/>
        <v>0.12838752833674963</v>
      </c>
      <c r="AO287" s="22">
        <f t="shared" si="67"/>
        <v>0.12981338825169941</v>
      </c>
      <c r="AP287" s="22">
        <f t="shared" si="67"/>
        <v>0.13123798099286382</v>
      </c>
      <c r="AQ287" s="22">
        <f t="shared" si="67"/>
        <v>0.13271316927423235</v>
      </c>
      <c r="AR287" s="22">
        <f t="shared" si="67"/>
        <v>0.13425553565091783</v>
      </c>
      <c r="AS287" s="22">
        <f t="shared" si="67"/>
        <v>0.1362655431555625</v>
      </c>
      <c r="AT287" s="22">
        <f t="shared" si="67"/>
        <v>0.1368880254632967</v>
      </c>
      <c r="AU287" s="22">
        <f t="shared" si="67"/>
        <v>0.13738521125796219</v>
      </c>
      <c r="AV287" s="22">
        <f t="shared" si="67"/>
        <v>0.13789795385940914</v>
      </c>
      <c r="AW287" s="22">
        <f t="shared" si="67"/>
        <v>0.13836722215964953</v>
      </c>
      <c r="AY287" s="79"/>
    </row>
    <row r="288" spans="1:51" x14ac:dyDescent="0.2">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1.2724633182830881E-2</v>
      </c>
      <c r="L288" s="22">
        <f t="shared" si="67"/>
        <v>1.2655466337890216E-2</v>
      </c>
      <c r="M288" s="22">
        <f t="shared" si="67"/>
        <v>1.266114333794641E-2</v>
      </c>
      <c r="N288" s="22">
        <f t="shared" si="67"/>
        <v>1.2544904339887072E-2</v>
      </c>
      <c r="O288" s="22">
        <f t="shared" si="67"/>
        <v>1.2355059245839619E-2</v>
      </c>
      <c r="P288" s="22">
        <f t="shared" si="67"/>
        <v>1.209464293091744E-2</v>
      </c>
      <c r="Q288" s="22">
        <f t="shared" si="67"/>
        <v>1.1905551806853851E-2</v>
      </c>
      <c r="R288" s="22">
        <f t="shared" si="67"/>
        <v>1.1733192711380727E-2</v>
      </c>
      <c r="S288" s="22">
        <f t="shared" si="67"/>
        <v>1.0454203346699911E-2</v>
      </c>
      <c r="T288" s="22">
        <f t="shared" si="67"/>
        <v>1.0617427311806347E-2</v>
      </c>
      <c r="U288" s="22">
        <f t="shared" si="67"/>
        <v>1.0686750028698176E-2</v>
      </c>
      <c r="V288" s="22">
        <f t="shared" si="67"/>
        <v>1.0732404232638389E-2</v>
      </c>
      <c r="W288" s="22">
        <f t="shared" si="67"/>
        <v>1.0816941059270873E-2</v>
      </c>
      <c r="X288" s="22">
        <f t="shared" ref="L288:AW295" si="68">X1544</f>
        <v>1.087990465613799E-2</v>
      </c>
      <c r="Y288" s="22">
        <f t="shared" si="68"/>
        <v>1.0912931398434408E-2</v>
      </c>
      <c r="Z288" s="22">
        <f t="shared" si="68"/>
        <v>1.0933166698202938E-2</v>
      </c>
      <c r="AA288" s="22">
        <f t="shared" si="68"/>
        <v>1.0935911642593046E-2</v>
      </c>
      <c r="AB288" s="22">
        <f t="shared" si="68"/>
        <v>1.0999416268014638E-2</v>
      </c>
      <c r="AC288" s="22">
        <f t="shared" si="68"/>
        <v>1.1054887166372485E-2</v>
      </c>
      <c r="AD288" s="22">
        <f t="shared" si="68"/>
        <v>1.1134699685884465E-2</v>
      </c>
      <c r="AE288" s="22">
        <f t="shared" si="68"/>
        <v>1.1269518115040561E-2</v>
      </c>
      <c r="AF288" s="22">
        <f t="shared" si="68"/>
        <v>1.1427397995711722E-2</v>
      </c>
      <c r="AG288" s="22">
        <f t="shared" si="68"/>
        <v>1.1641154570195772E-2</v>
      </c>
      <c r="AH288" s="22">
        <f t="shared" si="68"/>
        <v>1.1756549655379731E-2</v>
      </c>
      <c r="AI288" s="22">
        <f t="shared" si="68"/>
        <v>1.1857335577564188E-2</v>
      </c>
      <c r="AJ288" s="22">
        <f t="shared" si="68"/>
        <v>1.1983994600770704E-2</v>
      </c>
      <c r="AK288" s="22">
        <f t="shared" si="68"/>
        <v>1.209396190204173E-2</v>
      </c>
      <c r="AL288" s="22">
        <f t="shared" si="68"/>
        <v>1.2215639583254724E-2</v>
      </c>
      <c r="AM288" s="22">
        <f t="shared" si="68"/>
        <v>1.2334326609936505E-2</v>
      </c>
      <c r="AN288" s="22">
        <f t="shared" si="68"/>
        <v>1.2494119174505589E-2</v>
      </c>
      <c r="AO288" s="22">
        <f t="shared" si="68"/>
        <v>1.2632877696725955E-2</v>
      </c>
      <c r="AP288" s="22">
        <f t="shared" si="68"/>
        <v>1.2771512903072156E-2</v>
      </c>
      <c r="AQ288" s="22">
        <f t="shared" si="68"/>
        <v>1.2915071848641296E-2</v>
      </c>
      <c r="AR288" s="22">
        <f t="shared" si="68"/>
        <v>1.3065168276002324E-2</v>
      </c>
      <c r="AS288" s="22">
        <f t="shared" si="68"/>
        <v>1.3260773516090847E-2</v>
      </c>
      <c r="AT288" s="22">
        <f t="shared" si="68"/>
        <v>1.3321350802978501E-2</v>
      </c>
      <c r="AU288" s="22">
        <f t="shared" si="68"/>
        <v>1.3369734774933539E-2</v>
      </c>
      <c r="AV288" s="22">
        <f t="shared" si="68"/>
        <v>1.3419632668064721E-2</v>
      </c>
      <c r="AW288" s="22">
        <f t="shared" si="68"/>
        <v>1.3465299830163544E-2</v>
      </c>
      <c r="AY288" s="79"/>
    </row>
    <row r="289" spans="1:51" x14ac:dyDescent="0.2">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6.4453339767617107E-2</v>
      </c>
      <c r="L289" s="22">
        <f t="shared" si="68"/>
        <v>6.5763803942104557E-2</v>
      </c>
      <c r="M289" s="22">
        <f t="shared" si="68"/>
        <v>6.7295612361813625E-2</v>
      </c>
      <c r="N289" s="22">
        <f t="shared" si="68"/>
        <v>6.8471619369899747E-2</v>
      </c>
      <c r="O289" s="22">
        <f t="shared" si="68"/>
        <v>6.9415657765503513E-2</v>
      </c>
      <c r="P289" s="22">
        <f t="shared" si="68"/>
        <v>7.0122113289878343E-2</v>
      </c>
      <c r="Q289" s="22">
        <f t="shared" si="68"/>
        <v>7.1027984276732931E-2</v>
      </c>
      <c r="R289" s="22">
        <f t="shared" si="68"/>
        <v>7.1969839340941838E-2</v>
      </c>
      <c r="S289" s="22">
        <f t="shared" si="68"/>
        <v>6.9091020117855437E-2</v>
      </c>
      <c r="T289" s="22">
        <f t="shared" si="68"/>
        <v>7.0923520025616846E-2</v>
      </c>
      <c r="U289" s="22">
        <f t="shared" si="68"/>
        <v>7.2452558917721649E-2</v>
      </c>
      <c r="V289" s="22">
        <f t="shared" si="68"/>
        <v>7.3914725789307509E-2</v>
      </c>
      <c r="W289" s="22">
        <f t="shared" si="68"/>
        <v>7.5540335927502686E-2</v>
      </c>
      <c r="X289" s="22">
        <f t="shared" si="68"/>
        <v>7.710742274610026E-2</v>
      </c>
      <c r="Y289" s="22">
        <f t="shared" si="68"/>
        <v>7.8514475152186416E-2</v>
      </c>
      <c r="Z289" s="22">
        <f t="shared" si="68"/>
        <v>7.9886368180485237E-2</v>
      </c>
      <c r="AA289" s="22">
        <f t="shared" si="68"/>
        <v>8.1201368710931643E-2</v>
      </c>
      <c r="AB289" s="22">
        <f t="shared" si="68"/>
        <v>8.2782551319957556E-2</v>
      </c>
      <c r="AC289" s="22">
        <f t="shared" si="68"/>
        <v>8.4352893309328145E-2</v>
      </c>
      <c r="AD289" s="22">
        <f t="shared" si="68"/>
        <v>8.5998825916539595E-2</v>
      </c>
      <c r="AE289" s="22">
        <f t="shared" si="68"/>
        <v>8.791554994164491E-2</v>
      </c>
      <c r="AF289" s="22">
        <f t="shared" si="68"/>
        <v>8.9973918009766785E-2</v>
      </c>
      <c r="AG289" s="22">
        <f t="shared" si="68"/>
        <v>9.2332462068458354E-2</v>
      </c>
      <c r="AH289" s="22">
        <f t="shared" si="68"/>
        <v>9.4282044413809288E-2</v>
      </c>
      <c r="AI289" s="22">
        <f t="shared" si="68"/>
        <v>9.6147404966029248E-2</v>
      </c>
      <c r="AJ289" s="22">
        <f t="shared" si="68"/>
        <v>9.8173701325843382E-2</v>
      </c>
      <c r="AK289" s="22">
        <f t="shared" si="68"/>
        <v>0.1001572245577764</v>
      </c>
      <c r="AL289" s="22">
        <f t="shared" si="68"/>
        <v>0.10223848995104871</v>
      </c>
      <c r="AM289" s="22">
        <f t="shared" si="68"/>
        <v>0.10434595485218236</v>
      </c>
      <c r="AN289" s="22">
        <f t="shared" si="68"/>
        <v>0.10666367827206967</v>
      </c>
      <c r="AO289" s="22">
        <f t="shared" si="68"/>
        <v>0.10891945161625204</v>
      </c>
      <c r="AP289" s="22">
        <f t="shared" si="68"/>
        <v>0.11122270700738313</v>
      </c>
      <c r="AQ289" s="22">
        <f t="shared" si="68"/>
        <v>0.11360290610560657</v>
      </c>
      <c r="AR289" s="22">
        <f t="shared" si="68"/>
        <v>0.11607217368997393</v>
      </c>
      <c r="AS289" s="22">
        <f t="shared" si="68"/>
        <v>0.11880939144121157</v>
      </c>
      <c r="AT289" s="22">
        <f t="shared" si="68"/>
        <v>0.12081746755875615</v>
      </c>
      <c r="AU289" s="22">
        <f t="shared" si="68"/>
        <v>0.12279062605907758</v>
      </c>
      <c r="AV289" s="22">
        <f t="shared" si="68"/>
        <v>0.12480975001742217</v>
      </c>
      <c r="AW289" s="22">
        <f t="shared" si="68"/>
        <v>0.1268408444448812</v>
      </c>
      <c r="AY289" s="79"/>
    </row>
    <row r="290" spans="1:51" x14ac:dyDescent="0.2">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0.31034319165291718</v>
      </c>
      <c r="L290" s="22">
        <f t="shared" si="68"/>
        <v>0.31442985679016988</v>
      </c>
      <c r="M290" s="22">
        <f t="shared" si="68"/>
        <v>0.32099421325528477</v>
      </c>
      <c r="N290" s="22">
        <f t="shared" si="68"/>
        <v>0.3228790317815291</v>
      </c>
      <c r="O290" s="22">
        <f t="shared" si="68"/>
        <v>0.32172327535887091</v>
      </c>
      <c r="P290" s="22">
        <f t="shared" si="68"/>
        <v>0.31753924052538912</v>
      </c>
      <c r="Q290" s="22">
        <f t="shared" si="68"/>
        <v>0.31577785743754239</v>
      </c>
      <c r="R290" s="22">
        <f t="shared" si="68"/>
        <v>0.31441607582114922</v>
      </c>
      <c r="S290" s="22">
        <f t="shared" si="68"/>
        <v>0.26879192155029241</v>
      </c>
      <c r="T290" s="22">
        <f t="shared" si="68"/>
        <v>0.28063901740950847</v>
      </c>
      <c r="U290" s="22">
        <f t="shared" si="68"/>
        <v>0.28880309945041127</v>
      </c>
      <c r="V290" s="22">
        <f t="shared" si="68"/>
        <v>0.29604855006817871</v>
      </c>
      <c r="W290" s="22">
        <f t="shared" si="68"/>
        <v>0.30496938447162802</v>
      </c>
      <c r="X290" s="22">
        <f t="shared" si="68"/>
        <v>0.31306661968905752</v>
      </c>
      <c r="Y290" s="22">
        <f t="shared" si="68"/>
        <v>0.32021357019479407</v>
      </c>
      <c r="Z290" s="22">
        <f t="shared" si="68"/>
        <v>0.32685390014438859</v>
      </c>
      <c r="AA290" s="22">
        <f t="shared" si="68"/>
        <v>0.33276450713212152</v>
      </c>
      <c r="AB290" s="22">
        <f t="shared" si="68"/>
        <v>0.34142456701129209</v>
      </c>
      <c r="AC290" s="22">
        <f t="shared" si="68"/>
        <v>0.34982483105719137</v>
      </c>
      <c r="AD290" s="22">
        <f t="shared" si="68"/>
        <v>0.35965297279223607</v>
      </c>
      <c r="AE290" s="22">
        <f t="shared" si="68"/>
        <v>0.37217634319205956</v>
      </c>
      <c r="AF290" s="22">
        <f t="shared" si="68"/>
        <v>0.3859945703932357</v>
      </c>
      <c r="AG290" s="22">
        <f t="shared" si="68"/>
        <v>0.40272226665089866</v>
      </c>
      <c r="AH290" s="22">
        <f t="shared" si="68"/>
        <v>0.41501766533472662</v>
      </c>
      <c r="AI290" s="22">
        <f t="shared" si="68"/>
        <v>0.42700130219026528</v>
      </c>
      <c r="AJ290" s="22">
        <f t="shared" si="68"/>
        <v>0.44046546100421546</v>
      </c>
      <c r="AK290" s="22">
        <f t="shared" si="68"/>
        <v>0.45333055520989524</v>
      </c>
      <c r="AL290" s="22">
        <f t="shared" si="68"/>
        <v>0.46701619271583805</v>
      </c>
      <c r="AM290" s="22">
        <f t="shared" si="68"/>
        <v>0.48079646315959662</v>
      </c>
      <c r="AN290" s="22">
        <f t="shared" si="68"/>
        <v>0.49715144699339536</v>
      </c>
      <c r="AO290" s="22">
        <f t="shared" si="68"/>
        <v>0.51271284356388047</v>
      </c>
      <c r="AP290" s="22">
        <f t="shared" si="68"/>
        <v>0.52856616956956437</v>
      </c>
      <c r="AQ290" s="22">
        <f t="shared" si="68"/>
        <v>0.54499431888614669</v>
      </c>
      <c r="AR290" s="22">
        <f t="shared" si="68"/>
        <v>0.56210625186052299</v>
      </c>
      <c r="AS290" s="22">
        <f t="shared" si="68"/>
        <v>0.58227066272581418</v>
      </c>
      <c r="AT290" s="22">
        <f t="shared" si="68"/>
        <v>0.59525693388734258</v>
      </c>
      <c r="AU290" s="22">
        <f t="shared" si="68"/>
        <v>0.60778527419801665</v>
      </c>
      <c r="AV290" s="22">
        <f t="shared" si="68"/>
        <v>0.62062894178535877</v>
      </c>
      <c r="AW290" s="22">
        <f t="shared" si="68"/>
        <v>0.63346374044156473</v>
      </c>
      <c r="AY290" s="79"/>
    </row>
    <row r="291" spans="1:51" x14ac:dyDescent="0.2">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8.9709854381943815E-2</v>
      </c>
      <c r="M291" s="22">
        <f t="shared" si="68"/>
        <v>9.0417475033143083E-2</v>
      </c>
      <c r="N291" s="22">
        <f t="shared" si="68"/>
        <v>9.0872196678668984E-2</v>
      </c>
      <c r="O291" s="22">
        <f t="shared" si="68"/>
        <v>9.1174361291842948E-2</v>
      </c>
      <c r="P291" s="22">
        <f t="shared" si="68"/>
        <v>9.1320994898161728E-2</v>
      </c>
      <c r="Q291" s="22">
        <f t="shared" si="68"/>
        <v>9.1644963105957017E-2</v>
      </c>
      <c r="R291" s="22">
        <f t="shared" si="68"/>
        <v>9.2016609055475651E-2</v>
      </c>
      <c r="S291" s="22">
        <f t="shared" si="68"/>
        <v>8.9497634351969751E-2</v>
      </c>
      <c r="T291" s="22">
        <f t="shared" si="68"/>
        <v>9.0526156863539653E-2</v>
      </c>
      <c r="U291" s="22">
        <f t="shared" si="68"/>
        <v>9.133211275409571E-2</v>
      </c>
      <c r="V291" s="22">
        <f t="shared" si="68"/>
        <v>9.2095667401537948E-2</v>
      </c>
      <c r="W291" s="22">
        <f t="shared" si="68"/>
        <v>9.2988337377843094E-2</v>
      </c>
      <c r="X291" s="22">
        <f t="shared" si="68"/>
        <v>9.3843223396191833E-2</v>
      </c>
      <c r="Y291" s="22">
        <f t="shared" si="68"/>
        <v>9.4560210431129388E-2</v>
      </c>
      <c r="Z291" s="22">
        <f t="shared" si="68"/>
        <v>9.5257283424355771E-2</v>
      </c>
      <c r="AA291" s="22">
        <f t="shared" si="68"/>
        <v>9.5918466483612935E-2</v>
      </c>
      <c r="AB291" s="22">
        <f t="shared" si="68"/>
        <v>9.6778548113850782E-2</v>
      </c>
      <c r="AC291" s="22">
        <f t="shared" si="68"/>
        <v>9.7634207071548518E-2</v>
      </c>
      <c r="AD291" s="22">
        <f t="shared" si="68"/>
        <v>9.8526906814348045E-2</v>
      </c>
      <c r="AE291" s="22">
        <f t="shared" si="68"/>
        <v>9.9615980454525591E-2</v>
      </c>
      <c r="AF291" s="22">
        <f t="shared" si="68"/>
        <v>0.1008065868820634</v>
      </c>
      <c r="AG291" s="22">
        <f t="shared" si="68"/>
        <v>0.10221006700957981</v>
      </c>
      <c r="AH291" s="22">
        <f t="shared" si="68"/>
        <v>0.10332162680247739</v>
      </c>
      <c r="AI291" s="22">
        <f t="shared" si="68"/>
        <v>0.10435425380397972</v>
      </c>
      <c r="AJ291" s="22">
        <f t="shared" si="68"/>
        <v>0.10550009187328319</v>
      </c>
      <c r="AK291" s="22">
        <f t="shared" si="68"/>
        <v>0.10661516318950658</v>
      </c>
      <c r="AL291" s="22">
        <f t="shared" si="68"/>
        <v>0.10779775034487957</v>
      </c>
      <c r="AM291" s="22">
        <f t="shared" si="68"/>
        <v>0.10899733735251546</v>
      </c>
      <c r="AN291" s="22">
        <f t="shared" si="68"/>
        <v>0.11032305770963274</v>
      </c>
      <c r="AO291" s="22">
        <f t="shared" si="68"/>
        <v>0.1116034974988518</v>
      </c>
      <c r="AP291" s="22">
        <f t="shared" si="68"/>
        <v>0.11291437639210956</v>
      </c>
      <c r="AQ291" s="22">
        <f t="shared" si="68"/>
        <v>0.11427557081956052</v>
      </c>
      <c r="AR291" s="22">
        <f t="shared" si="68"/>
        <v>0.11569486271533871</v>
      </c>
      <c r="AS291" s="22">
        <f t="shared" si="68"/>
        <v>0.11727523367677491</v>
      </c>
      <c r="AT291" s="22">
        <f t="shared" si="68"/>
        <v>0.11835610910450192</v>
      </c>
      <c r="AU291" s="22">
        <f t="shared" si="68"/>
        <v>0.11941212579472428</v>
      </c>
      <c r="AV291" s="22">
        <f t="shared" si="68"/>
        <v>0.120498066178682</v>
      </c>
      <c r="AW291" s="22">
        <f t="shared" si="68"/>
        <v>0.12159075101335114</v>
      </c>
      <c r="AY291" s="79"/>
    </row>
    <row r="292" spans="1:51" x14ac:dyDescent="0.2">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2.7090100081973278E-2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2.7786681470952927E-2</v>
      </c>
      <c r="S292" s="22">
        <f t="shared" si="68"/>
        <v>2.7026015016948877E-2</v>
      </c>
      <c r="T292" s="22">
        <f t="shared" si="68"/>
        <v>2.7336602721799708E-2</v>
      </c>
      <c r="U292" s="22">
        <f t="shared" si="68"/>
        <v>2.7579980953625429E-2</v>
      </c>
      <c r="V292" s="22">
        <f t="shared" si="68"/>
        <v>2.7810555085751417E-2</v>
      </c>
      <c r="W292" s="22">
        <f t="shared" si="68"/>
        <v>2.8080118771534705E-2</v>
      </c>
      <c r="X292" s="22">
        <f t="shared" si="68"/>
        <v>2.8338272660595177E-2</v>
      </c>
      <c r="Y292" s="22">
        <f t="shared" si="68"/>
        <v>2.8554784555166308E-2</v>
      </c>
      <c r="Z292" s="22">
        <f t="shared" si="68"/>
        <v>2.8765282914360448E-2</v>
      </c>
      <c r="AA292" s="22">
        <f t="shared" si="68"/>
        <v>2.8964943424024437E-2</v>
      </c>
      <c r="AB292" s="22">
        <f t="shared" si="68"/>
        <v>2.9224666256062608E-2</v>
      </c>
      <c r="AC292" s="22">
        <f t="shared" si="68"/>
        <v>2.9483053553196983E-2</v>
      </c>
      <c r="AD292" s="22">
        <f t="shared" si="68"/>
        <v>2.9752626227706403E-2</v>
      </c>
      <c r="AE292" s="22">
        <f t="shared" si="68"/>
        <v>3.0081498837213019E-2</v>
      </c>
      <c r="AF292" s="22">
        <f t="shared" si="68"/>
        <v>3.0441031772612943E-2</v>
      </c>
      <c r="AG292" s="22">
        <f t="shared" si="68"/>
        <v>3.0864847164795019E-2</v>
      </c>
      <c r="AH292" s="22">
        <f t="shared" si="68"/>
        <v>3.1200510021948794E-2</v>
      </c>
      <c r="AI292" s="22">
        <f t="shared" si="68"/>
        <v>3.1512337178628218E-2</v>
      </c>
      <c r="AJ292" s="22">
        <f t="shared" si="68"/>
        <v>3.1858351205615788E-2</v>
      </c>
      <c r="AK292" s="22">
        <f t="shared" si="68"/>
        <v>3.2195074453726519E-2</v>
      </c>
      <c r="AL292" s="22">
        <f t="shared" si="68"/>
        <v>3.2552185772381829E-2</v>
      </c>
      <c r="AM292" s="22">
        <f t="shared" si="68"/>
        <v>3.2914430615133806E-2</v>
      </c>
      <c r="AN292" s="22">
        <f t="shared" si="68"/>
        <v>3.331476452942278E-2</v>
      </c>
      <c r="AO292" s="22">
        <f t="shared" si="68"/>
        <v>3.370142486097568E-2</v>
      </c>
      <c r="AP292" s="22">
        <f t="shared" si="68"/>
        <v>3.4097277029707398E-2</v>
      </c>
      <c r="AQ292" s="22">
        <f t="shared" si="68"/>
        <v>3.4508323213259036E-2</v>
      </c>
      <c r="AR292" s="22">
        <f t="shared" si="68"/>
        <v>3.4936913358311179E-2</v>
      </c>
      <c r="AS292" s="22">
        <f t="shared" si="68"/>
        <v>3.5414145294611905E-2</v>
      </c>
      <c r="AT292" s="22">
        <f t="shared" si="68"/>
        <v>3.5740542251947324E-2</v>
      </c>
      <c r="AU292" s="22">
        <f t="shared" si="68"/>
        <v>3.6059432501223176E-2</v>
      </c>
      <c r="AV292" s="22">
        <f t="shared" si="68"/>
        <v>3.638735894684221E-2</v>
      </c>
      <c r="AW292" s="22">
        <f t="shared" si="68"/>
        <v>3.6717322045469181E-2</v>
      </c>
      <c r="AY292" s="79"/>
    </row>
    <row r="293" spans="1:51" x14ac:dyDescent="0.2">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1.4564639612104711E-3</v>
      </c>
      <c r="M293" s="22">
        <f t="shared" si="68"/>
        <v>1.4679523755410987E-3</v>
      </c>
      <c r="N293" s="22">
        <f t="shared" si="68"/>
        <v>1.4753349055168039E-3</v>
      </c>
      <c r="O293" s="22">
        <f t="shared" si="68"/>
        <v>1.4802406304505133E-3</v>
      </c>
      <c r="P293" s="22">
        <f t="shared" si="68"/>
        <v>1.4826212670547858E-3</v>
      </c>
      <c r="Q293" s="22">
        <f t="shared" si="68"/>
        <v>1.4878809792957942E-3</v>
      </c>
      <c r="R293" s="22">
        <f t="shared" si="68"/>
        <v>1.4939147526814823E-3</v>
      </c>
      <c r="S293" s="22">
        <f t="shared" si="68"/>
        <v>1.4530185111243717E-3</v>
      </c>
      <c r="T293" s="22">
        <f t="shared" si="68"/>
        <v>1.4697168547089842E-3</v>
      </c>
      <c r="U293" s="22">
        <f t="shared" si="68"/>
        <v>1.4828017684791316E-3</v>
      </c>
      <c r="V293" s="22">
        <f t="shared" si="68"/>
        <v>1.4951982864990986E-3</v>
      </c>
      <c r="W293" s="22">
        <f t="shared" si="68"/>
        <v>1.5096910271093734E-3</v>
      </c>
      <c r="X293" s="22">
        <f t="shared" si="68"/>
        <v>1.5235703348537217E-3</v>
      </c>
      <c r="Y293" s="22">
        <f t="shared" si="68"/>
        <v>1.5352108149797475E-3</v>
      </c>
      <c r="Z293" s="22">
        <f t="shared" si="68"/>
        <v>1.5465279852054938E-3</v>
      </c>
      <c r="AA293" s="22">
        <f t="shared" si="68"/>
        <v>1.5572624725614869E-3</v>
      </c>
      <c r="AB293" s="22">
        <f t="shared" si="68"/>
        <v>1.5712261324823602E-3</v>
      </c>
      <c r="AC293" s="22">
        <f t="shared" si="68"/>
        <v>1.5851179891079189E-3</v>
      </c>
      <c r="AD293" s="22">
        <f t="shared" si="68"/>
        <v>1.5996112129853511E-3</v>
      </c>
      <c r="AE293" s="22">
        <f t="shared" si="68"/>
        <v>1.6172926206629243E-3</v>
      </c>
      <c r="AF293" s="22">
        <f t="shared" si="68"/>
        <v>1.636622440844233E-3</v>
      </c>
      <c r="AG293" s="22">
        <f t="shared" si="68"/>
        <v>1.6594083236225038E-3</v>
      </c>
      <c r="AH293" s="22">
        <f t="shared" si="68"/>
        <v>1.6774548001243291E-3</v>
      </c>
      <c r="AI293" s="22">
        <f t="shared" si="68"/>
        <v>1.6942197812228126E-3</v>
      </c>
      <c r="AJ293" s="22">
        <f t="shared" si="68"/>
        <v>1.7128227748941451E-3</v>
      </c>
      <c r="AK293" s="22">
        <f t="shared" si="68"/>
        <v>1.7309262619352049E-3</v>
      </c>
      <c r="AL293" s="22">
        <f t="shared" si="68"/>
        <v>1.7501258870450394E-3</v>
      </c>
      <c r="AM293" s="22">
        <f t="shared" si="68"/>
        <v>1.7696015093943904E-3</v>
      </c>
      <c r="AN293" s="22">
        <f t="shared" si="68"/>
        <v>1.7911249410852239E-3</v>
      </c>
      <c r="AO293" s="22">
        <f t="shared" si="68"/>
        <v>1.8119132304024437E-3</v>
      </c>
      <c r="AP293" s="22">
        <f t="shared" si="68"/>
        <v>1.8331957068783579E-3</v>
      </c>
      <c r="AQ293" s="22">
        <f t="shared" si="68"/>
        <v>1.8552950697793623E-3</v>
      </c>
      <c r="AR293" s="22">
        <f t="shared" si="68"/>
        <v>1.8783376609292489E-3</v>
      </c>
      <c r="AS293" s="22">
        <f t="shared" si="68"/>
        <v>1.9039954146569001E-3</v>
      </c>
      <c r="AT293" s="22">
        <f t="shared" si="68"/>
        <v>1.9215437221186409E-3</v>
      </c>
      <c r="AU293" s="22">
        <f t="shared" si="68"/>
        <v>1.938688441194845E-3</v>
      </c>
      <c r="AV293" s="22">
        <f t="shared" si="68"/>
        <v>1.9563189796028518E-3</v>
      </c>
      <c r="AW293" s="22">
        <f t="shared" si="68"/>
        <v>1.9740590160082297E-3</v>
      </c>
      <c r="AY293" s="79"/>
    </row>
    <row r="294" spans="1:51" x14ac:dyDescent="0.2">
      <c r="A294" s="95" t="str">
        <f t="shared" si="45"/>
        <v>FA MM Leaching</v>
      </c>
      <c r="B294" s="95" t="s">
        <v>962</v>
      </c>
      <c r="C294" s="95" t="s">
        <v>1333</v>
      </c>
      <c r="D294" t="s">
        <v>369</v>
      </c>
      <c r="E294" t="s">
        <v>64</v>
      </c>
      <c r="F294" t="s">
        <v>63</v>
      </c>
      <c r="G294" t="s">
        <v>1158</v>
      </c>
      <c r="H294" t="s">
        <v>1309</v>
      </c>
      <c r="I294" t="s">
        <v>139</v>
      </c>
      <c r="J294" t="s">
        <v>287</v>
      </c>
      <c r="K294" s="22">
        <f t="shared" si="65"/>
        <v>3.030301439269115E-2</v>
      </c>
      <c r="L294" s="22">
        <f t="shared" si="68"/>
        <v>3.0040206026371367E-2</v>
      </c>
      <c r="M294" s="22">
        <f t="shared" si="68"/>
        <v>2.99401628371932E-2</v>
      </c>
      <c r="N294" s="22">
        <f t="shared" si="68"/>
        <v>2.9540351153331298E-2</v>
      </c>
      <c r="O294" s="22">
        <f t="shared" si="68"/>
        <v>2.896001473012887E-2</v>
      </c>
      <c r="P294" s="22">
        <f t="shared" si="68"/>
        <v>2.8211154016296501E-2</v>
      </c>
      <c r="Q294" s="22">
        <f t="shared" si="68"/>
        <v>2.7620505669412022E-2</v>
      </c>
      <c r="R294" s="22">
        <f t="shared" si="68"/>
        <v>2.7061685185942385E-2</v>
      </c>
      <c r="S294" s="22">
        <f t="shared" si="68"/>
        <v>2.4017837723924858E-2</v>
      </c>
      <c r="T294" s="22">
        <f t="shared" si="68"/>
        <v>2.4477250922769193E-2</v>
      </c>
      <c r="U294" s="22">
        <f t="shared" si="68"/>
        <v>2.4722881599244746E-2</v>
      </c>
      <c r="V294" s="22">
        <f t="shared" si="68"/>
        <v>2.4911965822405392E-2</v>
      </c>
      <c r="W294" s="22">
        <f t="shared" si="68"/>
        <v>2.5185541319014813E-2</v>
      </c>
      <c r="X294" s="22">
        <f t="shared" si="68"/>
        <v>2.5407562443653844E-2</v>
      </c>
      <c r="Y294" s="22">
        <f t="shared" si="68"/>
        <v>2.5550689603830473E-2</v>
      </c>
      <c r="Z294" s="22">
        <f t="shared" si="68"/>
        <v>2.5662103388614917E-2</v>
      </c>
      <c r="AA294" s="22">
        <f t="shared" si="68"/>
        <v>2.5731155592918373E-2</v>
      </c>
      <c r="AB294" s="22">
        <f t="shared" si="68"/>
        <v>2.593557725784186E-2</v>
      </c>
      <c r="AC294" s="22">
        <f t="shared" si="68"/>
        <v>2.611950739638573E-2</v>
      </c>
      <c r="AD294" s="22">
        <f t="shared" si="68"/>
        <v>2.6128993823789925E-2</v>
      </c>
      <c r="AE294" s="22">
        <f t="shared" si="68"/>
        <v>2.6252210081774377E-2</v>
      </c>
      <c r="AF294" s="22">
        <f t="shared" si="68"/>
        <v>2.641514740098018E-2</v>
      </c>
      <c r="AG294" s="22">
        <f t="shared" si="68"/>
        <v>2.6688702803580544E-2</v>
      </c>
      <c r="AH294" s="22">
        <f t="shared" si="68"/>
        <v>2.6732393968630815E-2</v>
      </c>
      <c r="AI294" s="22">
        <f t="shared" si="68"/>
        <v>2.6727807661606592E-2</v>
      </c>
      <c r="AJ294" s="22">
        <f t="shared" si="68"/>
        <v>2.6767943392537564E-2</v>
      </c>
      <c r="AK294" s="22">
        <f t="shared" si="68"/>
        <v>2.6760535459775924E-2</v>
      </c>
      <c r="AL294" s="22">
        <f t="shared" si="68"/>
        <v>2.6766203431131164E-2</v>
      </c>
      <c r="AM294" s="22">
        <f t="shared" si="68"/>
        <v>2.675334011268881E-2</v>
      </c>
      <c r="AN294" s="22">
        <f t="shared" si="68"/>
        <v>2.694535805594156E-2</v>
      </c>
      <c r="AO294" s="22">
        <f t="shared" si="68"/>
        <v>2.7085830082425877E-2</v>
      </c>
      <c r="AP294" s="22">
        <f t="shared" si="68"/>
        <v>2.7218197229606188E-2</v>
      </c>
      <c r="AQ294" s="22">
        <f t="shared" si="68"/>
        <v>2.7352587206499832E-2</v>
      </c>
      <c r="AR294" s="22">
        <f t="shared" si="68"/>
        <v>2.7491914385096024E-2</v>
      </c>
      <c r="AS294" s="22">
        <f t="shared" si="68"/>
        <v>2.7710256058660829E-2</v>
      </c>
      <c r="AT294" s="22">
        <f t="shared" si="68"/>
        <v>2.7648758084134469E-2</v>
      </c>
      <c r="AU294" s="22">
        <f t="shared" si="68"/>
        <v>2.7556553714589756E-2</v>
      </c>
      <c r="AV294" s="22">
        <f t="shared" si="68"/>
        <v>2.7461054996500443E-2</v>
      </c>
      <c r="AW294" s="22">
        <f t="shared" si="68"/>
        <v>2.7350835179335974E-2</v>
      </c>
      <c r="AY294" s="79"/>
    </row>
    <row r="295" spans="1:51" x14ac:dyDescent="0.2">
      <c r="A295" s="95" t="str">
        <f t="shared" si="45"/>
        <v>FA MM Leaching</v>
      </c>
      <c r="B295" s="95" t="s">
        <v>962</v>
      </c>
      <c r="C295" s="95" t="s">
        <v>1333</v>
      </c>
      <c r="D295" t="s">
        <v>369</v>
      </c>
      <c r="E295" t="s">
        <v>64</v>
      </c>
      <c r="F295" t="s">
        <v>63</v>
      </c>
      <c r="G295" t="s">
        <v>1160</v>
      </c>
      <c r="H295" t="s">
        <v>1310</v>
      </c>
      <c r="I295" t="s">
        <v>139</v>
      </c>
      <c r="J295" t="s">
        <v>287</v>
      </c>
      <c r="K295" s="22">
        <f t="shared" si="65"/>
        <v>4.0226293185258936E-2</v>
      </c>
      <c r="L295" s="22">
        <f t="shared" si="68"/>
        <v>3.9877423391049029E-2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3.1882919944479234E-2</v>
      </c>
      <c r="T295" s="22">
        <f t="shared" si="69"/>
        <v>3.2492776435665373E-2</v>
      </c>
      <c r="U295" s="22">
        <f t="shared" si="69"/>
        <v>3.2818843389901528E-2</v>
      </c>
      <c r="V295" s="22">
        <f t="shared" si="69"/>
        <v>3.3069846715808329E-2</v>
      </c>
      <c r="W295" s="22">
        <f t="shared" si="69"/>
        <v>3.3433009534935908E-2</v>
      </c>
      <c r="X295" s="22">
        <f t="shared" si="69"/>
        <v>3.372773555582987E-2</v>
      </c>
      <c r="Y295" s="22">
        <f t="shared" si="69"/>
        <v>3.3917732334151289E-2</v>
      </c>
      <c r="Z295" s="22">
        <f t="shared" si="69"/>
        <v>3.4065630609667365E-2</v>
      </c>
      <c r="AA295" s="22">
        <f t="shared" si="69"/>
        <v>3.4157295226903257E-2</v>
      </c>
      <c r="AB295" s="22">
        <f t="shared" si="69"/>
        <v>3.4428658521658995E-2</v>
      </c>
      <c r="AC295" s="22">
        <f t="shared" si="69"/>
        <v>3.4672819963249946E-2</v>
      </c>
      <c r="AD295" s="22">
        <f t="shared" si="69"/>
        <v>3.4685412895593133E-2</v>
      </c>
      <c r="AE295" s="22">
        <f t="shared" si="69"/>
        <v>3.4848978580994651E-2</v>
      </c>
      <c r="AF295" s="22">
        <f t="shared" si="69"/>
        <v>3.5065272718873365E-2</v>
      </c>
      <c r="AG295" s="22">
        <f t="shared" si="69"/>
        <v>3.542840886383946E-2</v>
      </c>
      <c r="AH295" s="22">
        <f t="shared" si="69"/>
        <v>3.5486407503583416E-2</v>
      </c>
      <c r="AI295" s="22">
        <f t="shared" si="69"/>
        <v>3.5480319326064061E-2</v>
      </c>
      <c r="AJ295" s="22">
        <f t="shared" si="69"/>
        <v>3.5533598239465607E-2</v>
      </c>
      <c r="AK295" s="22">
        <f t="shared" si="69"/>
        <v>3.5523764443021973E-2</v>
      </c>
      <c r="AL295" s="22">
        <f t="shared" si="69"/>
        <v>3.5531288495729951E-2</v>
      </c>
      <c r="AM295" s="22">
        <f t="shared" si="69"/>
        <v>3.5514212847337627E-2</v>
      </c>
      <c r="AN295" s="22">
        <f t="shared" si="69"/>
        <v>3.5769110593879244E-2</v>
      </c>
      <c r="AO295" s="22">
        <f t="shared" si="69"/>
        <v>3.5955582766200436E-2</v>
      </c>
      <c r="AP295" s="22">
        <f t="shared" si="69"/>
        <v>3.6131295967585977E-2</v>
      </c>
      <c r="AQ295" s="22">
        <f t="shared" si="69"/>
        <v>3.6309694411438075E-2</v>
      </c>
      <c r="AR295" s="22">
        <f t="shared" si="69"/>
        <v>3.6494646834396953E-2</v>
      </c>
      <c r="AS295" s="22">
        <f t="shared" si="69"/>
        <v>3.678448850036322E-2</v>
      </c>
      <c r="AT295" s="22">
        <f t="shared" si="69"/>
        <v>3.6702851884231939E-2</v>
      </c>
      <c r="AU295" s="22">
        <f t="shared" si="69"/>
        <v>3.6580453499892925E-2</v>
      </c>
      <c r="AV295" s="22">
        <f t="shared" si="69"/>
        <v>3.6453681972054293E-2</v>
      </c>
      <c r="AW295" s="22">
        <f t="shared" si="69"/>
        <v>3.6307368650791018E-2</v>
      </c>
      <c r="AY295" s="79"/>
    </row>
    <row r="296" spans="1:51" x14ac:dyDescent="0.2">
      <c r="A296" s="95" t="str">
        <f t="shared" si="45"/>
        <v>FA MM Leaching</v>
      </c>
      <c r="B296" s="95" t="s">
        <v>962</v>
      </c>
      <c r="C296" s="95" t="s">
        <v>1333</v>
      </c>
      <c r="D296" t="s">
        <v>369</v>
      </c>
      <c r="E296" t="s">
        <v>64</v>
      </c>
      <c r="F296" t="s">
        <v>63</v>
      </c>
      <c r="G296" t="s">
        <v>1162</v>
      </c>
      <c r="H296" t="s">
        <v>1311</v>
      </c>
      <c r="I296" t="s">
        <v>139</v>
      </c>
      <c r="J296" t="s">
        <v>287</v>
      </c>
      <c r="K296" s="22">
        <f t="shared" si="65"/>
        <v>4.1968337096859203E-2</v>
      </c>
      <c r="L296" s="22">
        <f t="shared" si="69"/>
        <v>4.3383434779753476E-2</v>
      </c>
      <c r="M296" s="22">
        <f t="shared" si="69"/>
        <v>4.5063007666824861E-2</v>
      </c>
      <c r="N296" s="22">
        <f t="shared" si="69"/>
        <v>4.6315596244033502E-2</v>
      </c>
      <c r="O296" s="22">
        <f t="shared" si="69"/>
        <v>4.7281576900430208E-2</v>
      </c>
      <c r="P296" s="22">
        <f t="shared" si="69"/>
        <v>4.7947144057730852E-2</v>
      </c>
      <c r="Q296" s="22">
        <f t="shared" si="69"/>
        <v>4.8855920576585825E-2</v>
      </c>
      <c r="R296" s="22">
        <f t="shared" si="69"/>
        <v>4.9808583705724517E-2</v>
      </c>
      <c r="S296" s="22">
        <f t="shared" si="69"/>
        <v>4.5992827569741108E-2</v>
      </c>
      <c r="T296" s="22">
        <f t="shared" si="69"/>
        <v>4.8001865047769987E-2</v>
      </c>
      <c r="U296" s="22">
        <f t="shared" si="69"/>
        <v>4.9635626095010099E-2</v>
      </c>
      <c r="V296" s="22">
        <f t="shared" si="69"/>
        <v>5.1188596767602117E-2</v>
      </c>
      <c r="W296" s="22">
        <f t="shared" si="69"/>
        <v>5.2950508165481844E-2</v>
      </c>
      <c r="X296" s="22">
        <f t="shared" si="69"/>
        <v>5.4642195463321171E-2</v>
      </c>
      <c r="Y296" s="22">
        <f t="shared" si="69"/>
        <v>5.6197330304744171E-2</v>
      </c>
      <c r="Z296" s="22">
        <f t="shared" si="69"/>
        <v>5.7711583863191099E-2</v>
      </c>
      <c r="AA296" s="22">
        <f t="shared" si="69"/>
        <v>5.9156834222417472E-2</v>
      </c>
      <c r="AB296" s="22">
        <f t="shared" si="69"/>
        <v>6.0945336152729353E-2</v>
      </c>
      <c r="AC296" s="22">
        <f t="shared" si="69"/>
        <v>6.2724727985271067E-2</v>
      </c>
      <c r="AD296" s="22">
        <f t="shared" si="69"/>
        <v>6.4828386585152428E-2</v>
      </c>
      <c r="AE296" s="22">
        <f t="shared" si="69"/>
        <v>6.7298261230859621E-2</v>
      </c>
      <c r="AF296" s="22">
        <f t="shared" si="69"/>
        <v>6.9971651409000274E-2</v>
      </c>
      <c r="AG296" s="22">
        <f t="shared" si="69"/>
        <v>7.3058736585267875E-2</v>
      </c>
      <c r="AH296" s="22">
        <f t="shared" si="69"/>
        <v>7.563301385599043E-2</v>
      </c>
      <c r="AI296" s="22">
        <f t="shared" si="69"/>
        <v>7.8167775440571283E-2</v>
      </c>
      <c r="AJ296" s="22">
        <f t="shared" si="69"/>
        <v>8.0935873308178169E-2</v>
      </c>
      <c r="AK296" s="22">
        <f t="shared" si="69"/>
        <v>8.3668525365720503E-2</v>
      </c>
      <c r="AL296" s="22">
        <f t="shared" si="69"/>
        <v>8.6553364339565772E-2</v>
      </c>
      <c r="AM296" s="22">
        <f t="shared" si="69"/>
        <v>8.9495828472457392E-2</v>
      </c>
      <c r="AN296" s="22">
        <f t="shared" si="69"/>
        <v>9.2681440579714905E-2</v>
      </c>
      <c r="AO296" s="22">
        <f t="shared" si="69"/>
        <v>9.5802357584515191E-2</v>
      </c>
      <c r="AP296" s="22">
        <f t="shared" si="69"/>
        <v>9.9006841589941233E-2</v>
      </c>
      <c r="AQ296" s="22">
        <f t="shared" si="69"/>
        <v>0.10233590350911345</v>
      </c>
      <c r="AR296" s="22">
        <f t="shared" si="69"/>
        <v>0.10580733136333606</v>
      </c>
      <c r="AS296" s="22">
        <f t="shared" si="69"/>
        <v>0.10972241500262403</v>
      </c>
      <c r="AT296" s="22">
        <f t="shared" si="69"/>
        <v>0.11265304371652905</v>
      </c>
      <c r="AU296" s="22">
        <f t="shared" si="69"/>
        <v>0.11555235138269004</v>
      </c>
      <c r="AV296" s="22">
        <f t="shared" si="69"/>
        <v>0.11853253196869915</v>
      </c>
      <c r="AW296" s="22">
        <f t="shared" si="69"/>
        <v>0.12154670327230575</v>
      </c>
      <c r="AY296" s="79"/>
    </row>
    <row r="297" spans="1:51" x14ac:dyDescent="0.2">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4.4831371338441527E-3</v>
      </c>
      <c r="T297" s="22">
        <f t="shared" si="69"/>
        <v>4.4899645877902617E-3</v>
      </c>
      <c r="U297" s="22">
        <f t="shared" si="69"/>
        <v>4.4976812446803844E-3</v>
      </c>
      <c r="V297" s="22">
        <f t="shared" si="69"/>
        <v>4.5063863158882386E-3</v>
      </c>
      <c r="W297" s="22">
        <f t="shared" si="69"/>
        <v>4.5161788811117947E-3</v>
      </c>
      <c r="X297" s="22">
        <f t="shared" si="69"/>
        <v>4.5268547446196596E-3</v>
      </c>
      <c r="Y297" s="22">
        <f t="shared" si="69"/>
        <v>4.5333477172681842E-3</v>
      </c>
      <c r="Z297" s="22">
        <f t="shared" si="69"/>
        <v>4.5405999943124754E-3</v>
      </c>
      <c r="AA297" s="22">
        <f t="shared" si="69"/>
        <v>4.5485583758995193E-3</v>
      </c>
      <c r="AB297" s="22">
        <f t="shared" si="69"/>
        <v>4.5574030453961476E-3</v>
      </c>
      <c r="AC297" s="22">
        <f t="shared" si="69"/>
        <v>4.5669166889101189E-3</v>
      </c>
      <c r="AD297" s="22">
        <f t="shared" si="69"/>
        <v>4.5731331974710569E-3</v>
      </c>
      <c r="AE297" s="22">
        <f t="shared" si="69"/>
        <v>4.5801112561138658E-3</v>
      </c>
      <c r="AF297" s="22">
        <f t="shared" si="69"/>
        <v>4.5877393890876687E-3</v>
      </c>
      <c r="AG297" s="22">
        <f t="shared" si="69"/>
        <v>4.5960968162402412E-3</v>
      </c>
      <c r="AH297" s="22">
        <f t="shared" si="69"/>
        <v>4.60470160066862E-3</v>
      </c>
      <c r="AI297" s="22">
        <f t="shared" si="69"/>
        <v>4.6099752593178585E-3</v>
      </c>
      <c r="AJ297" s="22">
        <f t="shared" si="69"/>
        <v>4.6158010652929838E-3</v>
      </c>
      <c r="AK297" s="22">
        <f t="shared" si="69"/>
        <v>4.6220305138924079E-3</v>
      </c>
      <c r="AL297" s="22">
        <f t="shared" si="69"/>
        <v>4.6287377180545888E-3</v>
      </c>
      <c r="AM297" s="22">
        <f t="shared" si="69"/>
        <v>4.635862068128902E-3</v>
      </c>
      <c r="AN297" s="22">
        <f t="shared" si="69"/>
        <v>4.6399936101115553E-3</v>
      </c>
      <c r="AO297" s="22">
        <f t="shared" si="69"/>
        <v>4.6444376176989054E-3</v>
      </c>
      <c r="AP297" s="22">
        <f t="shared" si="69"/>
        <v>4.6492508857149065E-3</v>
      </c>
      <c r="AQ297" s="22">
        <f t="shared" si="69"/>
        <v>4.6544400588078442E-3</v>
      </c>
      <c r="AR297" s="22">
        <f t="shared" si="69"/>
        <v>4.6600015094737631E-3</v>
      </c>
      <c r="AS297" s="22">
        <f t="shared" si="69"/>
        <v>4.6624883129741824E-3</v>
      </c>
      <c r="AT297" s="22">
        <f t="shared" si="69"/>
        <v>4.6648029335130551E-3</v>
      </c>
      <c r="AU297" s="22">
        <f t="shared" si="69"/>
        <v>4.6673689256300846E-3</v>
      </c>
      <c r="AV297" s="22">
        <f t="shared" si="69"/>
        <v>4.6702274196843731E-3</v>
      </c>
      <c r="AW297" s="22">
        <f t="shared" si="69"/>
        <v>4.6733489894838004E-3</v>
      </c>
      <c r="AY297" s="79"/>
    </row>
    <row r="298" spans="1:51" x14ac:dyDescent="0.2">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3.7291632343986812E-3</v>
      </c>
      <c r="T298" s="22">
        <f t="shared" si="69"/>
        <v>3.7348424472980965E-3</v>
      </c>
      <c r="U298" s="22">
        <f t="shared" si="69"/>
        <v>3.7412613170109757E-3</v>
      </c>
      <c r="V298" s="22">
        <f t="shared" si="69"/>
        <v>3.7485023695444986E-3</v>
      </c>
      <c r="W298" s="22">
        <f t="shared" si="69"/>
        <v>3.7566480213753234E-3</v>
      </c>
      <c r="X298" s="22">
        <f t="shared" si="69"/>
        <v>3.7655284184054385E-3</v>
      </c>
      <c r="Y298" s="22">
        <f t="shared" si="69"/>
        <v>3.770929403064159E-3</v>
      </c>
      <c r="Z298" s="22">
        <f t="shared" si="69"/>
        <v>3.7769619923229323E-3</v>
      </c>
      <c r="AA298" s="22">
        <f t="shared" si="69"/>
        <v>3.7835819334787997E-3</v>
      </c>
      <c r="AB298" s="22">
        <f t="shared" si="69"/>
        <v>3.7909391066641191E-3</v>
      </c>
      <c r="AC298" s="22">
        <f t="shared" si="69"/>
        <v>3.7988527458320239E-3</v>
      </c>
      <c r="AD298" s="22">
        <f t="shared" si="69"/>
        <v>3.8040237621270109E-3</v>
      </c>
      <c r="AE298" s="22">
        <f t="shared" si="69"/>
        <v>3.8098282510287203E-3</v>
      </c>
      <c r="AF298" s="22">
        <f t="shared" si="69"/>
        <v>3.8161734847754797E-3</v>
      </c>
      <c r="AG298" s="22">
        <f t="shared" si="69"/>
        <v>3.823125360022894E-3</v>
      </c>
      <c r="AH298" s="22">
        <f t="shared" si="69"/>
        <v>3.8302829920051928E-3</v>
      </c>
      <c r="AI298" s="22">
        <f t="shared" si="69"/>
        <v>3.834669726864819E-3</v>
      </c>
      <c r="AJ298" s="22">
        <f t="shared" si="69"/>
        <v>3.8395157489258354E-3</v>
      </c>
      <c r="AK298" s="22">
        <f t="shared" si="69"/>
        <v>3.8446975290039364E-3</v>
      </c>
      <c r="AL298" s="22">
        <f t="shared" si="69"/>
        <v>3.8502767157253038E-3</v>
      </c>
      <c r="AM298" s="22">
        <f t="shared" si="69"/>
        <v>3.8562028927689521E-3</v>
      </c>
      <c r="AN298" s="22">
        <f t="shared" si="69"/>
        <v>3.8596395921165526E-3</v>
      </c>
      <c r="AO298" s="22">
        <f t="shared" si="69"/>
        <v>3.8633362066106815E-3</v>
      </c>
      <c r="AP298" s="22">
        <f t="shared" si="69"/>
        <v>3.8673399793231139E-3</v>
      </c>
      <c r="AQ298" s="22">
        <f t="shared" si="69"/>
        <v>3.8716564374053405E-3</v>
      </c>
      <c r="AR298" s="22">
        <f t="shared" si="69"/>
        <v>3.8762825634269383E-3</v>
      </c>
      <c r="AS298" s="22">
        <f t="shared" si="69"/>
        <v>3.8783511363721934E-3</v>
      </c>
      <c r="AT298" s="22">
        <f t="shared" si="69"/>
        <v>3.8802764840823911E-3</v>
      </c>
      <c r="AU298" s="22">
        <f t="shared" si="69"/>
        <v>3.8824109277045466E-3</v>
      </c>
      <c r="AV298" s="22">
        <f t="shared" si="69"/>
        <v>3.8847886802949221E-3</v>
      </c>
      <c r="AW298" s="22">
        <f t="shared" si="69"/>
        <v>3.8873852645577018E-3</v>
      </c>
      <c r="AY298" s="79"/>
    </row>
    <row r="299" spans="1:51" x14ac:dyDescent="0.2">
      <c r="A299" s="95" t="str">
        <f t="shared" si="45"/>
        <v>FA MM Leaching</v>
      </c>
      <c r="B299" s="95" t="s">
        <v>962</v>
      </c>
      <c r="C299" s="95" t="s">
        <v>1333</v>
      </c>
      <c r="D299" t="s">
        <v>369</v>
      </c>
      <c r="E299" t="s">
        <v>64</v>
      </c>
      <c r="F299" t="s">
        <v>63</v>
      </c>
      <c r="G299" t="s">
        <v>1168</v>
      </c>
      <c r="H299" t="s">
        <v>1314</v>
      </c>
      <c r="I299" t="s">
        <v>139</v>
      </c>
      <c r="J299" t="s">
        <v>287</v>
      </c>
      <c r="K299" s="22">
        <f t="shared" si="65"/>
        <v>5.4322987485311551E-4</v>
      </c>
      <c r="L299" s="22">
        <f t="shared" si="69"/>
        <v>5.4464201031358182E-4</v>
      </c>
      <c r="M299" s="22">
        <f t="shared" si="69"/>
        <v>5.4659000127818655E-4</v>
      </c>
      <c r="N299" s="22">
        <f t="shared" si="69"/>
        <v>5.4896316873921192E-4</v>
      </c>
      <c r="O299" s="22">
        <f t="shared" si="69"/>
        <v>5.5175812793145673E-4</v>
      </c>
      <c r="P299" s="22">
        <f t="shared" si="69"/>
        <v>5.5495786726734487E-4</v>
      </c>
      <c r="Q299" s="22">
        <f t="shared" si="69"/>
        <v>5.5840147541839707E-4</v>
      </c>
      <c r="R299" s="22">
        <f t="shared" si="69"/>
        <v>5.620753208024884E-4</v>
      </c>
      <c r="S299" s="22">
        <f t="shared" si="69"/>
        <v>5.6545048661351359E-4</v>
      </c>
      <c r="T299" s="22">
        <f t="shared" si="69"/>
        <v>5.6709357361271675E-4</v>
      </c>
      <c r="U299" s="22">
        <f t="shared" si="69"/>
        <v>5.688596151711496E-4</v>
      </c>
      <c r="V299" s="22">
        <f t="shared" si="69"/>
        <v>5.7077020841237065E-4</v>
      </c>
      <c r="W299" s="22">
        <f t="shared" si="69"/>
        <v>5.7284633112627235E-4</v>
      </c>
      <c r="X299" s="22">
        <f t="shared" si="69"/>
        <v>5.7505104202951998E-4</v>
      </c>
      <c r="Y299" s="22">
        <f t="shared" si="69"/>
        <v>5.7642933432393154E-4</v>
      </c>
      <c r="Z299" s="22">
        <f t="shared" si="69"/>
        <v>5.7792028160119863E-4</v>
      </c>
      <c r="AA299" s="22">
        <f t="shared" si="69"/>
        <v>5.7951511495132196E-4</v>
      </c>
      <c r="AB299" s="22">
        <f t="shared" si="69"/>
        <v>5.8124875364710992E-4</v>
      </c>
      <c r="AC299" s="22">
        <f t="shared" si="69"/>
        <v>5.8308126155427384E-4</v>
      </c>
      <c r="AD299" s="22">
        <f t="shared" si="69"/>
        <v>5.8427258810919626E-4</v>
      </c>
      <c r="AE299" s="22">
        <f t="shared" si="69"/>
        <v>5.8558467766040652E-4</v>
      </c>
      <c r="AF299" s="22">
        <f t="shared" si="69"/>
        <v>5.8699724042408691E-4</v>
      </c>
      <c r="AG299" s="22">
        <f t="shared" si="69"/>
        <v>5.8852547780245982E-4</v>
      </c>
      <c r="AH299" s="22">
        <f t="shared" si="69"/>
        <v>5.9008039799106414E-4</v>
      </c>
      <c r="AI299" s="22">
        <f t="shared" si="69"/>
        <v>5.9100081451309786E-4</v>
      </c>
      <c r="AJ299" s="22">
        <f t="shared" si="69"/>
        <v>5.9200813916272929E-4</v>
      </c>
      <c r="AK299" s="22">
        <f t="shared" si="69"/>
        <v>5.9307526025328071E-4</v>
      </c>
      <c r="AL299" s="22">
        <f t="shared" si="69"/>
        <v>5.942161722415414E-4</v>
      </c>
      <c r="AM299" s="22">
        <f t="shared" si="69"/>
        <v>5.9541998695626641E-4</v>
      </c>
      <c r="AN299" s="22">
        <f t="shared" si="69"/>
        <v>5.9606189392580344E-4</v>
      </c>
      <c r="AO299" s="22">
        <f t="shared" si="69"/>
        <v>5.9675021369894824E-4</v>
      </c>
      <c r="AP299" s="22">
        <f t="shared" si="69"/>
        <v>5.9749556471656829E-4</v>
      </c>
      <c r="AQ299" s="22">
        <f t="shared" si="69"/>
        <v>5.9829931979982535E-4</v>
      </c>
      <c r="AR299" s="22">
        <f t="shared" si="69"/>
        <v>5.9916094831137718E-4</v>
      </c>
      <c r="AS299" s="22">
        <f t="shared" si="69"/>
        <v>5.9945405400764929E-4</v>
      </c>
      <c r="AT299" s="22">
        <f t="shared" si="69"/>
        <v>5.9970848295436412E-4</v>
      </c>
      <c r="AU299" s="22">
        <f t="shared" si="69"/>
        <v>6.00001478883441E-4</v>
      </c>
      <c r="AV299" s="22">
        <f t="shared" si="69"/>
        <v>6.0034059567570894E-4</v>
      </c>
      <c r="AW299" s="22">
        <f t="shared" si="69"/>
        <v>6.0072058236705953E-4</v>
      </c>
      <c r="AY299" s="79"/>
    </row>
    <row r="300" spans="1:51" x14ac:dyDescent="0.2">
      <c r="A300" s="95" t="str">
        <f t="shared" si="45"/>
        <v>FA MM Leaching</v>
      </c>
      <c r="B300" s="95" t="s">
        <v>962</v>
      </c>
      <c r="C300" s="95" t="s">
        <v>1333</v>
      </c>
      <c r="D300" t="s">
        <v>369</v>
      </c>
      <c r="E300" t="s">
        <v>64</v>
      </c>
      <c r="F300" t="s">
        <v>63</v>
      </c>
      <c r="G300" t="s">
        <v>1170</v>
      </c>
      <c r="H300" t="s">
        <v>1315</v>
      </c>
      <c r="I300" t="s">
        <v>139</v>
      </c>
      <c r="J300" t="s">
        <v>287</v>
      </c>
      <c r="K300" s="22">
        <f t="shared" si="65"/>
        <v>6.6992563985089938E-3</v>
      </c>
      <c r="L300" s="22">
        <f t="shared" si="69"/>
        <v>6.716671231449923E-3</v>
      </c>
      <c r="M300" s="22">
        <f t="shared" si="69"/>
        <v>6.7406943780734313E-3</v>
      </c>
      <c r="N300" s="22">
        <f t="shared" si="69"/>
        <v>6.769960915195136E-3</v>
      </c>
      <c r="O300" s="22">
        <f t="shared" si="69"/>
        <v>6.8044291009834836E-3</v>
      </c>
      <c r="P300" s="22">
        <f t="shared" si="69"/>
        <v>6.8438891439814974E-3</v>
      </c>
      <c r="Q300" s="22">
        <f t="shared" si="69"/>
        <v>6.8863566425632549E-3</v>
      </c>
      <c r="R300" s="22">
        <f t="shared" si="69"/>
        <v>6.9316634884048298E-3</v>
      </c>
      <c r="S300" s="22">
        <f t="shared" si="69"/>
        <v>6.973286937707302E-3</v>
      </c>
      <c r="T300" s="22">
        <f t="shared" si="69"/>
        <v>6.9935499269173423E-3</v>
      </c>
      <c r="U300" s="22">
        <f t="shared" si="69"/>
        <v>7.0153292247027649E-3</v>
      </c>
      <c r="V300" s="22">
        <f t="shared" si="69"/>
        <v>7.0388911725791786E-3</v>
      </c>
      <c r="W300" s="22">
        <f t="shared" si="69"/>
        <v>7.0644944742734297E-3</v>
      </c>
      <c r="X300" s="22">
        <f t="shared" si="69"/>
        <v>7.0916835599794349E-3</v>
      </c>
      <c r="Y300" s="22">
        <f t="shared" si="69"/>
        <v>7.1086810299268487E-3</v>
      </c>
      <c r="Z300" s="22">
        <f t="shared" si="69"/>
        <v>7.1270677913135832E-3</v>
      </c>
      <c r="AA300" s="22">
        <f t="shared" si="69"/>
        <v>7.1467357035915266E-3</v>
      </c>
      <c r="AB300" s="22">
        <f t="shared" si="69"/>
        <v>7.1681154005910717E-3</v>
      </c>
      <c r="AC300" s="22">
        <f t="shared" si="69"/>
        <v>7.1907143792015659E-3</v>
      </c>
      <c r="AD300" s="22">
        <f t="shared" si="69"/>
        <v>7.2054061375440787E-3</v>
      </c>
      <c r="AE300" s="22">
        <f t="shared" si="69"/>
        <v>7.2215871775204617E-3</v>
      </c>
      <c r="AF300" s="22">
        <f t="shared" si="69"/>
        <v>7.2390072800791469E-3</v>
      </c>
      <c r="AG300" s="22">
        <f t="shared" si="69"/>
        <v>7.2578539129862047E-3</v>
      </c>
      <c r="AH300" s="22">
        <f t="shared" si="69"/>
        <v>7.277029605459848E-3</v>
      </c>
      <c r="AI300" s="22">
        <f t="shared" si="69"/>
        <v>7.2883804286747794E-3</v>
      </c>
      <c r="AJ300" s="22">
        <f t="shared" si="69"/>
        <v>7.3008030262100192E-3</v>
      </c>
      <c r="AK300" s="22">
        <f t="shared" si="69"/>
        <v>7.3139630494797169E-3</v>
      </c>
      <c r="AL300" s="22">
        <f t="shared" si="69"/>
        <v>7.3280330818754061E-3</v>
      </c>
      <c r="AM300" s="22">
        <f t="shared" si="69"/>
        <v>7.3428788475513491E-3</v>
      </c>
      <c r="AN300" s="22">
        <f t="shared" si="69"/>
        <v>7.3507950163262765E-3</v>
      </c>
      <c r="AO300" s="22">
        <f t="shared" si="69"/>
        <v>7.3592835602335977E-3</v>
      </c>
      <c r="AP300" s="22">
        <f t="shared" si="69"/>
        <v>7.3684754287317664E-3</v>
      </c>
      <c r="AQ300" s="22">
        <f t="shared" si="69"/>
        <v>7.3783875518192519E-3</v>
      </c>
      <c r="AR300" s="22">
        <f t="shared" si="69"/>
        <v>7.3890133855341444E-3</v>
      </c>
      <c r="AS300" s="22">
        <f t="shared" si="69"/>
        <v>7.3926280435308569E-3</v>
      </c>
      <c r="AT300" s="22">
        <f t="shared" si="69"/>
        <v>7.3957657294869287E-3</v>
      </c>
      <c r="AU300" s="22">
        <f t="shared" si="69"/>
        <v>7.3993790338051698E-3</v>
      </c>
      <c r="AV300" s="22">
        <f t="shared" si="69"/>
        <v>7.4035611129683564E-3</v>
      </c>
      <c r="AW300" s="22">
        <f t="shared" si="69"/>
        <v>7.4082472106798752E-3</v>
      </c>
      <c r="AY300" s="79"/>
    </row>
    <row r="301" spans="1:51" x14ac:dyDescent="0.2">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2">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2">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2.6729002214214585E-2</v>
      </c>
      <c r="M303" s="22">
        <f t="shared" si="70"/>
        <v>2.6740992333189322E-2</v>
      </c>
      <c r="N303" s="22">
        <f t="shared" si="70"/>
        <v>2.6495489531984443E-2</v>
      </c>
      <c r="O303" s="22">
        <f t="shared" si="70"/>
        <v>2.609452683304702E-2</v>
      </c>
      <c r="P303" s="22">
        <f t="shared" si="70"/>
        <v>2.5544514050244028E-2</v>
      </c>
      <c r="Q303" s="22">
        <f t="shared" si="70"/>
        <v>2.5145143775072754E-2</v>
      </c>
      <c r="R303" s="22">
        <f t="shared" si="70"/>
        <v>2.4781112413324518E-2</v>
      </c>
      <c r="S303" s="22">
        <f t="shared" si="70"/>
        <v>2.20798204460615E-2</v>
      </c>
      <c r="T303" s="22">
        <f t="shared" si="70"/>
        <v>2.2424557938008405E-2</v>
      </c>
      <c r="U303" s="22">
        <f t="shared" si="70"/>
        <v>2.2570971116616413E-2</v>
      </c>
      <c r="V303" s="22">
        <f t="shared" si="70"/>
        <v>2.2667395166558576E-2</v>
      </c>
      <c r="W303" s="22">
        <f t="shared" si="70"/>
        <v>2.284594133514007E-2</v>
      </c>
      <c r="X303" s="22">
        <f t="shared" si="70"/>
        <v>2.2978923721971391E-2</v>
      </c>
      <c r="Y303" s="22">
        <f t="shared" si="70"/>
        <v>2.3048677917067804E-2</v>
      </c>
      <c r="Z303" s="22">
        <f t="shared" si="70"/>
        <v>2.3091415921174294E-2</v>
      </c>
      <c r="AA303" s="22">
        <f t="shared" si="70"/>
        <v>2.3097213386295078E-2</v>
      </c>
      <c r="AB303" s="22">
        <f t="shared" si="70"/>
        <v>2.323133845353377E-2</v>
      </c>
      <c r="AC303" s="22">
        <f t="shared" si="70"/>
        <v>2.3348495871952417E-2</v>
      </c>
      <c r="AD303" s="22">
        <f t="shared" si="70"/>
        <v>2.3517064058520994E-2</v>
      </c>
      <c r="AE303" s="22">
        <f t="shared" si="70"/>
        <v>2.3801807583193908E-2</v>
      </c>
      <c r="AF303" s="22">
        <f t="shared" si="70"/>
        <v>2.4135258091248658E-2</v>
      </c>
      <c r="AG303" s="22">
        <f t="shared" si="70"/>
        <v>2.4586723078799614E-2</v>
      </c>
      <c r="AH303" s="22">
        <f t="shared" si="70"/>
        <v>2.483044349217995E-2</v>
      </c>
      <c r="AI303" s="22">
        <f t="shared" si="70"/>
        <v>2.5043308594524263E-2</v>
      </c>
      <c r="AJ303" s="22">
        <f t="shared" si="70"/>
        <v>2.531081903004264E-2</v>
      </c>
      <c r="AK303" s="22">
        <f t="shared" si="70"/>
        <v>2.5543075681886771E-2</v>
      </c>
      <c r="AL303" s="22">
        <f t="shared" si="70"/>
        <v>2.5800065264390357E-2</v>
      </c>
      <c r="AM303" s="22">
        <f t="shared" si="70"/>
        <v>2.6050738429193292E-2</v>
      </c>
      <c r="AN303" s="22">
        <f t="shared" si="70"/>
        <v>2.6388228624982798E-2</v>
      </c>
      <c r="AO303" s="22">
        <f t="shared" si="70"/>
        <v>2.6681293830850793E-2</v>
      </c>
      <c r="AP303" s="22">
        <f t="shared" si="70"/>
        <v>2.6974098587187682E-2</v>
      </c>
      <c r="AQ303" s="22">
        <f t="shared" si="70"/>
        <v>2.7277302536496094E-2</v>
      </c>
      <c r="AR303" s="22">
        <f t="shared" si="70"/>
        <v>2.759431398689733E-2</v>
      </c>
      <c r="AS303" s="22">
        <f t="shared" si="70"/>
        <v>2.800744241344803E-2</v>
      </c>
      <c r="AT303" s="22">
        <f t="shared" si="70"/>
        <v>2.8135384789660874E-2</v>
      </c>
      <c r="AU303" s="22">
        <f t="shared" si="70"/>
        <v>2.8237574251430975E-2</v>
      </c>
      <c r="AV303" s="22">
        <f t="shared" si="70"/>
        <v>2.8342961193356213E-2</v>
      </c>
      <c r="AW303" s="22">
        <f t="shared" si="70"/>
        <v>2.8439412611602398E-2</v>
      </c>
      <c r="AY303" s="79"/>
    </row>
    <row r="304" spans="1:51" x14ac:dyDescent="0.2">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3.9947810410006996E-3</v>
      </c>
      <c r="M304" s="22">
        <f t="shared" si="70"/>
        <v>3.9965730233416704E-3</v>
      </c>
      <c r="N304" s="22">
        <f t="shared" si="70"/>
        <v>3.9598814204188995E-3</v>
      </c>
      <c r="O304" s="22">
        <f t="shared" si="70"/>
        <v>3.8999555700251322E-3</v>
      </c>
      <c r="P304" s="22">
        <f t="shared" si="70"/>
        <v>3.8177534504158584E-3</v>
      </c>
      <c r="Q304" s="22">
        <f t="shared" si="70"/>
        <v>3.7580655955978051E-3</v>
      </c>
      <c r="R304" s="22">
        <f t="shared" si="70"/>
        <v>3.7036593154610876E-3</v>
      </c>
      <c r="S304" s="22">
        <f t="shared" si="70"/>
        <v>3.2999379250946686E-3</v>
      </c>
      <c r="T304" s="22">
        <f t="shared" si="70"/>
        <v>3.3514606413530125E-3</v>
      </c>
      <c r="U304" s="22">
        <f t="shared" si="70"/>
        <v>3.3733428120890697E-3</v>
      </c>
      <c r="V304" s="22">
        <f t="shared" si="70"/>
        <v>3.3877538613126231E-3</v>
      </c>
      <c r="W304" s="22">
        <f t="shared" si="70"/>
        <v>3.4144384656789365E-3</v>
      </c>
      <c r="X304" s="22">
        <f t="shared" si="70"/>
        <v>3.4343133384273955E-3</v>
      </c>
      <c r="Y304" s="22">
        <f t="shared" si="70"/>
        <v>3.4447384464755082E-3</v>
      </c>
      <c r="Z304" s="22">
        <f t="shared" si="70"/>
        <v>3.4511258517054724E-3</v>
      </c>
      <c r="AA304" s="22">
        <f t="shared" si="70"/>
        <v>3.4519923114245724E-3</v>
      </c>
      <c r="AB304" s="22">
        <f t="shared" si="70"/>
        <v>3.4720379633884583E-3</v>
      </c>
      <c r="AC304" s="22">
        <f t="shared" si="70"/>
        <v>3.4895477166579812E-3</v>
      </c>
      <c r="AD304" s="22">
        <f t="shared" si="70"/>
        <v>3.5147410624635305E-3</v>
      </c>
      <c r="AE304" s="22">
        <f t="shared" si="70"/>
        <v>3.5572973847981574E-3</v>
      </c>
      <c r="AF304" s="22">
        <f t="shared" si="70"/>
        <v>3.6071332057170833E-3</v>
      </c>
      <c r="AG304" s="22">
        <f t="shared" si="70"/>
        <v>3.6746068719052303E-3</v>
      </c>
      <c r="AH304" s="22">
        <f t="shared" si="70"/>
        <v>3.7110320881880462E-3</v>
      </c>
      <c r="AI304" s="22">
        <f t="shared" si="70"/>
        <v>3.7428458262513211E-3</v>
      </c>
      <c r="AJ304" s="22">
        <f t="shared" si="70"/>
        <v>3.7828265785261059E-3</v>
      </c>
      <c r="AK304" s="22">
        <f t="shared" si="70"/>
        <v>3.8175384791798387E-3</v>
      </c>
      <c r="AL304" s="22">
        <f t="shared" si="70"/>
        <v>3.8559468381485868E-3</v>
      </c>
      <c r="AM304" s="22">
        <f t="shared" si="70"/>
        <v>3.8934111773789473E-3</v>
      </c>
      <c r="AN304" s="22">
        <f t="shared" si="70"/>
        <v>3.9438507495282793E-3</v>
      </c>
      <c r="AO304" s="22">
        <f t="shared" si="70"/>
        <v>3.9876507881079406E-3</v>
      </c>
      <c r="AP304" s="22">
        <f t="shared" si="70"/>
        <v>4.0314119012222708E-3</v>
      </c>
      <c r="AQ304" s="22">
        <f t="shared" si="70"/>
        <v>4.0767272249499047E-3</v>
      </c>
      <c r="AR304" s="22">
        <f t="shared" si="70"/>
        <v>4.1241061477280058E-3</v>
      </c>
      <c r="AS304" s="22">
        <f t="shared" si="70"/>
        <v>4.1858502260387767E-3</v>
      </c>
      <c r="AT304" s="22">
        <f t="shared" si="70"/>
        <v>4.2049718443745261E-3</v>
      </c>
      <c r="AU304" s="22">
        <f t="shared" si="70"/>
        <v>4.2202445627946769E-3</v>
      </c>
      <c r="AV304" s="22">
        <f t="shared" si="70"/>
        <v>4.2359951603739652E-3</v>
      </c>
      <c r="AW304" s="22">
        <f t="shared" si="70"/>
        <v>4.2504102999253611E-3</v>
      </c>
      <c r="AY304" s="79"/>
    </row>
    <row r="305" spans="1:51" x14ac:dyDescent="0.2">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1.7066731126843742E-2</v>
      </c>
      <c r="M305" s="22">
        <f t="shared" si="70"/>
        <v>1.7464259263446445E-2</v>
      </c>
      <c r="N305" s="22">
        <f t="shared" si="70"/>
        <v>1.77694513935726E-2</v>
      </c>
      <c r="O305" s="22">
        <f t="shared" si="70"/>
        <v>1.8014444056791572E-2</v>
      </c>
      <c r="P305" s="22">
        <f t="shared" si="70"/>
        <v>1.8197780265539365E-2</v>
      </c>
      <c r="Q305" s="22">
        <f t="shared" si="70"/>
        <v>1.8432867891885713E-2</v>
      </c>
      <c r="R305" s="22">
        <f t="shared" si="70"/>
        <v>1.8677293946611207E-2</v>
      </c>
      <c r="S305" s="22">
        <f t="shared" si="70"/>
        <v>1.7930195532315427E-2</v>
      </c>
      <c r="T305" s="22">
        <f t="shared" si="70"/>
        <v>1.8405757792115097E-2</v>
      </c>
      <c r="U305" s="22">
        <f t="shared" si="70"/>
        <v>1.880256719318036E-2</v>
      </c>
      <c r="V305" s="22">
        <f t="shared" si="70"/>
        <v>1.9182022263661121E-2</v>
      </c>
      <c r="W305" s="22">
        <f t="shared" si="70"/>
        <v>1.9603893406791358E-2</v>
      </c>
      <c r="X305" s="22">
        <f t="shared" si="70"/>
        <v>2.0010576837223248E-2</v>
      </c>
      <c r="Y305" s="22">
        <f t="shared" si="70"/>
        <v>2.0375728845723119E-2</v>
      </c>
      <c r="Z305" s="22">
        <f t="shared" si="70"/>
        <v>2.0731756448222814E-2</v>
      </c>
      <c r="AA305" s="22">
        <f t="shared" si="70"/>
        <v>2.1073019561660463E-2</v>
      </c>
      <c r="AB305" s="22">
        <f t="shared" si="70"/>
        <v>2.148336106919314E-2</v>
      </c>
      <c r="AC305" s="22">
        <f t="shared" si="70"/>
        <v>2.1890889267126682E-2</v>
      </c>
      <c r="AD305" s="22">
        <f t="shared" si="70"/>
        <v>2.231803440740647E-2</v>
      </c>
      <c r="AE305" s="22">
        <f t="shared" si="70"/>
        <v>2.2815454137105083E-2</v>
      </c>
      <c r="AF305" s="22">
        <f t="shared" si="70"/>
        <v>2.3349632701496571E-2</v>
      </c>
      <c r="AG305" s="22">
        <f t="shared" si="70"/>
        <v>2.396171160946152E-2</v>
      </c>
      <c r="AH305" s="22">
        <f t="shared" si="70"/>
        <v>2.4467658584898602E-2</v>
      </c>
      <c r="AI305" s="22">
        <f t="shared" si="70"/>
        <v>2.4951748693606203E-2</v>
      </c>
      <c r="AJ305" s="22">
        <f t="shared" si="70"/>
        <v>2.5477604150305377E-2</v>
      </c>
      <c r="AK305" s="22">
        <f t="shared" si="70"/>
        <v>2.5992359314301834E-2</v>
      </c>
      <c r="AL305" s="22">
        <f t="shared" si="70"/>
        <v>2.6532480091102609E-2</v>
      </c>
      <c r="AM305" s="22">
        <f t="shared" si="70"/>
        <v>2.7079400048144214E-2</v>
      </c>
      <c r="AN305" s="22">
        <f t="shared" si="70"/>
        <v>2.7680885364723965E-2</v>
      </c>
      <c r="AO305" s="22">
        <f t="shared" si="70"/>
        <v>2.8266293672037732E-2</v>
      </c>
      <c r="AP305" s="22">
        <f t="shared" si="70"/>
        <v>2.886402430987451E-2</v>
      </c>
      <c r="AQ305" s="22">
        <f t="shared" si="70"/>
        <v>2.9481723037787178E-2</v>
      </c>
      <c r="AR305" s="22">
        <f t="shared" si="70"/>
        <v>3.0122536424733722E-2</v>
      </c>
      <c r="AS305" s="22">
        <f t="shared" si="70"/>
        <v>3.0832887052217536E-2</v>
      </c>
      <c r="AT305" s="22">
        <f t="shared" si="70"/>
        <v>3.1354014072341549E-2</v>
      </c>
      <c r="AU305" s="22">
        <f t="shared" si="70"/>
        <v>3.1866079427096267E-2</v>
      </c>
      <c r="AV305" s="22">
        <f t="shared" si="70"/>
        <v>3.2390073533933091E-2</v>
      </c>
      <c r="AW305" s="22">
        <f t="shared" si="70"/>
        <v>3.2917174163896501E-2</v>
      </c>
      <c r="AY305" s="79"/>
    </row>
    <row r="306" spans="1:51" x14ac:dyDescent="0.2">
      <c r="A306" s="95" t="str">
        <f t="shared" si="45"/>
        <v>FA MM Leaching</v>
      </c>
      <c r="B306" s="95" t="s">
        <v>962</v>
      </c>
      <c r="C306" s="95" t="s">
        <v>1333</v>
      </c>
      <c r="D306" t="s">
        <v>369</v>
      </c>
      <c r="E306" t="s">
        <v>64</v>
      </c>
      <c r="F306" t="s">
        <v>63</v>
      </c>
      <c r="G306" t="s">
        <v>1182</v>
      </c>
      <c r="H306" t="s">
        <v>1321</v>
      </c>
      <c r="I306" t="s">
        <v>139</v>
      </c>
      <c r="J306" t="s">
        <v>287</v>
      </c>
      <c r="K306" s="22">
        <f t="shared" si="65"/>
        <v>7.758579791322931E-2</v>
      </c>
      <c r="L306" s="22">
        <f t="shared" si="70"/>
        <v>7.860746419754247E-2</v>
      </c>
      <c r="M306" s="22">
        <f t="shared" si="70"/>
        <v>8.0248553313821205E-2</v>
      </c>
      <c r="N306" s="22">
        <f t="shared" si="70"/>
        <v>8.0719757945382262E-2</v>
      </c>
      <c r="O306" s="22">
        <f t="shared" si="70"/>
        <v>8.0430818839717741E-2</v>
      </c>
      <c r="P306" s="22">
        <f t="shared" si="70"/>
        <v>7.938481013134728E-2</v>
      </c>
      <c r="Q306" s="22">
        <f t="shared" si="70"/>
        <v>7.8944464359385597E-2</v>
      </c>
      <c r="R306" s="22">
        <f t="shared" si="70"/>
        <v>7.8604018955287305E-2</v>
      </c>
      <c r="S306" s="22">
        <f t="shared" si="70"/>
        <v>6.7197980387573103E-2</v>
      </c>
      <c r="T306" s="22">
        <f t="shared" si="70"/>
        <v>7.0159754352377118E-2</v>
      </c>
      <c r="U306" s="22">
        <f t="shared" si="70"/>
        <v>7.2200774862602818E-2</v>
      </c>
      <c r="V306" s="22">
        <f t="shared" si="70"/>
        <v>7.4012137517044677E-2</v>
      </c>
      <c r="W306" s="22">
        <f t="shared" si="70"/>
        <v>7.624234611790702E-2</v>
      </c>
      <c r="X306" s="22">
        <f t="shared" si="70"/>
        <v>7.8266654922264395E-2</v>
      </c>
      <c r="Y306" s="22">
        <f t="shared" si="70"/>
        <v>8.0053392548698518E-2</v>
      </c>
      <c r="Z306" s="22">
        <f t="shared" si="70"/>
        <v>8.1713475036097147E-2</v>
      </c>
      <c r="AA306" s="22">
        <f t="shared" si="70"/>
        <v>8.3191126783030381E-2</v>
      </c>
      <c r="AB306" s="22">
        <f t="shared" si="70"/>
        <v>8.5356141752823037E-2</v>
      </c>
      <c r="AC306" s="22">
        <f t="shared" si="70"/>
        <v>8.7456207764297841E-2</v>
      </c>
      <c r="AD306" s="22">
        <f t="shared" si="70"/>
        <v>8.9913243198059017E-2</v>
      </c>
      <c r="AE306" s="22">
        <f t="shared" si="70"/>
        <v>9.3044085798014903E-2</v>
      </c>
      <c r="AF306" s="22">
        <f t="shared" si="70"/>
        <v>9.6498642598308926E-2</v>
      </c>
      <c r="AG306" s="22">
        <f t="shared" si="70"/>
        <v>0.10068056666272467</v>
      </c>
      <c r="AH306" s="22">
        <f t="shared" si="70"/>
        <v>0.10375441633368165</v>
      </c>
      <c r="AI306" s="22">
        <f t="shared" si="70"/>
        <v>0.10675032554756632</v>
      </c>
      <c r="AJ306" s="22">
        <f t="shared" si="70"/>
        <v>0.11011636525105389</v>
      </c>
      <c r="AK306" s="22">
        <f t="shared" si="70"/>
        <v>0.11333263880247381</v>
      </c>
      <c r="AL306" s="22">
        <f t="shared" si="70"/>
        <v>0.11675404817895949</v>
      </c>
      <c r="AM306" s="22">
        <f t="shared" si="70"/>
        <v>0.12019911578989917</v>
      </c>
      <c r="AN306" s="22">
        <f t="shared" si="70"/>
        <v>0.12428786174834884</v>
      </c>
      <c r="AO306" s="22">
        <f t="shared" si="70"/>
        <v>0.12817821089097012</v>
      </c>
      <c r="AP306" s="22">
        <f t="shared" si="70"/>
        <v>0.13214154239239112</v>
      </c>
      <c r="AQ306" s="22">
        <f t="shared" si="70"/>
        <v>0.13624857972153667</v>
      </c>
      <c r="AR306" s="22">
        <f t="shared" si="70"/>
        <v>0.14052656296513075</v>
      </c>
      <c r="AS306" s="22">
        <f t="shared" si="70"/>
        <v>0.14556766568145355</v>
      </c>
      <c r="AT306" s="22">
        <f t="shared" si="70"/>
        <v>0.14881423347183564</v>
      </c>
      <c r="AU306" s="22">
        <f t="shared" si="70"/>
        <v>0.15194631854950416</v>
      </c>
      <c r="AV306" s="22">
        <f t="shared" si="70"/>
        <v>0.15515723544633972</v>
      </c>
      <c r="AW306" s="22">
        <f t="shared" si="70"/>
        <v>0.15836593511039121</v>
      </c>
      <c r="AY306" s="79"/>
    </row>
    <row r="307" spans="1:51" x14ac:dyDescent="0.2">
      <c r="B307" s="101"/>
    </row>
    <row r="308" spans="1:51" x14ac:dyDescent="0.2">
      <c r="B308" s="101"/>
    </row>
    <row r="309" spans="1:51" x14ac:dyDescent="0.2">
      <c r="B309" s="101"/>
    </row>
    <row r="310" spans="1:51" x14ac:dyDescent="0.2">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72.649957574793405</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73.83596289834658</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74.518042528471312</v>
      </c>
      <c r="S310" s="93">
        <f>IF('Net zero activities &amp; levers'!$C$7="Off",(('Activity data'!AL5*EF!$H4)*kgtoGg),IF('Net zero activities &amp; levers'!$C$7="On",((('Net zero supporting data'!J76*EF!$H4)+('Net zero supporting data'!J71*'Net zero supporting data'!J56))*kgtoGg),"ERROR"))</f>
        <v>72.478094892813189</v>
      </c>
      <c r="T310" s="93">
        <f>IF('Net zero activities &amp; levers'!$C$7="Off",(('Activity data'!AM5*EF!$H4)*kgtoGg),IF('Net zero activities &amp; levers'!$C$7="On",((('Net zero supporting data'!K76*EF!$H4)+('Net zero supporting data'!K71*'Net zero supporting data'!K56))*kgtoGg),"ERROR"))</f>
        <v>72.695462132797758</v>
      </c>
      <c r="U310" s="93">
        <f>IF('Net zero activities &amp; levers'!$C$7="Off",(('Activity data'!AN5*EF!$H4)*kgtoGg),IF('Net zero activities &amp; levers'!$C$7="On",((('Net zero supporting data'!L76*EF!$H4)+('Net zero supporting data'!L71*'Net zero supporting data'!L56))*kgtoGg),"ERROR"))</f>
        <v>72.663875546347825</v>
      </c>
      <c r="V310" s="93">
        <f>IF('Net zero activities &amp; levers'!$C$7="Off",(('Activity data'!AO5*EF!$H4)*kgtoGg),IF('Net zero activities &amp; levers'!$C$7="On",((('Net zero supporting data'!M76*EF!$H4)+('Net zero supporting data'!M71*'Net zero supporting data'!M56))*kgtoGg),"ERROR"))</f>
        <v>72.530087424660167</v>
      </c>
      <c r="W310" s="93">
        <f>IF('Net zero activities &amp; levers'!$C$7="Off",(('Activity data'!AP5*EF!$H4)*kgtoGg),IF('Net zero activities &amp; levers'!$C$7="On",((('Net zero supporting data'!N76*EF!$H4)+('Net zero supporting data'!N71*'Net zero supporting data'!N56))*kgtoGg),"ERROR"))</f>
        <v>72.428746495436243</v>
      </c>
      <c r="X310" s="93">
        <f>IF('Net zero activities &amp; levers'!$C$7="Off",(('Activity data'!AQ5*EF!$H4)*kgtoGg),IF('Net zero activities &amp; levers'!$C$7="On",((('Net zero supporting data'!O76*EF!$H4)+('Net zero supporting data'!O71*'Net zero supporting data'!O56))*kgtoGg),"ERROR"))</f>
        <v>72.227897181586798</v>
      </c>
      <c r="Y310" s="93">
        <f>IF('Net zero activities &amp; levers'!$C$7="Off",(('Activity data'!AR5*EF!$H4)*kgtoGg),IF('Net zero activities &amp; levers'!$C$7="On",((('Net zero supporting data'!P76*EF!$H4)+('Net zero supporting data'!P71*'Net zero supporting data'!P56))*kgtoGg),"ERROR"))</f>
        <v>71.852482821587188</v>
      </c>
      <c r="Z310" s="93">
        <f>IF('Net zero activities &amp; levers'!$C$7="Off",(('Activity data'!AS5*EF!$H4)*kgtoGg),IF('Net zero activities &amp; levers'!$C$7="On",((('Net zero supporting data'!Q76*EF!$H4)+('Net zero supporting data'!Q71*'Net zero supporting data'!Q56))*kgtoGg),"ERROR"))</f>
        <v>71.395242701857654</v>
      </c>
      <c r="AA310" s="93">
        <f>IF('Net zero activities &amp; levers'!$C$7="Off",(('Activity data'!AT5*EF!$H4)*kgtoGg),IF('Net zero activities &amp; levers'!$C$7="On",((('Net zero supporting data'!R76*EF!$H4)+('Net zero supporting data'!R71*'Net zero supporting data'!R56))*kgtoGg),"ERROR"))</f>
        <v>70.845327924134708</v>
      </c>
      <c r="AB310" s="93">
        <f>IF('Net zero activities &amp; levers'!$C$7="Off",(('Activity data'!AU5*EF!$H4)*kgtoGg),IF('Net zero activities &amp; levers'!$C$7="On",((('Net zero supporting data'!S76*EF!$H4)+('Net zero supporting data'!S71*'Net zero supporting data'!S56))*kgtoGg),"ERROR"))</f>
        <v>70.375076658226988</v>
      </c>
      <c r="AC310" s="93">
        <f>IF('Net zero activities &amp; levers'!$C$7="Off",(('Activity data'!AV5*EF!$H4)*kgtoGg),IF('Net zero activities &amp; levers'!$C$7="On",((('Net zero supporting data'!T76*EF!$H4)+('Net zero supporting data'!T71*'Net zero supporting data'!T56))*kgtoGg),"ERROR"))</f>
        <v>69.832418780008297</v>
      </c>
      <c r="AD310" s="93">
        <f>IF('Net zero activities &amp; levers'!$C$7="Off",(('Activity data'!AW5*EF!$H4)*kgtoGg),IF('Net zero activities &amp; levers'!$C$7="On",((('Net zero supporting data'!U76*EF!$H4)+('Net zero supporting data'!U71*'Net zero supporting data'!U56))*kgtoGg),"ERROR"))</f>
        <v>70.055547443204006</v>
      </c>
      <c r="AE310" s="93">
        <f>IF('Net zero activities &amp; levers'!$C$7="Off",(('Activity data'!AX5*EF!$H4)*kgtoGg),IF('Net zero activities &amp; levers'!$C$7="On",((('Net zero supporting data'!V76*EF!$H4)+('Net zero supporting data'!V71*'Net zero supporting data'!V56))*kgtoGg),"ERROR"))</f>
        <v>70.396145864115738</v>
      </c>
      <c r="AF310" s="93">
        <f>IF('Net zero activities &amp; levers'!$C$7="Off",(('Activity data'!AY5*EF!$H4)*kgtoGg),IF('Net zero activities &amp; levers'!$C$7="On",((('Net zero supporting data'!W76*EF!$H4)+('Net zero supporting data'!W71*'Net zero supporting data'!W56))*kgtoGg),"ERROR"))</f>
        <v>70.784673795157786</v>
      </c>
      <c r="AG310" s="93">
        <f>IF('Net zero activities &amp; levers'!$C$7="Off",(('Activity data'!AZ5*EF!$H4)*kgtoGg),IF('Net zero activities &amp; levers'!$C$7="On",((('Net zero supporting data'!X76*EF!$H4)+('Net zero supporting data'!X71*'Net zero supporting data'!X56))*kgtoGg),"ERROR"))</f>
        <v>71.297011278987966</v>
      </c>
      <c r="AH310" s="93">
        <f>IF('Net zero activities &amp; levers'!$C$7="Off",(('Activity data'!BA5*EF!$H4)*kgtoGg),IF('Net zero activities &amp; levers'!$C$7="On",((('Net zero supporting data'!Y76*EF!$H4)+('Net zero supporting data'!Y71*'Net zero supporting data'!Y56))*kgtoGg),"ERROR"))</f>
        <v>71.579985078886821</v>
      </c>
      <c r="AI310" s="93">
        <f>IF('Net zero activities &amp; levers'!$C$7="Off",(('Activity data'!BB5*EF!$H4)*kgtoGg),IF('Net zero activities &amp; levers'!$C$7="On",((('Net zero supporting data'!Z76*EF!$H4)+('Net zero supporting data'!Z71*'Net zero supporting data'!Z56))*kgtoGg),"ERROR"))</f>
        <v>71.783901225517511</v>
      </c>
      <c r="AJ310" s="93">
        <f>IF('Net zero activities &amp; levers'!$C$7="Off",(('Activity data'!BC5*EF!$H4)*kgtoGg),IF('Net zero activities &amp; levers'!$C$7="On",((('Net zero supporting data'!AA76*EF!$H4)+('Net zero supporting data'!AA71*'Net zero supporting data'!AA56))*kgtoGg),"ERROR"))</f>
        <v>72.040782396405518</v>
      </c>
      <c r="AK310" s="93">
        <f>IF('Net zero activities &amp; levers'!$C$7="Off",(('Activity data'!BD5*EF!$H4)*kgtoGg),IF('Net zero activities &amp; levers'!$C$7="On",((('Net zero supporting data'!AB76*EF!$H4)+('Net zero supporting data'!AB71*'Net zero supporting data'!AB56))*kgtoGg),"ERROR"))</f>
        <v>72.250961250931994</v>
      </c>
      <c r="AL310" s="93">
        <f>IF('Net zero activities &amp; levers'!$C$7="Off",(('Activity data'!BE5*EF!$H4)*kgtoGg),IF('Net zero activities &amp; levers'!$C$7="On",((('Net zero supporting data'!AC76*EF!$H4)+('Net zero supporting data'!AC71*'Net zero supporting data'!AC56))*kgtoGg),"ERROR"))</f>
        <v>72.480627487887404</v>
      </c>
      <c r="AM310" s="93">
        <f>IF('Net zero activities &amp; levers'!$C$7="Off",(('Activity data'!BF5*EF!$H4)*kgtoGg),IF('Net zero activities &amp; levers'!$C$7="On",((('Net zero supporting data'!AD76*EF!$H4)+('Net zero supporting data'!AD71*'Net zero supporting data'!AD56))*kgtoGg),"ERROR"))</f>
        <v>72.694621701419265</v>
      </c>
      <c r="AN310" s="93">
        <f>IF('Net zero activities &amp; levers'!$C$7="Off",(('Activity data'!BG5*EF!$H4)*kgtoGg),IF('Net zero activities &amp; levers'!$C$7="On",((('Net zero supporting data'!AE76*EF!$H4)+('Net zero supporting data'!AE71*'Net zero supporting data'!AE56))*kgtoGg),"ERROR"))</f>
        <v>72.964446989058601</v>
      </c>
      <c r="AO310" s="93">
        <f>IF('Net zero activities &amp; levers'!$C$7="Off",(('Activity data'!BH5*EF!$H4)*kgtoGg),IF('Net zero activities &amp; levers'!$C$7="On",((('Net zero supporting data'!AF76*EF!$H4)+('Net zero supporting data'!AF71*'Net zero supporting data'!AF56))*kgtoGg),"ERROR"))</f>
        <v>73.175161532202083</v>
      </c>
      <c r="AP310" s="93">
        <f>IF('Net zero activities &amp; levers'!$C$7="Off",(('Activity data'!BI5*EF!$H4)*kgtoGg),IF('Net zero activities &amp; levers'!$C$7="On",((('Net zero supporting data'!AG76*EF!$H4)+('Net zero supporting data'!AG71*'Net zero supporting data'!AG56))*kgtoGg),"ERROR"))</f>
        <v>73.376323293901464</v>
      </c>
      <c r="AQ310" s="93">
        <f>IF('Net zero activities &amp; levers'!$C$7="Off",(('Activity data'!BJ5*EF!$H4)*kgtoGg),IF('Net zero activities &amp; levers'!$C$7="On",((('Net zero supporting data'!AH76*EF!$H4)+('Net zero supporting data'!AH71*'Net zero supporting data'!AH56))*kgtoGg),"ERROR"))</f>
        <v>73.579767775936858</v>
      </c>
      <c r="AR310" s="93">
        <f>IF('Net zero activities &amp; levers'!$C$7="Off",(('Activity data'!BK5*EF!$H4)*kgtoGg),IF('Net zero activities &amp; levers'!$C$7="On",((('Net zero supporting data'!AI76*EF!$H4)+('Net zero supporting data'!AI71*'Net zero supporting data'!AI56))*kgtoGg),"ERROR"))</f>
        <v>73.789112739714128</v>
      </c>
      <c r="AS310" s="93">
        <f>IF('Net zero activities &amp; levers'!$C$7="Off",(('Activity data'!BL5*EF!$H4)*kgtoGg),IF('Net zero activities &amp; levers'!$C$7="On",((('Net zero supporting data'!AJ76*EF!$H4)+('Net zero supporting data'!AJ71*'Net zero supporting data'!AJ56))*kgtoGg),"ERROR"))</f>
        <v>74.067873012117687</v>
      </c>
      <c r="AT310" s="93">
        <f>IF('Net zero activities &amp; levers'!$C$7="Off",(('Activity data'!BM5*EF!$H4)*kgtoGg),IF('Net zero activities &amp; levers'!$C$7="On",((('Net zero supporting data'!AK76*EF!$H4)+('Net zero supporting data'!AK71*'Net zero supporting data'!AK56))*kgtoGg),"ERROR"))</f>
        <v>73.999512626315394</v>
      </c>
      <c r="AU310" s="93">
        <f>IF('Net zero activities &amp; levers'!$C$7="Off",(('Activity data'!BN5*EF!$H4)*kgtoGg),IF('Net zero activities &amp; levers'!$C$7="On",((('Net zero supporting data'!AL76*EF!$H4)+('Net zero supporting data'!AL71*'Net zero supporting data'!AL56))*kgtoGg),"ERROR"))</f>
        <v>73.886896927245104</v>
      </c>
      <c r="AV310" s="93">
        <f>IF('Net zero activities &amp; levers'!$C$7="Off",(('Activity data'!BO5*EF!$H4)*kgtoGg),IF('Net zero activities &amp; levers'!$C$7="On",((('Net zero supporting data'!AM76*EF!$H4)+('Net zero supporting data'!AM71*'Net zero supporting data'!AM56))*kgtoGg),"ERROR"))</f>
        <v>73.763729792935962</v>
      </c>
      <c r="AW310" s="93">
        <f>IF('Net zero activities &amp; levers'!$C$7="Off",(('Activity data'!BP5*EF!$H4)*kgtoGg),IF('Net zero activities &amp; levers'!$C$7="On",((('Net zero supporting data'!AN76*EF!$H4)+('Net zero supporting data'!AN71*'Net zero supporting data'!AN56))*kgtoGg),"ERROR"))</f>
        <v>73.615062984601508</v>
      </c>
      <c r="AY310" s="79"/>
    </row>
    <row r="311" spans="1:51" x14ac:dyDescent="0.2">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58.1066387636453</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59.055225455337663</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59.600764035107602</v>
      </c>
      <c r="S311" s="93">
        <f>IF('Net zero activities &amp; levers'!$C$7="Off",(('Activity data'!AL6*EF!$H5)*kgtoGg),IF('Net zero activities &amp; levers'!$C$7="On",((('Net zero supporting data'!J77*EF!$H5)+('Net zero supporting data'!J72*'Net zero supporting data'!J52))*kgtoGg),"ERROR"))</f>
        <v>57.969180145469302</v>
      </c>
      <c r="T311" s="93">
        <f>IF('Net zero activities &amp; levers'!$C$7="Off",(('Activity data'!AM6*EF!$H5)*kgtoGg),IF('Net zero activities &amp; levers'!$C$7="On",((('Net zero supporting data'!K77*EF!$H5)+('Net zero supporting data'!K72*'Net zero supporting data'!K52))*kgtoGg),"ERROR"))</f>
        <v>56.246733971786789</v>
      </c>
      <c r="U311" s="93">
        <f>IF('Net zero activities &amp; levers'!$C$7="Off",(('Activity data'!AN6*EF!$H5)*kgtoGg),IF('Net zero activities &amp; levers'!$C$7="On",((('Net zero supporting data'!L77*EF!$H5)+('Net zero supporting data'!L72*'Net zero supporting data'!L52))*kgtoGg),"ERROR"))</f>
        <v>54.360601076272538</v>
      </c>
      <c r="V311" s="93">
        <f>IF('Net zero activities &amp; levers'!$C$7="Off",(('Activity data'!AO6*EF!$H5)*kgtoGg),IF('Net zero activities &amp; levers'!$C$7="On",((('Net zero supporting data'!M77*EF!$H5)+('Net zero supporting data'!M72*'Net zero supporting data'!M52))*kgtoGg),"ERROR"))</f>
        <v>52.43161355714858</v>
      </c>
      <c r="W311" s="93">
        <f>IF('Net zero activities &amp; levers'!$C$7="Off",(('Activity data'!AP6*EF!$H5)*kgtoGg),IF('Net zero activities &amp; levers'!$C$7="On",((('Net zero supporting data'!N77*EF!$H5)+('Net zero supporting data'!N72*'Net zero supporting data'!N52))*kgtoGg),"ERROR"))</f>
        <v>50.55710185750992</v>
      </c>
      <c r="X311" s="93">
        <f>IF('Net zero activities &amp; levers'!$C$7="Off",(('Activity data'!AQ6*EF!$H5)*kgtoGg),IF('Net zero activities &amp; levers'!$C$7="On",((('Net zero supporting data'!O77*EF!$H5)+('Net zero supporting data'!O72*'Net zero supporting data'!O52))*kgtoGg),"ERROR"))</f>
        <v>48.641525137999103</v>
      </c>
      <c r="Y311" s="93">
        <f>IF('Net zero activities &amp; levers'!$C$7="Off",(('Activity data'!AR6*EF!$H5)*kgtoGg),IF('Net zero activities &amp; levers'!$C$7="On",((('Net zero supporting data'!P77*EF!$H5)+('Net zero supporting data'!P72*'Net zero supporting data'!P52))*kgtoGg),"ERROR"))</f>
        <v>46.639250587588997</v>
      </c>
      <c r="Z311" s="93">
        <f>IF('Net zero activities &amp; levers'!$C$7="Off",(('Activity data'!AS6*EF!$H5)*kgtoGg),IF('Net zero activities &amp; levers'!$C$7="On",((('Net zero supporting data'!Q77*EF!$H5)+('Net zero supporting data'!Q72*'Net zero supporting data'!Q52))*kgtoGg),"ERROR"))</f>
        <v>44.616695684352493</v>
      </c>
      <c r="AA311" s="93">
        <f>IF('Net zero activities &amp; levers'!$C$7="Off",(('Activity data'!AT6*EF!$H5)*kgtoGg),IF('Net zero activities &amp; levers'!$C$7="On",((('Net zero supporting data'!R77*EF!$H5)+('Net zero supporting data'!R72*'Net zero supporting data'!R52))*kgtoGg),"ERROR"))</f>
        <v>42.569014965819527</v>
      </c>
      <c r="AB311" s="93">
        <f>IF('Net zero activities &amp; levers'!$C$7="Off",(('Activity data'!AU6*EF!$H5)*kgtoGg),IF('Net zero activities &amp; levers'!$C$7="On",((('Net zero supporting data'!S77*EF!$H5)+('Net zero supporting data'!S72*'Net zero supporting data'!S52))*kgtoGg),"ERROR"))</f>
        <v>40.598085129398342</v>
      </c>
      <c r="AC311" s="93">
        <f>IF('Net zero activities &amp; levers'!$C$7="Off",(('Activity data'!AV6*EF!$H5)*kgtoGg),IF('Net zero activities &amp; levers'!$C$7="On",((('Net zero supporting data'!T77*EF!$H5)+('Net zero supporting data'!T72*'Net zero supporting data'!T52))*kgtoGg),"ERROR"))</f>
        <v>38.60990115340114</v>
      </c>
      <c r="AD311" s="93">
        <f>IF('Net zero activities &amp; levers'!$C$7="Off",(('Activity data'!AW6*EF!$H5)*kgtoGg),IF('Net zero activities &amp; levers'!$C$7="On",((('Net zero supporting data'!U77*EF!$H5)+('Net zero supporting data'!U72*'Net zero supporting data'!U52))*kgtoGg),"ERROR"))</f>
        <v>37.891788063277779</v>
      </c>
      <c r="AE311" s="93">
        <f>IF('Net zero activities &amp; levers'!$C$7="Off",(('Activity data'!AX6*EF!$H5)*kgtoGg),IF('Net zero activities &amp; levers'!$C$7="On",((('Net zero supporting data'!V77*EF!$H5)+('Net zero supporting data'!V72*'Net zero supporting data'!V52))*kgtoGg),"ERROR"))</f>
        <v>37.228888202207727</v>
      </c>
      <c r="AF311" s="93">
        <f>IF('Net zero activities &amp; levers'!$C$7="Off",(('Activity data'!AY6*EF!$H5)*kgtoGg),IF('Net zero activities &amp; levers'!$C$7="On",((('Net zero supporting data'!W77*EF!$H5)+('Net zero supporting data'!W72*'Net zero supporting data'!W52))*kgtoGg),"ERROR"))</f>
        <v>36.580439474336252</v>
      </c>
      <c r="AG311" s="93">
        <f>IF('Net zero activities &amp; levers'!$C$7="Off",(('Activity data'!AZ6*EF!$H5)*kgtoGg),IF('Net zero activities &amp; levers'!$C$7="On",((('Net zero supporting data'!X77*EF!$H5)+('Net zero supporting data'!X72*'Net zero supporting data'!X52))*kgtoGg),"ERROR"))</f>
        <v>35.982390077837884</v>
      </c>
      <c r="AH311" s="93">
        <f>IF('Net zero activities &amp; levers'!$C$7="Off",(('Activity data'!BA6*EF!$H5)*kgtoGg),IF('Net zero activities &amp; levers'!$C$7="On",((('Net zero supporting data'!Y77*EF!$H5)+('Net zero supporting data'!Y72*'Net zero supporting data'!Y52))*kgtoGg),"ERROR"))</f>
        <v>35.255638060553615</v>
      </c>
      <c r="AI311" s="93">
        <f>IF('Net zero activities &amp; levers'!$C$7="Off",(('Activity data'!BB6*EF!$H5)*kgtoGg),IF('Net zero activities &amp; levers'!$C$7="On",((('Net zero supporting data'!Z77*EF!$H5)+('Net zero supporting data'!Z72*'Net zero supporting data'!Z52))*kgtoGg),"ERROR"))</f>
        <v>34.480087416232259</v>
      </c>
      <c r="AJ311" s="93">
        <f>IF('Net zero activities &amp; levers'!$C$7="Off",(('Activity data'!BC6*EF!$H5)*kgtoGg),IF('Net zero activities &amp; levers'!$C$7="On",((('Net zero supporting data'!AA77*EF!$H5)+('Net zero supporting data'!AA72*'Net zero supporting data'!AA52))*kgtoGg),"ERROR"))</f>
        <v>33.719760822819111</v>
      </c>
      <c r="AK311" s="93">
        <f>IF('Net zero activities &amp; levers'!$C$7="Off",(('Activity data'!BD6*EF!$H5)*kgtoGg),IF('Net zero activities &amp; levers'!$C$7="On",((('Net zero supporting data'!AB77*EF!$H5)+('Net zero supporting data'!AB72*'Net zero supporting data'!AB52))*kgtoGg),"ERROR"))</f>
        <v>32.926581678909749</v>
      </c>
      <c r="AL311" s="93">
        <f>IF('Net zero activities &amp; levers'!$C$7="Off",(('Activity data'!BE6*EF!$H5)*kgtoGg),IF('Net zero activities &amp; levers'!$C$7="On",((('Net zero supporting data'!AC77*EF!$H5)+('Net zero supporting data'!AC72*'Net zero supporting data'!AC52))*kgtoGg),"ERROR"))</f>
        <v>32.130894625602089</v>
      </c>
      <c r="AM311" s="93">
        <f>IF('Net zero activities &amp; levers'!$C$7="Off",(('Activity data'!BF6*EF!$H5)*kgtoGg),IF('Net zero activities &amp; levers'!$C$7="On",((('Net zero supporting data'!AD77*EF!$H5)+('Net zero supporting data'!AD72*'Net zero supporting data'!AD52))*kgtoGg),"ERROR"))</f>
        <v>31.316062403764299</v>
      </c>
      <c r="AN311" s="93">
        <f>IF('Net zero activities &amp; levers'!$C$7="Off",(('Activity data'!BG6*EF!$H5)*kgtoGg),IF('Net zero activities &amp; levers'!$C$7="On",((('Net zero supporting data'!AE77*EF!$H5)+('Net zero supporting data'!AE72*'Net zero supporting data'!AE52))*kgtoGg),"ERROR"))</f>
        <v>30.511778213374477</v>
      </c>
      <c r="AO311" s="93">
        <f>IF('Net zero activities &amp; levers'!$C$7="Off",(('Activity data'!BH6*EF!$H5)*kgtoGg),IF('Net zero activities &amp; levers'!$C$7="On",((('Net zero supporting data'!AF77*EF!$H5)+('Net zero supporting data'!AF72*'Net zero supporting data'!AF52))*kgtoGg),"ERROR"))</f>
        <v>29.668473165422711</v>
      </c>
      <c r="AP311" s="93">
        <f>IF('Net zero activities &amp; levers'!$C$7="Off",(('Activity data'!BI6*EF!$H5)*kgtoGg),IF('Net zero activities &amp; levers'!$C$7="On",((('Net zero supporting data'!AG77*EF!$H5)+('Net zero supporting data'!AG72*'Net zero supporting data'!AG52))*kgtoGg),"ERROR"))</f>
        <v>28.806985781697325</v>
      </c>
      <c r="AQ311" s="93">
        <f>IF('Net zero activities &amp; levers'!$C$7="Off",(('Activity data'!BJ6*EF!$H5)*kgtoGg),IF('Net zero activities &amp; levers'!$C$7="On",((('Net zero supporting data'!AH77*EF!$H5)+('Net zero supporting data'!AH72*'Net zero supporting data'!AH52))*kgtoGg),"ERROR"))</f>
        <v>27.931260747576832</v>
      </c>
      <c r="AR311" s="93">
        <f>IF('Net zero activities &amp; levers'!$C$7="Off",(('Activity data'!BK6*EF!$H5)*kgtoGg),IF('Net zero activities &amp; levers'!$C$7="On",((('Net zero supporting data'!AI77*EF!$H5)+('Net zero supporting data'!AI72*'Net zero supporting data'!AI52))*kgtoGg),"ERROR"))</f>
        <v>27.041569127879853</v>
      </c>
      <c r="AS311" s="93">
        <f>IF('Net zero activities &amp; levers'!$C$7="Off",(('Activity data'!BL6*EF!$H5)*kgtoGg),IF('Net zero activities &amp; levers'!$C$7="On",((('Net zero supporting data'!AJ77*EF!$H5)+('Net zero supporting data'!AJ72*'Net zero supporting data'!AJ52))*kgtoGg),"ERROR"))</f>
        <v>26.159089407345942</v>
      </c>
      <c r="AT311" s="93">
        <f>IF('Net zero activities &amp; levers'!$C$7="Off",(('Activity data'!BM6*EF!$H5)*kgtoGg),IF('Net zero activities &amp; levers'!$C$7="On",((('Net zero supporting data'!AK77*EF!$H5)+('Net zero supporting data'!AK72*'Net zero supporting data'!AK52))*kgtoGg),"ERROR"))</f>
        <v>25.138437351827406</v>
      </c>
      <c r="AU311" s="93">
        <f>IF('Net zero activities &amp; levers'!$C$7="Off",(('Activity data'!BN6*EF!$H5)*kgtoGg),IF('Net zero activities &amp; levers'!$C$7="On",((('Net zero supporting data'!AL77*EF!$H5)+('Net zero supporting data'!AL72*'Net zero supporting data'!AL52))*kgtoGg),"ERROR"))</f>
        <v>24.091403252141081</v>
      </c>
      <c r="AV311" s="93">
        <f>IF('Net zero activities &amp; levers'!$C$7="Off",(('Activity data'!BO6*EF!$H5)*kgtoGg),IF('Net zero activities &amp; levers'!$C$7="On",((('Net zero supporting data'!AM77*EF!$H5)+('Net zero supporting data'!AM72*'Net zero supporting data'!AM52))*kgtoGg),"ERROR"))</f>
        <v>23.029307917525671</v>
      </c>
      <c r="AW311" s="93">
        <f>IF('Net zero activities &amp; levers'!$C$7="Off",(('Activity data'!BP6*EF!$H5)*kgtoGg),IF('Net zero activities &amp; levers'!$C$7="On",((('Net zero supporting data'!AN77*EF!$H5)+('Net zero supporting data'!AN72*'Net zero supporting data'!AN52))*kgtoGg),"ERROR"))</f>
        <v>21.947071680923912</v>
      </c>
      <c r="AY311" s="79"/>
    </row>
    <row r="312" spans="1:51" x14ac:dyDescent="0.2">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26.272250579806308</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26.701143177813606</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26.947802192577246</v>
      </c>
      <c r="S312" s="93">
        <f>IF('Net zero activities &amp; levers'!$C$7="Off",(('Activity data'!AL7*EF!$H6)*kgtoGg),IF('Net zero activities &amp; levers'!$C$7="On",((('Net zero supporting data'!J78*EF!$H6)+('Net zero supporting data'!J73*'Net zero supporting data'!J58))*kgtoGg),"ERROR"))</f>
        <v>26.210100241429942</v>
      </c>
      <c r="T312" s="93">
        <f>IF('Net zero activities &amp; levers'!$C$7="Off",(('Activity data'!AM7*EF!$H6)*kgtoGg),IF('Net zero activities &amp; levers'!$C$7="On",((('Net zero supporting data'!K78*EF!$H6)+('Net zero supporting data'!K73*'Net zero supporting data'!K58))*kgtoGg),"ERROR"))</f>
        <v>26.288706296923319</v>
      </c>
      <c r="U312" s="93">
        <f>IF('Net zero activities &amp; levers'!$C$7="Off",(('Activity data'!AN7*EF!$H6)*kgtoGg),IF('Net zero activities &amp; levers'!$C$7="On",((('Net zero supporting data'!L78*EF!$H6)+('Net zero supporting data'!L73*'Net zero supporting data'!L58))*kgtoGg),"ERROR"))</f>
        <v>26.277283706437711</v>
      </c>
      <c r="V312" s="93">
        <f>IF('Net zero activities &amp; levers'!$C$7="Off",(('Activity data'!AO7*EF!$H6)*kgtoGg),IF('Net zero activities &amp; levers'!$C$7="On",((('Net zero supporting data'!M78*EF!$H6)+('Net zero supporting data'!M73*'Net zero supporting data'!M58))*kgtoGg),"ERROR"))</f>
        <v>26.228902190812445</v>
      </c>
      <c r="W312" s="93">
        <f>IF('Net zero activities &amp; levers'!$C$7="Off",(('Activity data'!AP7*EF!$H6)*kgtoGg),IF('Net zero activities &amp; levers'!$C$7="On",((('Net zero supporting data'!N78*EF!$H6)+('Net zero supporting data'!N73*'Net zero supporting data'!N58))*kgtoGg),"ERROR"))</f>
        <v>26.192254484806288</v>
      </c>
      <c r="X312" s="93">
        <f>IF('Net zero activities &amp; levers'!$C$7="Off",(('Activity data'!AQ7*EF!$H6)*kgtoGg),IF('Net zero activities &amp; levers'!$C$7="On",((('Net zero supporting data'!O78*EF!$H6)+('Net zero supporting data'!O73*'Net zero supporting data'!O58))*kgtoGg),"ERROR"))</f>
        <v>26.119621772023176</v>
      </c>
      <c r="Y312" s="93">
        <f>IF('Net zero activities &amp; levers'!$C$7="Off",(('Activity data'!AR7*EF!$H6)*kgtoGg),IF('Net zero activities &amp; levers'!$C$7="On",((('Net zero supporting data'!P78*EF!$H6)+('Net zero supporting data'!P73*'Net zero supporting data'!P58))*kgtoGg),"ERROR"))</f>
        <v>25.983861470621576</v>
      </c>
      <c r="Z312" s="93">
        <f>IF('Net zero activities &amp; levers'!$C$7="Off",(('Activity data'!AS7*EF!$H6)*kgtoGg),IF('Net zero activities &amp; levers'!$C$7="On",((('Net zero supporting data'!Q78*EF!$H6)+('Net zero supporting data'!Q73*'Net zero supporting data'!Q58))*kgtoGg),"ERROR"))</f>
        <v>25.818510692703946</v>
      </c>
      <c r="AA312" s="93">
        <f>IF('Net zero activities &amp; levers'!$C$7="Off",(('Activity data'!AT7*EF!$H6)*kgtoGg),IF('Net zero activities &amp; levers'!$C$7="On",((('Net zero supporting data'!R78*EF!$H6)+('Net zero supporting data'!R73*'Net zero supporting data'!R58))*kgtoGg),"ERROR"))</f>
        <v>25.619646174125226</v>
      </c>
      <c r="AB312" s="93">
        <f>IF('Net zero activities &amp; levers'!$C$7="Off",(('Activity data'!AU7*EF!$H6)*kgtoGg),IF('Net zero activities &amp; levers'!$C$7="On",((('Net zero supporting data'!S78*EF!$H6)+('Net zero supporting data'!S73*'Net zero supporting data'!S58))*kgtoGg),"ERROR"))</f>
        <v>25.449590202920017</v>
      </c>
      <c r="AC312" s="93">
        <f>IF('Net zero activities &amp; levers'!$C$7="Off",(('Activity data'!AV7*EF!$H6)*kgtoGg),IF('Net zero activities &amp; levers'!$C$7="On",((('Net zero supporting data'!T78*EF!$H6)+('Net zero supporting data'!T73*'Net zero supporting data'!T58))*kgtoGg),"ERROR"))</f>
        <v>25.253349981568334</v>
      </c>
      <c r="AD312" s="93">
        <f>IF('Net zero activities &amp; levers'!$C$7="Off",(('Activity data'!AW7*EF!$H6)*kgtoGg),IF('Net zero activities &amp; levers'!$C$7="On",((('Net zero supporting data'!U78*EF!$H6)+('Net zero supporting data'!U73*'Net zero supporting data'!U58))*kgtoGg),"ERROR"))</f>
        <v>25.334039528358229</v>
      </c>
      <c r="AE312" s="93">
        <f>IF('Net zero activities &amp; levers'!$C$7="Off",(('Activity data'!AX7*EF!$H6)*kgtoGg),IF('Net zero activities &amp; levers'!$C$7="On",((('Net zero supporting data'!V78*EF!$H6)+('Net zero supporting data'!V73*'Net zero supporting data'!V58))*kgtoGg),"ERROR"))</f>
        <v>25.457209415306441</v>
      </c>
      <c r="AF312" s="93">
        <f>IF('Net zero activities &amp; levers'!$C$7="Off",(('Activity data'!AY7*EF!$H6)*kgtoGg),IF('Net zero activities &amp; levers'!$C$7="On",((('Net zero supporting data'!W78*EF!$H6)+('Net zero supporting data'!W73*'Net zero supporting data'!W58))*kgtoGg),"ERROR"))</f>
        <v>25.597711949682747</v>
      </c>
      <c r="AG312" s="93">
        <f>IF('Net zero activities &amp; levers'!$C$7="Off",(('Activity data'!AZ7*EF!$H6)*kgtoGg),IF('Net zero activities &amp; levers'!$C$7="On",((('Net zero supporting data'!X78*EF!$H6)+('Net zero supporting data'!X73*'Net zero supporting data'!X58))*kgtoGg),"ERROR"))</f>
        <v>25.782987470907337</v>
      </c>
      <c r="AH312" s="93">
        <f>IF('Net zero activities &amp; levers'!$C$7="Off",(('Activity data'!BA7*EF!$H6)*kgtoGg),IF('Net zero activities &amp; levers'!$C$7="On",((('Net zero supporting data'!Y78*EF!$H6)+('Net zero supporting data'!Y73*'Net zero supporting data'!Y58))*kgtoGg),"ERROR"))</f>
        <v>25.885318687973893</v>
      </c>
      <c r="AI312" s="93">
        <f>IF('Net zero activities &amp; levers'!$C$7="Off",(('Activity data'!BB7*EF!$H6)*kgtoGg),IF('Net zero activities &amp; levers'!$C$7="On",((('Net zero supporting data'!Z78*EF!$H6)+('Net zero supporting data'!Z73*'Net zero supporting data'!Z58))*kgtoGg),"ERROR"))</f>
        <v>25.959060453012569</v>
      </c>
      <c r="AJ312" s="93">
        <f>IF('Net zero activities &amp; levers'!$C$7="Off",(('Activity data'!BC7*EF!$H6)*kgtoGg),IF('Net zero activities &amp; levers'!$C$7="On",((('Net zero supporting data'!AA78*EF!$H6)+('Net zero supporting data'!AA73*'Net zero supporting data'!AA58))*kgtoGg),"ERROR"))</f>
        <v>26.051955847808301</v>
      </c>
      <c r="AK312" s="93">
        <f>IF('Net zero activities &amp; levers'!$C$7="Off",(('Activity data'!BD7*EF!$H6)*kgtoGg),IF('Net zero activities &amp; levers'!$C$7="On",((('Net zero supporting data'!AB78*EF!$H6)+('Net zero supporting data'!AB73*'Net zero supporting data'!AB58))*kgtoGg),"ERROR"))</f>
        <v>26.127962382664318</v>
      </c>
      <c r="AL312" s="93">
        <f>IF('Net zero activities &amp; levers'!$C$7="Off",(('Activity data'!BE7*EF!$H6)*kgtoGg),IF('Net zero activities &amp; levers'!$C$7="On",((('Net zero supporting data'!AC78*EF!$H6)+('Net zero supporting data'!AC73*'Net zero supporting data'!AC58))*kgtoGg),"ERROR"))</f>
        <v>26.211016098432864</v>
      </c>
      <c r="AM312" s="93">
        <f>IF('Net zero activities &amp; levers'!$C$7="Off",(('Activity data'!BF7*EF!$H6)*kgtoGg),IF('Net zero activities &amp; levers'!$C$7="On",((('Net zero supporting data'!AD78*EF!$H6)+('Net zero supporting data'!AD73*'Net zero supporting data'!AD58))*kgtoGg),"ERROR"))</f>
        <v>26.288402373500535</v>
      </c>
      <c r="AN312" s="93">
        <f>IF('Net zero activities &amp; levers'!$C$7="Off",(('Activity data'!BG7*EF!$H6)*kgtoGg),IF('Net zero activities &amp; levers'!$C$7="On",((('Net zero supporting data'!AE78*EF!$H6)+('Net zero supporting data'!AE73*'Net zero supporting data'!AE58))*kgtoGg),"ERROR"))</f>
        <v>26.385978721873901</v>
      </c>
      <c r="AO312" s="93">
        <f>IF('Net zero activities &amp; levers'!$C$7="Off",(('Activity data'!BH7*EF!$H6)*kgtoGg),IF('Net zero activities &amp; levers'!$C$7="On",((('Net zero supporting data'!AF78*EF!$H6)+('Net zero supporting data'!AF73*'Net zero supporting data'!AF58))*kgtoGg),"ERROR"))</f>
        <v>26.462178976672064</v>
      </c>
      <c r="AP312" s="93">
        <f>IF('Net zero activities &amp; levers'!$C$7="Off",(('Activity data'!BI7*EF!$H6)*kgtoGg),IF('Net zero activities &amp; levers'!$C$7="On",((('Net zero supporting data'!AG78*EF!$H6)+('Net zero supporting data'!AG73*'Net zero supporting data'!AG58))*kgtoGg),"ERROR"))</f>
        <v>26.534924679310649</v>
      </c>
      <c r="AQ312" s="93">
        <f>IF('Net zero activities &amp; levers'!$C$7="Off",(('Activity data'!BJ7*EF!$H6)*kgtoGg),IF('Net zero activities &amp; levers'!$C$7="On",((('Net zero supporting data'!AH78*EF!$H6)+('Net zero supporting data'!AH73*'Net zero supporting data'!AH58))*kgtoGg),"ERROR"))</f>
        <v>26.608495877278795</v>
      </c>
      <c r="AR312" s="93">
        <f>IF('Net zero activities &amp; levers'!$C$7="Off",(('Activity data'!BK7*EF!$H6)*kgtoGg),IF('Net zero activities &amp; levers'!$C$7="On",((('Net zero supporting data'!AI78*EF!$H6)+('Net zero supporting data'!AI73*'Net zero supporting data'!AI58))*kgtoGg),"ERROR"))</f>
        <v>26.684200853985971</v>
      </c>
      <c r="AS312" s="93">
        <f>IF('Net zero activities &amp; levers'!$C$7="Off",(('Activity data'!BL7*EF!$H6)*kgtoGg),IF('Net zero activities &amp; levers'!$C$7="On",((('Net zero supporting data'!AJ78*EF!$H6)+('Net zero supporting data'!AJ73*'Net zero supporting data'!AJ58))*kgtoGg),"ERROR"))</f>
        <v>26.785008342011576</v>
      </c>
      <c r="AT312" s="93">
        <f>IF('Net zero activities &amp; levers'!$C$7="Off",(('Activity data'!BM7*EF!$H6)*kgtoGg),IF('Net zero activities &amp; levers'!$C$7="On",((('Net zero supporting data'!AK78*EF!$H6)+('Net zero supporting data'!AK73*'Net zero supporting data'!AK58))*kgtoGg),"ERROR"))</f>
        <v>26.760287320203936</v>
      </c>
      <c r="AU312" s="93">
        <f>IF('Net zero activities &amp; levers'!$C$7="Off",(('Activity data'!BN7*EF!$H6)*kgtoGg),IF('Net zero activities &amp; levers'!$C$7="On",((('Net zero supporting data'!AL78*EF!$H6)+('Net zero supporting data'!AL73*'Net zero supporting data'!AL58))*kgtoGg),"ERROR"))</f>
        <v>26.71956234301247</v>
      </c>
      <c r="AV312" s="93">
        <f>IF('Net zero activities &amp; levers'!$C$7="Off",(('Activity data'!BO7*EF!$H6)*kgtoGg),IF('Net zero activities &amp; levers'!$C$7="On",((('Net zero supporting data'!AM78*EF!$H6)+('Net zero supporting data'!AM73*'Net zero supporting data'!AM58))*kgtoGg),"ERROR"))</f>
        <v>26.675021672600717</v>
      </c>
      <c r="AW312" s="93">
        <f>IF('Net zero activities &amp; levers'!$C$7="Off",(('Activity data'!BP7*EF!$H6)*kgtoGg),IF('Net zero activities &amp; levers'!$C$7="On",((('Net zero supporting data'!AN78*EF!$H6)+('Net zero supporting data'!AN73*'Net zero supporting data'!AN58))*kgtoGg),"ERROR"))</f>
        <v>26.621259608976086</v>
      </c>
      <c r="AY312" s="79"/>
    </row>
    <row r="313" spans="1:51" x14ac:dyDescent="0.2">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463.23498593143194</v>
      </c>
      <c r="L313" s="93">
        <f>IF('Net zero activities &amp; levers'!$C$7="Off",(('Activity data'!AE8*EF!$H7)*kgtoGg),IF('Net zero activities &amp; levers'!$C$7="On",((('Net zero supporting data'!C79*EF!$H7)+('Net zero supporting data'!C74*'Net zero supporting data'!C59))*kgtoGg),"ERROR"))</f>
        <v>459.21749683621613</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442.70486896910745</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367.15498253629937</v>
      </c>
      <c r="T313" s="93">
        <f>IF('Net zero activities &amp; levers'!$C$7="Off",(('Activity data'!AM8*EF!$H7)*kgtoGg),IF('Net zero activities &amp; levers'!$C$7="On",((('Net zero supporting data'!K79*EF!$H7)+('Net zero supporting data'!K74*'Net zero supporting data'!K59))*kgtoGg),"ERROR"))</f>
        <v>371.03609874138567</v>
      </c>
      <c r="U313" s="93">
        <f>IF('Net zero activities &amp; levers'!$C$7="Off",(('Activity data'!AN8*EF!$H7)*kgtoGg),IF('Net zero activities &amp; levers'!$C$7="On",((('Net zero supporting data'!L79*EF!$H7)+('Net zero supporting data'!L74*'Net zero supporting data'!L59))*kgtoGg),"ERROR"))</f>
        <v>371.29102288841131</v>
      </c>
      <c r="V313" s="93">
        <f>IF('Net zero activities &amp; levers'!$C$7="Off",(('Activity data'!AO8*EF!$H7)*kgtoGg),IF('Net zero activities &amp; levers'!$C$7="On",((('Net zero supporting data'!M79*EF!$H7)+('Net zero supporting data'!M74*'Net zero supporting data'!M59))*kgtoGg),"ERROR"))</f>
        <v>370.34570092427646</v>
      </c>
      <c r="W313" s="93">
        <f>IF('Net zero activities &amp; levers'!$C$7="Off",(('Activity data'!AP8*EF!$H7)*kgtoGg),IF('Net zero activities &amp; levers'!$C$7="On",((('Net zero supporting data'!N79*EF!$H7)+('Net zero supporting data'!N74*'Net zero supporting data'!N59))*kgtoGg),"ERROR"))</f>
        <v>370.30031616896042</v>
      </c>
      <c r="X313" s="93">
        <f>IF('Net zero activities &amp; levers'!$C$7="Off",(('Activity data'!AQ8*EF!$H7)*kgtoGg),IF('Net zero activities &amp; levers'!$C$7="On",((('Net zero supporting data'!O79*EF!$H7)+('Net zero supporting data'!O74*'Net zero supporting data'!O59))*kgtoGg),"ERROR"))</f>
        <v>369.13511674296097</v>
      </c>
      <c r="Y313" s="93">
        <f>IF('Net zero activities &amp; levers'!$C$7="Off",(('Activity data'!AR8*EF!$H7)*kgtoGg),IF('Net zero activities &amp; levers'!$C$7="On",((('Net zero supporting data'!P79*EF!$H7)+('Net zero supporting data'!P74*'Net zero supporting data'!P59))*kgtoGg),"ERROR"))</f>
        <v>366.4850661745208</v>
      </c>
      <c r="Z313" s="93">
        <f>IF('Net zero activities &amp; levers'!$C$7="Off",(('Activity data'!AS8*EF!$H7)*kgtoGg),IF('Net zero activities &amp; levers'!$C$7="On",((('Net zero supporting data'!Q79*EF!$H7)+('Net zero supporting data'!Q74*'Net zero supporting data'!Q59))*kgtoGg),"ERROR"))</f>
        <v>363.0643772470911</v>
      </c>
      <c r="AA313" s="93">
        <f>IF('Net zero activities &amp; levers'!$C$7="Off",(('Activity data'!AT8*EF!$H7)*kgtoGg),IF('Net zero activities &amp; levers'!$C$7="On",((('Net zero supporting data'!R79*EF!$H7)+('Net zero supporting data'!R74*'Net zero supporting data'!R59))*kgtoGg),"ERROR"))</f>
        <v>358.7472542436621</v>
      </c>
      <c r="AB313" s="93">
        <f>IF('Net zero activities &amp; levers'!$C$7="Off",(('Activity data'!AU8*EF!$H7)*kgtoGg),IF('Net zero activities &amp; levers'!$C$7="On",((('Net zero supporting data'!S79*EF!$H7)+('Net zero supporting data'!S74*'Net zero supporting data'!S59))*kgtoGg),"ERROR"))</f>
        <v>356.00492321834287</v>
      </c>
      <c r="AC313" s="93">
        <f>IF('Net zero activities &amp; levers'!$C$7="Off",(('Activity data'!AV8*EF!$H7)*kgtoGg),IF('Net zero activities &amp; levers'!$C$7="On",((('Net zero supporting data'!T79*EF!$H7)+('Net zero supporting data'!T74*'Net zero supporting data'!T59))*kgtoGg),"ERROR"))</f>
        <v>352.64714340011329</v>
      </c>
      <c r="AD313" s="93">
        <f>IF('Net zero activities &amp; levers'!$C$7="Off",(('Activity data'!AW8*EF!$H7)*kgtoGg),IF('Net zero activities &amp; levers'!$C$7="On",((('Net zero supporting data'!U79*EF!$H7)+('Net zero supporting data'!U74*'Net zero supporting data'!U59))*kgtoGg),"ERROR"))</f>
        <v>350.69588948479281</v>
      </c>
      <c r="AE313" s="93">
        <f>IF('Net zero activities &amp; levers'!$C$7="Off",(('Activity data'!AX8*EF!$H7)*kgtoGg),IF('Net zero activities &amp; levers'!$C$7="On",((('Net zero supporting data'!V79*EF!$H7)+('Net zero supporting data'!V74*'Net zero supporting data'!V59))*kgtoGg),"ERROR"))</f>
        <v>350.19185961978758</v>
      </c>
      <c r="AF313" s="93">
        <f>IF('Net zero activities &amp; levers'!$C$7="Off",(('Activity data'!AY8*EF!$H7)*kgtoGg),IF('Net zero activities &amp; levers'!$C$7="On",((('Net zero supporting data'!W79*EF!$H7)+('Net zero supporting data'!W74*'Net zero supporting data'!W59))*kgtoGg),"ERROR"))</f>
        <v>350.12544161172565</v>
      </c>
      <c r="AG313" s="93">
        <f>IF('Net zero activities &amp; levers'!$C$7="Off",(('Activity data'!AZ8*EF!$H7)*kgtoGg),IF('Net zero activities &amp; levers'!$C$7="On",((('Net zero supporting data'!X79*EF!$H7)+('Net zero supporting data'!X74*'Net zero supporting data'!X59))*kgtoGg),"ERROR"))</f>
        <v>351.41915019697626</v>
      </c>
      <c r="AH313" s="93">
        <f>IF('Net zero activities &amp; levers'!$C$7="Off",(('Activity data'!BA8*EF!$H7)*kgtoGg),IF('Net zero activities &amp; levers'!$C$7="On",((('Net zero supporting data'!Y79*EF!$H7)+('Net zero supporting data'!Y74*'Net zero supporting data'!Y59))*kgtoGg),"ERROR"))</f>
        <v>349.58961883752323</v>
      </c>
      <c r="AI313" s="93">
        <f>IF('Net zero activities &amp; levers'!$C$7="Off",(('Activity data'!BB8*EF!$H7)*kgtoGg),IF('Net zero activities &amp; levers'!$C$7="On",((('Net zero supporting data'!Z79*EF!$H7)+('Net zero supporting data'!Z74*'Net zero supporting data'!Z59))*kgtoGg),"ERROR"))</f>
        <v>347.0567889970921</v>
      </c>
      <c r="AJ313" s="93">
        <f>IF('Net zero activities &amp; levers'!$C$7="Off",(('Activity data'!BC8*EF!$H7)*kgtoGg),IF('Net zero activities &amp; levers'!$C$7="On",((('Net zero supporting data'!AA79*EF!$H7)+('Net zero supporting data'!AA74*'Net zero supporting data'!AA59))*kgtoGg),"ERROR"))</f>
        <v>345.03320706509521</v>
      </c>
      <c r="AK313" s="93">
        <f>IF('Net zero activities &amp; levers'!$C$7="Off",(('Activity data'!BD8*EF!$H7)*kgtoGg),IF('Net zero activities &amp; levers'!$C$7="On",((('Net zero supporting data'!AB79*EF!$H7)+('Net zero supporting data'!AB74*'Net zero supporting data'!AB59))*kgtoGg),"ERROR"))</f>
        <v>342.32590056534264</v>
      </c>
      <c r="AL313" s="93">
        <f>IF('Net zero activities &amp; levers'!$C$7="Off",(('Activity data'!BE8*EF!$H7)*kgtoGg),IF('Net zero activities &amp; levers'!$C$7="On",((('Net zero supporting data'!AC79*EF!$H7)+('Net zero supporting data'!AC74*'Net zero supporting data'!AC59))*kgtoGg),"ERROR"))</f>
        <v>339.71860191696237</v>
      </c>
      <c r="AM313" s="93">
        <f>IF('Net zero activities &amp; levers'!$C$7="Off",(('Activity data'!BF8*EF!$H7)*kgtoGg),IF('Net zero activities &amp; levers'!$C$7="On",((('Net zero supporting data'!AD79*EF!$H7)+('Net zero supporting data'!AD74*'Net zero supporting data'!AD59))*kgtoGg),"ERROR"))</f>
        <v>336.80979222240893</v>
      </c>
      <c r="AN313" s="93">
        <f>IF('Net zero activities &amp; levers'!$C$7="Off",(('Activity data'!BG8*EF!$H7)*kgtoGg),IF('Net zero activities &amp; levers'!$C$7="On",((('Net zero supporting data'!AE79*EF!$H7)+('Net zero supporting data'!AE74*'Net zero supporting data'!AE59))*kgtoGg),"ERROR"))</f>
        <v>336.39479758624782</v>
      </c>
      <c r="AO313" s="93">
        <f>IF('Net zero activities &amp; levers'!$C$7="Off",(('Activity data'!BH8*EF!$H7)*kgtoGg),IF('Net zero activities &amp; levers'!$C$7="On",((('Net zero supporting data'!AF79*EF!$H7)+('Net zero supporting data'!AF74*'Net zero supporting data'!AF59))*kgtoGg),"ERROR"))</f>
        <v>335.2342177991672</v>
      </c>
      <c r="AP313" s="93">
        <f>IF('Net zero activities &amp; levers'!$C$7="Off",(('Activity data'!BI8*EF!$H7)*kgtoGg),IF('Net zero activities &amp; levers'!$C$7="On",((('Net zero supporting data'!AG79*EF!$H7)+('Net zero supporting data'!AG74*'Net zero supporting data'!AG59))*kgtoGg),"ERROR"))</f>
        <v>333.87689787403997</v>
      </c>
      <c r="AQ313" s="93">
        <f>IF('Net zero activities &amp; levers'!$C$7="Off",(('Activity data'!BJ8*EF!$H7)*kgtoGg),IF('Net zero activities &amp; levers'!$C$7="On",((('Net zero supporting data'!AH79*EF!$H7)+('Net zero supporting data'!AH74*'Net zero supporting data'!AH59))*kgtoGg),"ERROR"))</f>
        <v>332.44800537132687</v>
      </c>
      <c r="AR313" s="93">
        <f>IF('Net zero activities &amp; levers'!$C$7="Off",(('Activity data'!BK8*EF!$H7)*kgtoGg),IF('Net zero activities &amp; levers'!$C$7="On",((('Net zero supporting data'!AI79*EF!$H7)+('Net zero supporting data'!AI74*'Net zero supporting data'!AI59))*kgtoGg),"ERROR"))</f>
        <v>330.98133454696631</v>
      </c>
      <c r="AS313" s="93">
        <f>IF('Net zero activities &amp; levers'!$C$7="Off",(('Activity data'!BL8*EF!$H7)*kgtoGg),IF('Net zero activities &amp; levers'!$C$7="On",((('Net zero supporting data'!AJ79*EF!$H7)+('Net zero supporting data'!AJ74*'Net zero supporting data'!AJ59))*kgtoGg),"ERROR"))</f>
        <v>330.35768341262303</v>
      </c>
      <c r="AT313" s="93">
        <f>IF('Net zero activities &amp; levers'!$C$7="Off",(('Activity data'!BM8*EF!$H7)*kgtoGg),IF('Net zero activities &amp; levers'!$C$7="On",((('Net zero supporting data'!AK79*EF!$H7)+('Net zero supporting data'!AK74*'Net zero supporting data'!AK59))*kgtoGg),"ERROR"))</f>
        <v>326.31280407416261</v>
      </c>
      <c r="AU313" s="93">
        <f>IF('Net zero activities &amp; levers'!$C$7="Off",(('Activity data'!BN8*EF!$H7)*kgtoGg),IF('Net zero activities &amp; levers'!$C$7="On",((('Net zero supporting data'!AL79*EF!$H7)+('Net zero supporting data'!AL74*'Net zero supporting data'!AL59))*kgtoGg),"ERROR"))</f>
        <v>321.85792519575887</v>
      </c>
      <c r="AV313" s="93">
        <f>IF('Net zero activities &amp; levers'!$C$7="Off",(('Activity data'!BO8*EF!$H7)*kgtoGg),IF('Net zero activities &amp; levers'!$C$7="On",((('Net zero supporting data'!AM79*EF!$H7)+('Net zero supporting data'!AM74*'Net zero supporting data'!AM59))*kgtoGg),"ERROR"))</f>
        <v>317.32209712049536</v>
      </c>
      <c r="AW313" s="93">
        <f>IF('Net zero activities &amp; levers'!$C$7="Off",(('Activity data'!BP8*EF!$H7)*kgtoGg),IF('Net zero activities &amp; levers'!$C$7="On",((('Net zero supporting data'!AN79*EF!$H7)+('Net zero supporting data'!AN74*'Net zero supporting data'!AN59))*kgtoGg),"ERROR"))</f>
        <v>312.57701984879645</v>
      </c>
      <c r="AY313" s="79"/>
    </row>
    <row r="314" spans="1:51" x14ac:dyDescent="0.2">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326.20040935577742</v>
      </c>
      <c r="L314" s="27">
        <f t="shared" si="72"/>
        <v>323.37137738012325</v>
      </c>
      <c r="M314" s="27">
        <f t="shared" si="72"/>
        <v>322.29445054900748</v>
      </c>
      <c r="N314" s="27">
        <f t="shared" si="72"/>
        <v>317.99063003627219</v>
      </c>
      <c r="O314" s="27">
        <f t="shared" si="72"/>
        <v>311.74352945546798</v>
      </c>
      <c r="P314" s="27">
        <f t="shared" si="72"/>
        <v>303.68232906672063</v>
      </c>
      <c r="Q314" s="27">
        <f t="shared" si="72"/>
        <v>297.32422455466599</v>
      </c>
      <c r="R314" s="27">
        <f t="shared" si="72"/>
        <v>291.30873487096773</v>
      </c>
      <c r="S314" s="27">
        <f t="shared" si="72"/>
        <v>258.54287615936238</v>
      </c>
      <c r="T314" s="27">
        <f t="shared" si="72"/>
        <v>263.48828428227887</v>
      </c>
      <c r="U314" s="27">
        <f t="shared" si="72"/>
        <v>266.13240496870094</v>
      </c>
      <c r="V314" s="27">
        <f t="shared" si="72"/>
        <v>268.167824620305</v>
      </c>
      <c r="W314" s="27">
        <f t="shared" si="72"/>
        <v>271.11276065297989</v>
      </c>
      <c r="X314" s="27">
        <f t="shared" si="72"/>
        <v>273.50273350532916</v>
      </c>
      <c r="Y314" s="27">
        <f t="shared" si="72"/>
        <v>275.0434428761701</v>
      </c>
      <c r="Z314" s="27">
        <f t="shared" si="72"/>
        <v>276.2427698386166</v>
      </c>
      <c r="AA314" s="27">
        <f t="shared" ref="AA314:AW314" si="73">AA1383</f>
        <v>276.98609052014405</v>
      </c>
      <c r="AB314" s="27">
        <f t="shared" si="73"/>
        <v>279.18661189122298</v>
      </c>
      <c r="AC314" s="27">
        <f t="shared" si="73"/>
        <v>281.1665497848058</v>
      </c>
      <c r="AD314" s="27">
        <f t="shared" si="73"/>
        <v>281.26866756300677</v>
      </c>
      <c r="AE314" s="27">
        <f t="shared" si="73"/>
        <v>282.59504365460464</v>
      </c>
      <c r="AF314" s="27">
        <f t="shared" si="73"/>
        <v>284.34900184290586</v>
      </c>
      <c r="AG314" s="27">
        <f t="shared" si="73"/>
        <v>287.29372157122594</v>
      </c>
      <c r="AH314" s="27">
        <f t="shared" si="73"/>
        <v>287.76404032367537</v>
      </c>
      <c r="AI314" s="27">
        <f t="shared" si="73"/>
        <v>287.71467047520593</v>
      </c>
      <c r="AJ314" s="27">
        <f t="shared" si="73"/>
        <v>288.14671633341055</v>
      </c>
      <c r="AK314" s="27">
        <f t="shared" si="73"/>
        <v>288.06697275846409</v>
      </c>
      <c r="AL314" s="27">
        <f t="shared" si="73"/>
        <v>288.12798631151645</v>
      </c>
      <c r="AM314" s="27">
        <f t="shared" si="73"/>
        <v>287.98951758734296</v>
      </c>
      <c r="AN314" s="27">
        <f t="shared" si="73"/>
        <v>290.05651761846218</v>
      </c>
      <c r="AO314" s="27">
        <f t="shared" si="73"/>
        <v>291.56864548628482</v>
      </c>
      <c r="AP314" s="27">
        <f t="shared" si="73"/>
        <v>292.99352741505732</v>
      </c>
      <c r="AQ314" s="27">
        <f t="shared" si="73"/>
        <v>294.44018433532034</v>
      </c>
      <c r="AR314" s="27">
        <f t="shared" si="73"/>
        <v>295.93998835163069</v>
      </c>
      <c r="AS314" s="27">
        <f t="shared" si="73"/>
        <v>298.29035331444567</v>
      </c>
      <c r="AT314" s="27">
        <f t="shared" si="73"/>
        <v>297.62835103952062</v>
      </c>
      <c r="AU314" s="27">
        <f t="shared" si="73"/>
        <v>296.63580611642783</v>
      </c>
      <c r="AV314" s="27">
        <f t="shared" si="73"/>
        <v>295.60779878586987</v>
      </c>
      <c r="AW314" s="27">
        <f t="shared" si="73"/>
        <v>294.42132443014248</v>
      </c>
      <c r="AY314" s="79"/>
    </row>
    <row r="315" spans="1:51" x14ac:dyDescent="0.2">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32.967337371253549</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35.929559405213347</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34.950230908345851</v>
      </c>
      <c r="T315" s="93">
        <f>IF('Net zero activities &amp; levers'!$C$7="Off",(('Activity data'!AM10*EF!$H9)*kgtoGg),IF('Net zero activities &amp; levers'!$C$7="On",((('Net zero supporting data'!K80*EF!$H9)+('Net zero supporting data'!K75*'Net zero supporting data'!K60))*kgtoGg),"ERROR"))</f>
        <v>36.562120253728409</v>
      </c>
      <c r="U315" s="93">
        <f>IF('Net zero activities &amp; levers'!$C$7="Off",(('Activity data'!AN10*EF!$H9)*kgtoGg),IF('Net zero activities &amp; levers'!$C$7="On",((('Net zero supporting data'!L80*EF!$H9)+('Net zero supporting data'!L75*'Net zero supporting data'!L60))*kgtoGg),"ERROR"))</f>
        <v>37.864778125419896</v>
      </c>
      <c r="V315" s="93">
        <f>IF('Net zero activities &amp; levers'!$C$7="Off",(('Activity data'!AO10*EF!$H9)*kgtoGg),IF('Net zero activities &amp; levers'!$C$7="On",((('Net zero supporting data'!M80*EF!$H9)+('Net zero supporting data'!M75*'Net zero supporting data'!M60))*kgtoGg),"ERROR"))</f>
        <v>39.078499397322389</v>
      </c>
      <c r="W315" s="93">
        <f>IF('Net zero activities &amp; levers'!$C$7="Off",(('Activity data'!AP10*EF!$H9)*kgtoGg),IF('Net zero activities &amp; levers'!$C$7="On",((('Net zero supporting data'!N80*EF!$H9)+('Net zero supporting data'!N75*'Net zero supporting data'!N60))*kgtoGg),"ERROR"))</f>
        <v>40.421230867341613</v>
      </c>
      <c r="X315" s="93">
        <f>IF('Net zero activities &amp; levers'!$C$7="Off",(('Activity data'!AQ10*EF!$H9)*kgtoGg),IF('Net zero activities &amp; levers'!$C$7="On",((('Net zero supporting data'!O80*EF!$H9)+('Net zero supporting data'!O75*'Net zero supporting data'!O60))*kgtoGg),"ERROR"))</f>
        <v>41.676509986807567</v>
      </c>
      <c r="Y315" s="93">
        <f>IF('Net zero activities &amp; levers'!$C$7="Off",(('Activity data'!AR10*EF!$H9)*kgtoGg),IF('Net zero activities &amp; levers'!$C$7="On",((('Net zero supporting data'!P80*EF!$H9)+('Net zero supporting data'!P75*'Net zero supporting data'!P60))*kgtoGg),"ERROR"))</f>
        <v>42.790553348328757</v>
      </c>
      <c r="Z315" s="93">
        <f>IF('Net zero activities &amp; levers'!$C$7="Off",(('Activity data'!AS10*EF!$H9)*kgtoGg),IF('Net zero activities &amp; levers'!$C$7="On",((('Net zero supporting data'!Q80*EF!$H9)+('Net zero supporting data'!Q75*'Net zero supporting data'!Q60))*kgtoGg),"ERROR"))</f>
        <v>43.833351412080717</v>
      </c>
      <c r="AA315" s="93">
        <f>IF('Net zero activities &amp; levers'!$C$7="Off",(('Activity data'!AT10*EF!$H9)*kgtoGg),IF('Net zero activities &amp; levers'!$C$7="On",((('Net zero supporting data'!R80*EF!$H9)+('Net zero supporting data'!R75*'Net zero supporting data'!R60))*kgtoGg),"ERROR"))</f>
        <v>44.780692093449765</v>
      </c>
      <c r="AB315" s="93">
        <f>IF('Net zero activities &amp; levers'!$C$7="Off",(('Activity data'!AU10*EF!$H9)*kgtoGg),IF('Net zero activities &amp; levers'!$C$7="On",((('Net zero supporting data'!S80*EF!$H9)+('Net zero supporting data'!S75*'Net zero supporting data'!S60))*kgtoGg),"ERROR"))</f>
        <v>45.940798493691922</v>
      </c>
      <c r="AC315" s="93">
        <f>IF('Net zero activities &amp; levers'!$C$7="Off",(('Activity data'!AV10*EF!$H9)*kgtoGg),IF('Net zero activities &amp; levers'!$C$7="On",((('Net zero supporting data'!T80*EF!$H9)+('Net zero supporting data'!T75*'Net zero supporting data'!T60))*kgtoGg),"ERROR"))</f>
        <v>47.042373348940608</v>
      </c>
      <c r="AD315" s="93">
        <f>IF('Net zero activities &amp; levers'!$C$7="Off",(('Activity data'!AW10*EF!$H9)*kgtoGg),IF('Net zero activities &amp; levers'!$C$7="On",((('Net zero supporting data'!U80*EF!$H9)+('Net zero supporting data'!U75*'Net zero supporting data'!U60))*kgtoGg),"ERROR"))</f>
        <v>48.361545682347007</v>
      </c>
      <c r="AE315" s="93">
        <f>IF('Net zero activities &amp; levers'!$C$7="Off",(('Activity data'!AX10*EF!$H9)*kgtoGg),IF('Net zero activities &amp; levers'!$C$7="On",((('Net zero supporting data'!V80*EF!$H9)+('Net zero supporting data'!V75*'Net zero supporting data'!V60))*kgtoGg),"ERROR"))</f>
        <v>49.925744318714123</v>
      </c>
      <c r="AF315" s="93">
        <f>IF('Net zero activities &amp; levers'!$C$7="Off",(('Activity data'!AY10*EF!$H9)*kgtoGg),IF('Net zero activities &amp; levers'!$C$7="On",((('Net zero supporting data'!W80*EF!$H9)+('Net zero supporting data'!W75*'Net zero supporting data'!W60))*kgtoGg),"ERROR"))</f>
        <v>51.609361249750748</v>
      </c>
      <c r="AG315" s="93">
        <f>IF('Net zero activities &amp; levers'!$C$7="Off",(('Activity data'!AZ10*EF!$H9)*kgtoGg),IF('Net zero activities &amp; levers'!$C$7="On",((('Net zero supporting data'!X80*EF!$H9)+('Net zero supporting data'!X75*'Net zero supporting data'!X60))*kgtoGg),"ERROR"))</f>
        <v>53.5627281038036</v>
      </c>
      <c r="AH315" s="93">
        <f>IF('Net zero activities &amp; levers'!$C$7="Off",(('Activity data'!BA10*EF!$H9)*kgtoGg),IF('Net zero activities &amp; levers'!$C$7="On",((('Net zero supporting data'!Y80*EF!$H9)+('Net zero supporting data'!Y75*'Net zero supporting data'!Y60))*kgtoGg),"ERROR"))</f>
        <v>55.104002350588765</v>
      </c>
      <c r="AI315" s="93">
        <f>IF('Net zero activities &amp; levers'!$C$7="Off",(('Activity data'!BB10*EF!$H9)*kgtoGg),IF('Net zero activities &amp; levers'!$C$7="On",((('Net zero supporting data'!Z80*EF!$H9)+('Net zero supporting data'!Z75*'Net zero supporting data'!Z60))*kgtoGg),"ERROR"))</f>
        <v>56.581722128290934</v>
      </c>
      <c r="AJ315" s="93">
        <f>IF('Net zero activities &amp; levers'!$C$7="Off",(('Activity data'!BC10*EF!$H9)*kgtoGg),IF('Net zero activities &amp; levers'!$C$7="On",((('Net zero supporting data'!AA80*EF!$H9)+('Net zero supporting data'!AA75*'Net zero supporting data'!AA60))*kgtoGg),"ERROR"))</f>
        <v>58.191552047896224</v>
      </c>
      <c r="AK315" s="93">
        <f>IF('Net zero activities &amp; levers'!$C$7="Off",(('Activity data'!BD10*EF!$H9)*kgtoGg),IF('Net zero activities &amp; levers'!$C$7="On",((('Net zero supporting data'!AB80*EF!$H9)+('Net zero supporting data'!AB75*'Net zero supporting data'!AB60))*kgtoGg),"ERROR"))</f>
        <v>59.737014718016681</v>
      </c>
      <c r="AL315" s="93">
        <f>IF('Net zero activities &amp; levers'!$C$7="Off",(('Activity data'!BE10*EF!$H9)*kgtoGg),IF('Net zero activities &amp; levers'!$C$7="On",((('Net zero supporting data'!AC80*EF!$H9)+('Net zero supporting data'!AC75*'Net zero supporting data'!AC60))*kgtoGg),"ERROR"))</f>
        <v>61.350492410026455</v>
      </c>
      <c r="AM315" s="93">
        <f>IF('Net zero activities &amp; levers'!$C$7="Off",(('Activity data'!BF10*EF!$H9)*kgtoGg),IF('Net zero activities &amp; levers'!$C$7="On",((('Net zero supporting data'!AD80*EF!$H9)+('Net zero supporting data'!AD75*'Net zero supporting data'!AD60))*kgtoGg),"ERROR"))</f>
        <v>62.961896755729718</v>
      </c>
      <c r="AN315" s="93">
        <f>IF('Net zero activities &amp; levers'!$C$7="Off",(('Activity data'!BG10*EF!$H9)*kgtoGg),IF('Net zero activities &amp; levers'!$C$7="On",((('Net zero supporting data'!AE80*EF!$H9)+('Net zero supporting data'!AE75*'Net zero supporting data'!AE60))*kgtoGg),"ERROR"))</f>
        <v>64.69859188722647</v>
      </c>
      <c r="AO315" s="93">
        <f>IF('Net zero activities &amp; levers'!$C$7="Off",(('Activity data'!BH10*EF!$H9)*kgtoGg),IF('Net zero activities &amp; levers'!$C$7="On",((('Net zero supporting data'!AF80*EF!$H9)+('Net zero supporting data'!AF75*'Net zero supporting data'!AF60))*kgtoGg),"ERROR"))</f>
        <v>66.342101825012492</v>
      </c>
      <c r="AP315" s="93">
        <f>IF('Net zero activities &amp; levers'!$C$7="Off",(('Activity data'!BI10*EF!$H9)*kgtoGg),IF('Net zero activities &amp; levers'!$C$7="On",((('Net zero supporting data'!AG80*EF!$H9)+('Net zero supporting data'!AG75*'Net zero supporting data'!AG60))*kgtoGg),"ERROR"))</f>
        <v>67.994036571106818</v>
      </c>
      <c r="AQ315" s="93">
        <f>IF('Net zero activities &amp; levers'!$C$7="Off",(('Activity data'!BJ10*EF!$H9)*kgtoGg),IF('Net zero activities &amp; levers'!$C$7="On",((('Net zero supporting data'!AH80*EF!$H9)+('Net zero supporting data'!AH75*'Net zero supporting data'!AH60))*kgtoGg),"ERROR"))</f>
        <v>69.67955903872145</v>
      </c>
      <c r="AR315" s="93">
        <f>IF('Net zero activities &amp; levers'!$C$7="Off",(('Activity data'!BK10*EF!$H9)*kgtoGg),IF('Net zero activities &amp; levers'!$C$7="On",((('Net zero supporting data'!AI80*EF!$H9)+('Net zero supporting data'!AI75*'Net zero supporting data'!AI60))*kgtoGg),"ERROR"))</f>
        <v>71.407107591837772</v>
      </c>
      <c r="AS315" s="93">
        <f>IF('Net zero activities &amp; levers'!$C$7="Off",(('Activity data'!BL10*EF!$H9)*kgtoGg),IF('Net zero activities &amp; levers'!$C$7="On",((('Net zero supporting data'!AJ80*EF!$H9)+('Net zero supporting data'!AJ75*'Net zero supporting data'!AJ60))*kgtoGg),"ERROR"))</f>
        <v>73.374167564953126</v>
      </c>
      <c r="AT315" s="93">
        <f>IF('Net zero activities &amp; levers'!$C$7="Off",(('Activity data'!BM10*EF!$H9)*kgtoGg),IF('Net zero activities &amp; levers'!$C$7="On",((('Net zero supporting data'!AK80*EF!$H9)+('Net zero supporting data'!AK75*'Net zero supporting data'!AK60))*kgtoGg),"ERROR"))</f>
        <v>74.62491515743649</v>
      </c>
      <c r="AU315" s="93">
        <f>IF('Net zero activities &amp; levers'!$C$7="Off",(('Activity data'!BN10*EF!$H9)*kgtoGg),IF('Net zero activities &amp; levers'!$C$7="On",((('Net zero supporting data'!AL80*EF!$H9)+('Net zero supporting data'!AL75*'Net zero supporting data'!AL60))*kgtoGg),"ERROR"))</f>
        <v>75.802004151402002</v>
      </c>
      <c r="AV315" s="93">
        <f>IF('Net zero activities &amp; levers'!$C$7="Off",(('Activity data'!BO10*EF!$H9)*kgtoGg),IF('Net zero activities &amp; levers'!$C$7="On",((('Net zero supporting data'!AM80*EF!$H9)+('Net zero supporting data'!AM75*'Net zero supporting data'!AM60))*kgtoGg),"ERROR"))</f>
        <v>76.977731205772542</v>
      </c>
      <c r="AW315" s="93">
        <f>IF('Net zero activities &amp; levers'!$C$7="Off",(('Activity data'!BP10*EF!$H9)*kgtoGg),IF('Net zero activities &amp; levers'!$C$7="On",((('Net zero supporting data'!AN80*EF!$H9)+('Net zero supporting data'!AN75*'Net zero supporting data'!AN60))*kgtoGg),"ERROR"))</f>
        <v>78.119171405122401</v>
      </c>
      <c r="AY315" s="79"/>
    </row>
    <row r="316" spans="1:51" x14ac:dyDescent="0.2">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135.26278530113291</v>
      </c>
      <c r="T316" s="27">
        <f t="shared" si="74"/>
        <v>135.46877954348926</v>
      </c>
      <c r="U316" s="27">
        <f t="shared" si="74"/>
        <v>135.70160233543365</v>
      </c>
      <c r="V316" s="27">
        <f t="shared" si="74"/>
        <v>135.96424702879582</v>
      </c>
      <c r="W316" s="27">
        <f t="shared" si="74"/>
        <v>136.25970300255619</v>
      </c>
      <c r="X316" s="27">
        <f t="shared" si="74"/>
        <v>136.58180937371023</v>
      </c>
      <c r="Y316" s="27">
        <f t="shared" si="74"/>
        <v>136.77771182752844</v>
      </c>
      <c r="Z316" s="27">
        <f t="shared" si="74"/>
        <v>136.99652360229675</v>
      </c>
      <c r="AA316" s="27">
        <f t="shared" si="74"/>
        <v>137.23663958086595</v>
      </c>
      <c r="AB316" s="27">
        <f t="shared" si="74"/>
        <v>137.50349615818331</v>
      </c>
      <c r="AC316" s="27">
        <f t="shared" si="74"/>
        <v>137.79053665720062</v>
      </c>
      <c r="AD316" s="27">
        <f t="shared" si="74"/>
        <v>137.97809778631554</v>
      </c>
      <c r="AE316" s="27">
        <f t="shared" si="74"/>
        <v>138.18863599200537</v>
      </c>
      <c r="AF316" s="27">
        <f t="shared" si="74"/>
        <v>138.41878788829575</v>
      </c>
      <c r="AG316" s="27">
        <f t="shared" si="74"/>
        <v>138.67094365352415</v>
      </c>
      <c r="AH316" s="27">
        <f t="shared" si="74"/>
        <v>138.93056254849651</v>
      </c>
      <c r="AI316" s="27">
        <f t="shared" si="74"/>
        <v>139.08967652077243</v>
      </c>
      <c r="AJ316" s="27">
        <f t="shared" si="74"/>
        <v>139.2654495830931</v>
      </c>
      <c r="AK316" s="27">
        <f t="shared" si="74"/>
        <v>139.4534011320402</v>
      </c>
      <c r="AL316" s="27">
        <f t="shared" si="74"/>
        <v>139.65576726304948</v>
      </c>
      <c r="AM316" s="27">
        <f t="shared" si="74"/>
        <v>139.87071929457153</v>
      </c>
      <c r="AN316" s="27">
        <f t="shared" si="74"/>
        <v>139.99537394141325</v>
      </c>
      <c r="AO316" s="27">
        <f t="shared" si="74"/>
        <v>140.12945613123219</v>
      </c>
      <c r="AP316" s="27">
        <f t="shared" si="74"/>
        <v>140.27467944669363</v>
      </c>
      <c r="AQ316" s="27">
        <f t="shared" si="74"/>
        <v>140.43124436652656</v>
      </c>
      <c r="AR316" s="27">
        <f t="shared" si="74"/>
        <v>140.59904144364654</v>
      </c>
      <c r="AS316" s="27">
        <f t="shared" si="74"/>
        <v>140.67407193187856</v>
      </c>
      <c r="AT316" s="27">
        <f t="shared" si="74"/>
        <v>140.74390740905804</v>
      </c>
      <c r="AU316" s="27">
        <f t="shared" si="74"/>
        <v>140.82132713333769</v>
      </c>
      <c r="AV316" s="27">
        <f t="shared" si="74"/>
        <v>140.90757206763405</v>
      </c>
      <c r="AW316" s="27">
        <f t="shared" si="74"/>
        <v>141.00175438081712</v>
      </c>
      <c r="AY316" s="79"/>
    </row>
    <row r="317" spans="1:51" x14ac:dyDescent="0.2">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14.658944228555331</v>
      </c>
      <c r="T317" s="27">
        <f t="shared" si="75"/>
        <v>14.681268610708063</v>
      </c>
      <c r="U317" s="27">
        <f t="shared" si="75"/>
        <v>14.706500505161891</v>
      </c>
      <c r="V317" s="27">
        <f t="shared" si="75"/>
        <v>14.734964312877745</v>
      </c>
      <c r="W317" s="27">
        <f t="shared" si="75"/>
        <v>14.766984004263698</v>
      </c>
      <c r="X317" s="27">
        <f t="shared" si="75"/>
        <v>14.801891900917591</v>
      </c>
      <c r="Y317" s="27">
        <f t="shared" si="75"/>
        <v>14.823122597434484</v>
      </c>
      <c r="Z317" s="27">
        <f t="shared" si="75"/>
        <v>14.846836064488549</v>
      </c>
      <c r="AA317" s="27">
        <f t="shared" si="75"/>
        <v>14.872858349408936</v>
      </c>
      <c r="AB317" s="27">
        <f t="shared" si="75"/>
        <v>14.901778615062266</v>
      </c>
      <c r="AC317" s="27">
        <f t="shared" si="75"/>
        <v>14.932886289335453</v>
      </c>
      <c r="AD317" s="27">
        <f t="shared" si="75"/>
        <v>14.953213004662359</v>
      </c>
      <c r="AE317" s="27">
        <f t="shared" si="75"/>
        <v>14.976029833462063</v>
      </c>
      <c r="AF317" s="27">
        <f t="shared" si="75"/>
        <v>15.000972272761286</v>
      </c>
      <c r="AG317" s="27">
        <f t="shared" si="75"/>
        <v>15.02829935530777</v>
      </c>
      <c r="AH317" s="27">
        <f t="shared" si="75"/>
        <v>15.056435245705167</v>
      </c>
      <c r="AI317" s="27">
        <f t="shared" si="75"/>
        <v>15.073679034086307</v>
      </c>
      <c r="AJ317" s="27">
        <f t="shared" si="75"/>
        <v>15.092728231629481</v>
      </c>
      <c r="AK317" s="27">
        <f t="shared" si="75"/>
        <v>15.11309725824351</v>
      </c>
      <c r="AL317" s="27">
        <f t="shared" si="75"/>
        <v>15.135028448124075</v>
      </c>
      <c r="AM317" s="27">
        <f t="shared" si="75"/>
        <v>15.158323620073121</v>
      </c>
      <c r="AN317" s="27">
        <f t="shared" si="75"/>
        <v>15.171832919854392</v>
      </c>
      <c r="AO317" s="27">
        <f t="shared" si="75"/>
        <v>15.186363918445194</v>
      </c>
      <c r="AP317" s="27">
        <f t="shared" si="75"/>
        <v>15.202102323338273</v>
      </c>
      <c r="AQ317" s="27">
        <f t="shared" si="75"/>
        <v>15.219069861178557</v>
      </c>
      <c r="AR317" s="27">
        <f t="shared" si="75"/>
        <v>15.237254670767834</v>
      </c>
      <c r="AS317" s="27">
        <f t="shared" si="75"/>
        <v>15.245386011106461</v>
      </c>
      <c r="AT317" s="27">
        <f t="shared" si="75"/>
        <v>15.252954348272294</v>
      </c>
      <c r="AU317" s="27">
        <f t="shared" si="75"/>
        <v>15.261344619239132</v>
      </c>
      <c r="AV317" s="27">
        <f t="shared" si="75"/>
        <v>15.270691311893962</v>
      </c>
      <c r="AW317" s="27">
        <f t="shared" si="75"/>
        <v>15.280898208589107</v>
      </c>
      <c r="AY317" s="79"/>
    </row>
    <row r="318" spans="1:51" x14ac:dyDescent="0.2">
      <c r="A318" s="95" t="str">
        <f t="shared" si="71"/>
        <v>GS Goats</v>
      </c>
      <c r="B318" s="95" t="s">
        <v>1021</v>
      </c>
      <c r="C318" s="95" t="s">
        <v>153</v>
      </c>
      <c r="D318" t="s">
        <v>15</v>
      </c>
      <c r="E318" t="s">
        <v>16</v>
      </c>
      <c r="F318" t="s">
        <v>19</v>
      </c>
      <c r="G318" t="s">
        <v>122</v>
      </c>
      <c r="H318" t="s">
        <v>1020</v>
      </c>
      <c r="I318" t="s">
        <v>121</v>
      </c>
      <c r="J318" t="s">
        <v>286</v>
      </c>
      <c r="K318" s="27">
        <f t="shared" si="72"/>
        <v>15.123414197798356</v>
      </c>
      <c r="L318" s="27">
        <f t="shared" ref="L318:AW318" si="76">L1387</f>
        <v>15.162727774721576</v>
      </c>
      <c r="M318" s="27">
        <f t="shared" si="76"/>
        <v>15.216959464794312</v>
      </c>
      <c r="N318" s="27">
        <f t="shared" si="76"/>
        <v>15.283027985940226</v>
      </c>
      <c r="O318" s="27">
        <f t="shared" si="76"/>
        <v>15.360839106953575</v>
      </c>
      <c r="P318" s="27">
        <f t="shared" si="76"/>
        <v>15.449919228540612</v>
      </c>
      <c r="Q318" s="27">
        <f t="shared" si="76"/>
        <v>15.545788610572219</v>
      </c>
      <c r="R318" s="27">
        <f t="shared" si="76"/>
        <v>15.648067752449878</v>
      </c>
      <c r="S318" s="27">
        <f t="shared" si="76"/>
        <v>15.742031713029512</v>
      </c>
      <c r="T318" s="27">
        <f t="shared" si="76"/>
        <v>15.78777493593066</v>
      </c>
      <c r="U318" s="27">
        <f t="shared" si="76"/>
        <v>15.836941189877804</v>
      </c>
      <c r="V318" s="27">
        <f t="shared" si="76"/>
        <v>15.890131734595759</v>
      </c>
      <c r="W318" s="27">
        <f t="shared" si="76"/>
        <v>15.947930587680338</v>
      </c>
      <c r="X318" s="27">
        <f t="shared" si="76"/>
        <v>16.009309310979074</v>
      </c>
      <c r="Y318" s="27">
        <f t="shared" si="76"/>
        <v>16.047680700733103</v>
      </c>
      <c r="Z318" s="27">
        <f t="shared" si="76"/>
        <v>16.089188383327485</v>
      </c>
      <c r="AA318" s="27">
        <f t="shared" si="76"/>
        <v>16.133588234011135</v>
      </c>
      <c r="AB318" s="27">
        <f t="shared" si="76"/>
        <v>16.181852398556252</v>
      </c>
      <c r="AC318" s="27">
        <f t="shared" si="76"/>
        <v>16.232869062741507</v>
      </c>
      <c r="AD318" s="27">
        <f t="shared" si="76"/>
        <v>16.26603536262477</v>
      </c>
      <c r="AE318" s="27">
        <f t="shared" si="76"/>
        <v>16.302563680867436</v>
      </c>
      <c r="AF318" s="27">
        <f t="shared" si="76"/>
        <v>16.341889153829143</v>
      </c>
      <c r="AG318" s="27">
        <f t="shared" si="76"/>
        <v>16.384434985595004</v>
      </c>
      <c r="AH318" s="27">
        <f t="shared" si="76"/>
        <v>16.427723661614785</v>
      </c>
      <c r="AI318" s="27">
        <f t="shared" si="76"/>
        <v>16.453347878804561</v>
      </c>
      <c r="AJ318" s="27">
        <f t="shared" si="76"/>
        <v>16.481391601385443</v>
      </c>
      <c r="AK318" s="27">
        <f t="shared" si="76"/>
        <v>16.511100045266552</v>
      </c>
      <c r="AL318" s="27">
        <f t="shared" si="76"/>
        <v>16.542862813406586</v>
      </c>
      <c r="AM318" s="27">
        <f t="shared" si="76"/>
        <v>16.576376781233034</v>
      </c>
      <c r="AN318" s="27">
        <f t="shared" si="76"/>
        <v>16.594247346579589</v>
      </c>
      <c r="AO318" s="27">
        <f t="shared" si="76"/>
        <v>16.613410035363255</v>
      </c>
      <c r="AP318" s="27">
        <f t="shared" si="76"/>
        <v>16.634160462915251</v>
      </c>
      <c r="AQ318" s="27">
        <f t="shared" si="76"/>
        <v>16.656536848310051</v>
      </c>
      <c r="AR318" s="27">
        <f t="shared" si="76"/>
        <v>16.680524418707119</v>
      </c>
      <c r="AS318" s="27">
        <f t="shared" si="76"/>
        <v>16.68868442435787</v>
      </c>
      <c r="AT318" s="27">
        <f t="shared" si="76"/>
        <v>16.695767676813599</v>
      </c>
      <c r="AU318" s="27">
        <f t="shared" si="76"/>
        <v>16.703924626566948</v>
      </c>
      <c r="AV318" s="27">
        <f t="shared" si="76"/>
        <v>16.713365572192938</v>
      </c>
      <c r="AW318" s="27">
        <f t="shared" si="76"/>
        <v>16.723944327870726</v>
      </c>
      <c r="AY318" s="79"/>
    </row>
    <row r="319" spans="1:51" x14ac:dyDescent="0.2">
      <c r="A319" s="95" t="str">
        <f t="shared" si="71"/>
        <v>GS Goats</v>
      </c>
      <c r="B319" s="95" t="s">
        <v>1021</v>
      </c>
      <c r="C319" s="95" t="s">
        <v>153</v>
      </c>
      <c r="D319" t="s">
        <v>15</v>
      </c>
      <c r="E319" t="s">
        <v>16</v>
      </c>
      <c r="F319" t="s">
        <v>19</v>
      </c>
      <c r="G319" t="s">
        <v>123</v>
      </c>
      <c r="H319" t="s">
        <v>1020</v>
      </c>
      <c r="I319" t="s">
        <v>121</v>
      </c>
      <c r="J319" t="s">
        <v>286</v>
      </c>
      <c r="K319" s="27">
        <f t="shared" si="72"/>
        <v>22.381101687842737</v>
      </c>
      <c r="L319" s="27">
        <f t="shared" ref="L319:AW319" si="77">L1388</f>
        <v>22.439281748993185</v>
      </c>
      <c r="M319" s="27">
        <f t="shared" si="77"/>
        <v>22.519539087339325</v>
      </c>
      <c r="N319" s="27">
        <f t="shared" si="77"/>
        <v>22.617313721478972</v>
      </c>
      <c r="O319" s="27">
        <f t="shared" si="77"/>
        <v>22.73246619889365</v>
      </c>
      <c r="P319" s="27">
        <f t="shared" si="77"/>
        <v>22.864295641209328</v>
      </c>
      <c r="Q319" s="27">
        <f t="shared" si="77"/>
        <v>23.006172492556328</v>
      </c>
      <c r="R319" s="27">
        <f t="shared" si="77"/>
        <v>23.157535130977113</v>
      </c>
      <c r="S319" s="27">
        <f t="shared" si="77"/>
        <v>23.296592154028918</v>
      </c>
      <c r="T319" s="27">
        <f t="shared" si="77"/>
        <v>23.36428743168846</v>
      </c>
      <c r="U319" s="27">
        <f t="shared" si="77"/>
        <v>23.437048444169463</v>
      </c>
      <c r="V319" s="27">
        <f t="shared" si="77"/>
        <v>23.51576499418881</v>
      </c>
      <c r="W319" s="27">
        <f t="shared" si="77"/>
        <v>23.601301367881135</v>
      </c>
      <c r="X319" s="27">
        <f t="shared" si="77"/>
        <v>23.692135582275586</v>
      </c>
      <c r="Y319" s="27">
        <f t="shared" si="77"/>
        <v>23.748921303063014</v>
      </c>
      <c r="Z319" s="27">
        <f t="shared" si="77"/>
        <v>23.810348415540492</v>
      </c>
      <c r="AA319" s="27">
        <f t="shared" si="77"/>
        <v>23.876055640118153</v>
      </c>
      <c r="AB319" s="27">
        <f t="shared" si="77"/>
        <v>23.947481652818404</v>
      </c>
      <c r="AC319" s="27">
        <f t="shared" si="77"/>
        <v>24.022981082641</v>
      </c>
      <c r="AD319" s="27">
        <f t="shared" si="77"/>
        <v>24.072063804345781</v>
      </c>
      <c r="AE319" s="27">
        <f t="shared" si="77"/>
        <v>24.126121968354415</v>
      </c>
      <c r="AF319" s="27">
        <f t="shared" si="77"/>
        <v>24.184319634421552</v>
      </c>
      <c r="AG319" s="27">
        <f t="shared" si="77"/>
        <v>24.247283101181864</v>
      </c>
      <c r="AH319" s="27">
        <f t="shared" si="77"/>
        <v>24.311345901238735</v>
      </c>
      <c r="AI319" s="27">
        <f t="shared" si="77"/>
        <v>24.34926711420659</v>
      </c>
      <c r="AJ319" s="27">
        <f t="shared" si="77"/>
        <v>24.390768946966002</v>
      </c>
      <c r="AK319" s="27">
        <f t="shared" si="77"/>
        <v>24.434734396486487</v>
      </c>
      <c r="AL319" s="27">
        <f t="shared" si="77"/>
        <v>24.481740035182341</v>
      </c>
      <c r="AM319" s="27">
        <f t="shared" si="77"/>
        <v>24.531337269780067</v>
      </c>
      <c r="AN319" s="27">
        <f t="shared" si="77"/>
        <v>24.557783873371651</v>
      </c>
      <c r="AO319" s="27">
        <f t="shared" si="77"/>
        <v>24.586142687107124</v>
      </c>
      <c r="AP319" s="27">
        <f t="shared" si="77"/>
        <v>24.616851191353145</v>
      </c>
      <c r="AQ319" s="27">
        <f t="shared" si="77"/>
        <v>24.649965946419517</v>
      </c>
      <c r="AR319" s="27">
        <f t="shared" si="77"/>
        <v>24.685465090017612</v>
      </c>
      <c r="AS319" s="27">
        <f t="shared" si="77"/>
        <v>24.697541061346186</v>
      </c>
      <c r="AT319" s="27">
        <f t="shared" si="77"/>
        <v>24.708023548396984</v>
      </c>
      <c r="AU319" s="27">
        <f t="shared" si="77"/>
        <v>24.720094997310881</v>
      </c>
      <c r="AV319" s="27">
        <f t="shared" si="77"/>
        <v>24.734066628406943</v>
      </c>
      <c r="AW319" s="27">
        <f t="shared" si="77"/>
        <v>24.749722101665743</v>
      </c>
      <c r="AY319" s="79"/>
    </row>
    <row r="320" spans="1:51" x14ac:dyDescent="0.2">
      <c r="A320" s="95" t="str">
        <f t="shared" si="71"/>
        <v>GS Horses</v>
      </c>
      <c r="B320" s="95" t="s">
        <v>1021</v>
      </c>
      <c r="C320" s="95" t="s">
        <v>3</v>
      </c>
      <c r="D320" t="s">
        <v>15</v>
      </c>
      <c r="E320" t="s">
        <v>16</v>
      </c>
      <c r="F320" t="s">
        <v>20</v>
      </c>
      <c r="G320" t="s">
        <v>3</v>
      </c>
      <c r="H320" t="s">
        <v>1020</v>
      </c>
      <c r="I320" t="s">
        <v>121</v>
      </c>
      <c r="J320" t="s">
        <v>286</v>
      </c>
      <c r="K320" s="27">
        <f t="shared" si="72"/>
        <v>5.5526214800767892</v>
      </c>
      <c r="L320" s="27">
        <f t="shared" ref="L320:AW320" si="78">L1389</f>
        <v>5.579523571019652</v>
      </c>
      <c r="M320" s="27">
        <f t="shared" si="78"/>
        <v>5.6203482259438022</v>
      </c>
      <c r="N320" s="27">
        <f t="shared" si="78"/>
        <v>5.629075655008374</v>
      </c>
      <c r="O320" s="27">
        <f t="shared" si="78"/>
        <v>5.6165815405282284</v>
      </c>
      <c r="P320" s="27">
        <f t="shared" si="78"/>
        <v>5.5833231296706103</v>
      </c>
      <c r="Q320" s="27">
        <f t="shared" si="78"/>
        <v>5.5648827699457346</v>
      </c>
      <c r="R320" s="27">
        <f t="shared" si="78"/>
        <v>5.5483103177944013</v>
      </c>
      <c r="S320" s="27">
        <f t="shared" si="78"/>
        <v>5.2545848231765602</v>
      </c>
      <c r="T320" s="27">
        <f t="shared" si="78"/>
        <v>5.3277448648735932</v>
      </c>
      <c r="U320" s="27">
        <f t="shared" si="78"/>
        <v>5.3771318788227438</v>
      </c>
      <c r="V320" s="27">
        <f t="shared" si="78"/>
        <v>5.4200550937003218</v>
      </c>
      <c r="W320" s="27">
        <f t="shared" si="78"/>
        <v>5.4726184084270573</v>
      </c>
      <c r="X320" s="27">
        <f t="shared" si="78"/>
        <v>5.5193093093258572</v>
      </c>
      <c r="Y320" s="27">
        <f t="shared" si="78"/>
        <v>5.5623143429133499</v>
      </c>
      <c r="Z320" s="27">
        <f t="shared" si="78"/>
        <v>5.6016190467987945</v>
      </c>
      <c r="AA320" s="27">
        <f t="shared" si="78"/>
        <v>5.6358734850599594</v>
      </c>
      <c r="AB320" s="27">
        <f t="shared" si="78"/>
        <v>5.6864221774832213</v>
      </c>
      <c r="AC320" s="27">
        <f t="shared" si="78"/>
        <v>5.734761216152096</v>
      </c>
      <c r="AD320" s="27">
        <f t="shared" si="78"/>
        <v>5.7937893665421401</v>
      </c>
      <c r="AE320" s="27">
        <f t="shared" si="78"/>
        <v>5.868728906856421</v>
      </c>
      <c r="AF320" s="27">
        <f t="shared" si="78"/>
        <v>5.95097387412393</v>
      </c>
      <c r="AG320" s="27">
        <f t="shared" si="78"/>
        <v>6.0502809540907023</v>
      </c>
      <c r="AH320" s="27">
        <f t="shared" si="78"/>
        <v>6.1220107529838179</v>
      </c>
      <c r="AI320" s="27">
        <f t="shared" si="78"/>
        <v>6.1941308642978408</v>
      </c>
      <c r="AJ320" s="27">
        <f t="shared" si="78"/>
        <v>6.2747694866131836</v>
      </c>
      <c r="AK320" s="27">
        <f t="shared" si="78"/>
        <v>6.3513096084096698</v>
      </c>
      <c r="AL320" s="27">
        <f t="shared" si="78"/>
        <v>6.4323283925814563</v>
      </c>
      <c r="AM320" s="27">
        <f t="shared" si="78"/>
        <v>6.5134158744418782</v>
      </c>
      <c r="AN320" s="27">
        <f t="shared" si="78"/>
        <v>6.6126163316975539</v>
      </c>
      <c r="AO320" s="27">
        <f t="shared" si="78"/>
        <v>6.7066735285892829</v>
      </c>
      <c r="AP320" s="27">
        <f t="shared" si="78"/>
        <v>6.8021224333407027</v>
      </c>
      <c r="AQ320" s="27">
        <f t="shared" si="78"/>
        <v>6.9006513009384864</v>
      </c>
      <c r="AR320" s="27">
        <f t="shared" si="78"/>
        <v>7.0028965831984893</v>
      </c>
      <c r="AS320" s="27">
        <f t="shared" si="78"/>
        <v>7.1267607896665828</v>
      </c>
      <c r="AT320" s="27">
        <f t="shared" si="78"/>
        <v>7.2071584727038323</v>
      </c>
      <c r="AU320" s="27">
        <f t="shared" si="78"/>
        <v>7.2845566532149562</v>
      </c>
      <c r="AV320" s="27">
        <f t="shared" si="78"/>
        <v>7.3636089922437549</v>
      </c>
      <c r="AW320" s="27">
        <f t="shared" si="78"/>
        <v>7.4423534956754249</v>
      </c>
      <c r="AY320" s="79"/>
    </row>
    <row r="321" spans="1:51" x14ac:dyDescent="0.2">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2">
      <c r="A322" s="95" t="str">
        <f t="shared" si="71"/>
        <v>GS Swine</v>
      </c>
      <c r="B322" s="95" t="s">
        <v>1021</v>
      </c>
      <c r="C322" s="95" t="s">
        <v>155</v>
      </c>
      <c r="D322" t="s">
        <v>15</v>
      </c>
      <c r="E322" t="s">
        <v>16</v>
      </c>
      <c r="F322" t="s">
        <v>21</v>
      </c>
      <c r="G322" t="s">
        <v>122</v>
      </c>
      <c r="H322" t="s">
        <v>1020</v>
      </c>
      <c r="I322" t="s">
        <v>121</v>
      </c>
      <c r="J322" t="s">
        <v>286</v>
      </c>
      <c r="K322" s="27">
        <f t="shared" si="72"/>
        <v>1.8400999552016304</v>
      </c>
      <c r="L322" s="27">
        <f t="shared" ref="L322:AW322" si="80">L1391</f>
        <v>1.8300977880312255</v>
      </c>
      <c r="M322" s="27">
        <f t="shared" si="80"/>
        <v>1.8309187348828158</v>
      </c>
      <c r="N322" s="27">
        <f t="shared" si="80"/>
        <v>1.8141094978660448</v>
      </c>
      <c r="O322" s="27">
        <f t="shared" si="80"/>
        <v>1.7866561368117302</v>
      </c>
      <c r="P322" s="27">
        <f t="shared" si="80"/>
        <v>1.7489975228040084</v>
      </c>
      <c r="Q322" s="27">
        <f t="shared" si="80"/>
        <v>1.7216531928010095</v>
      </c>
      <c r="R322" s="27">
        <f t="shared" si="80"/>
        <v>1.6967284692901876</v>
      </c>
      <c r="S322" s="27">
        <f t="shared" si="80"/>
        <v>1.5117747469441463</v>
      </c>
      <c r="T322" s="27">
        <f t="shared" si="80"/>
        <v>1.5353784458928466</v>
      </c>
      <c r="U322" s="27">
        <f t="shared" si="80"/>
        <v>1.5454031535928081</v>
      </c>
      <c r="V322" s="27">
        <f t="shared" si="80"/>
        <v>1.5520051748391652</v>
      </c>
      <c r="W322" s="27">
        <f t="shared" si="80"/>
        <v>1.564229983889788</v>
      </c>
      <c r="X322" s="27">
        <f t="shared" si="80"/>
        <v>1.5733351038653358</v>
      </c>
      <c r="Y322" s="27">
        <f t="shared" si="80"/>
        <v>1.5781110770621192</v>
      </c>
      <c r="Z322" s="27">
        <f t="shared" si="80"/>
        <v>1.5810372890528743</v>
      </c>
      <c r="AA322" s="27">
        <f t="shared" si="80"/>
        <v>1.5814342334658642</v>
      </c>
      <c r="AB322" s="27">
        <f t="shared" si="80"/>
        <v>1.5906175911874081</v>
      </c>
      <c r="AC322" s="27">
        <f t="shared" si="80"/>
        <v>1.598639197477874</v>
      </c>
      <c r="AD322" s="27">
        <f t="shared" si="80"/>
        <v>1.6101808279098371</v>
      </c>
      <c r="AE322" s="27">
        <f t="shared" si="80"/>
        <v>1.6296768229523677</v>
      </c>
      <c r="AF322" s="27">
        <f t="shared" si="80"/>
        <v>1.6525077177354268</v>
      </c>
      <c r="AG322" s="27">
        <f t="shared" si="80"/>
        <v>1.6834189005947389</v>
      </c>
      <c r="AH322" s="27">
        <f t="shared" si="80"/>
        <v>1.7001060999840301</v>
      </c>
      <c r="AI322" s="27">
        <f t="shared" si="80"/>
        <v>1.714680678931171</v>
      </c>
      <c r="AJ322" s="27">
        <f t="shared" si="80"/>
        <v>1.7329967482102966</v>
      </c>
      <c r="AK322" s="27">
        <f t="shared" si="80"/>
        <v>1.7488990397133231</v>
      </c>
      <c r="AL322" s="27">
        <f t="shared" si="80"/>
        <v>1.7664947607476369</v>
      </c>
      <c r="AM322" s="27">
        <f t="shared" si="80"/>
        <v>1.7836580054040596</v>
      </c>
      <c r="AN322" s="27">
        <f t="shared" si="80"/>
        <v>1.8067654920152938</v>
      </c>
      <c r="AO322" s="27">
        <f t="shared" si="80"/>
        <v>1.8268312610518465</v>
      </c>
      <c r="AP322" s="27">
        <f t="shared" si="80"/>
        <v>1.8468791974694727</v>
      </c>
      <c r="AQ322" s="27">
        <f t="shared" si="80"/>
        <v>1.8676391522371276</v>
      </c>
      <c r="AR322" s="27">
        <f t="shared" si="80"/>
        <v>1.8893444874946981</v>
      </c>
      <c r="AS322" s="27">
        <f t="shared" si="80"/>
        <v>1.9176308190810374</v>
      </c>
      <c r="AT322" s="27">
        <f t="shared" si="80"/>
        <v>1.9263908565050327</v>
      </c>
      <c r="AU322" s="27">
        <f t="shared" si="80"/>
        <v>1.9333876275197814</v>
      </c>
      <c r="AV322" s="27">
        <f t="shared" si="80"/>
        <v>1.9406033255753634</v>
      </c>
      <c r="AW322" s="27">
        <f t="shared" si="80"/>
        <v>1.947207220691618</v>
      </c>
      <c r="AY322" s="79"/>
    </row>
    <row r="323" spans="1:51" x14ac:dyDescent="0.2">
      <c r="A323" s="95" t="str">
        <f t="shared" si="71"/>
        <v>GS Swine</v>
      </c>
      <c r="B323" s="95" t="s">
        <v>1021</v>
      </c>
      <c r="C323" s="95" t="s">
        <v>155</v>
      </c>
      <c r="D323" t="s">
        <v>15</v>
      </c>
      <c r="E323" t="s">
        <v>16</v>
      </c>
      <c r="F323" t="s">
        <v>21</v>
      </c>
      <c r="G323" t="s">
        <v>123</v>
      </c>
      <c r="H323" t="s">
        <v>1020</v>
      </c>
      <c r="I323" t="s">
        <v>121</v>
      </c>
      <c r="J323" t="s">
        <v>286</v>
      </c>
      <c r="K323" s="27">
        <f t="shared" si="72"/>
        <v>0.25496723934882609</v>
      </c>
      <c r="L323" s="27">
        <f t="shared" ref="L323:AW323" si="81">L1392</f>
        <v>0.25358132281546897</v>
      </c>
      <c r="M323" s="27">
        <f t="shared" si="81"/>
        <v>0.25369507454499346</v>
      </c>
      <c r="N323" s="27">
        <f t="shared" si="81"/>
        <v>0.25136595935447842</v>
      </c>
      <c r="O323" s="27">
        <f t="shared" si="81"/>
        <v>0.24756197704412711</v>
      </c>
      <c r="P323" s="27">
        <f t="shared" si="81"/>
        <v>0.2423439383043785</v>
      </c>
      <c r="Q323" s="27">
        <f t="shared" si="81"/>
        <v>0.23855506351363703</v>
      </c>
      <c r="R323" s="27">
        <f t="shared" si="81"/>
        <v>0.23510145332951488</v>
      </c>
      <c r="S323" s="27">
        <f t="shared" si="81"/>
        <v>0.20947396507239346</v>
      </c>
      <c r="T323" s="27">
        <f t="shared" si="81"/>
        <v>0.21274453194695842</v>
      </c>
      <c r="U323" s="27">
        <f t="shared" si="81"/>
        <v>0.21413357173271183</v>
      </c>
      <c r="V323" s="27">
        <f t="shared" si="81"/>
        <v>0.21504835852271614</v>
      </c>
      <c r="W323" s="27">
        <f t="shared" si="81"/>
        <v>0.21674224792605687</v>
      </c>
      <c r="X323" s="27">
        <f t="shared" si="81"/>
        <v>0.21800386814268849</v>
      </c>
      <c r="Y323" s="27">
        <f t="shared" si="81"/>
        <v>0.21866563474821746</v>
      </c>
      <c r="Z323" s="27">
        <f t="shared" si="81"/>
        <v>0.21907109543578676</v>
      </c>
      <c r="AA323" s="27">
        <f t="shared" si="81"/>
        <v>0.21912609669855451</v>
      </c>
      <c r="AB323" s="27">
        <f t="shared" si="81"/>
        <v>0.22039855766438188</v>
      </c>
      <c r="AC323" s="27">
        <f t="shared" si="81"/>
        <v>0.22151004446445585</v>
      </c>
      <c r="AD323" s="27">
        <f t="shared" si="81"/>
        <v>0.22310927152845497</v>
      </c>
      <c r="AE323" s="27">
        <f t="shared" si="81"/>
        <v>0.22581066827611573</v>
      </c>
      <c r="AF323" s="27">
        <f t="shared" si="81"/>
        <v>0.22897415414993735</v>
      </c>
      <c r="AG323" s="27">
        <f t="shared" si="81"/>
        <v>0.23325725786741008</v>
      </c>
      <c r="AH323" s="27">
        <f t="shared" si="81"/>
        <v>0.2355694633259906</v>
      </c>
      <c r="AI323" s="27">
        <f t="shared" si="81"/>
        <v>0.23758894066379471</v>
      </c>
      <c r="AJ323" s="27">
        <f t="shared" si="81"/>
        <v>0.24012684498068754</v>
      </c>
      <c r="AK323" s="27">
        <f t="shared" si="81"/>
        <v>0.24233029232733053</v>
      </c>
      <c r="AL323" s="27">
        <f t="shared" si="81"/>
        <v>0.24476838402109372</v>
      </c>
      <c r="AM323" s="27">
        <f t="shared" si="81"/>
        <v>0.2471465510853047</v>
      </c>
      <c r="AN323" s="27">
        <f t="shared" si="81"/>
        <v>0.25034836197220872</v>
      </c>
      <c r="AO323" s="27">
        <f t="shared" si="81"/>
        <v>0.25312870753017624</v>
      </c>
      <c r="AP323" s="27">
        <f t="shared" si="81"/>
        <v>0.25590658217149315</v>
      </c>
      <c r="AQ323" s="27">
        <f t="shared" si="81"/>
        <v>0.25878311523218522</v>
      </c>
      <c r="AR323" s="27">
        <f t="shared" si="81"/>
        <v>0.26179064174949174</v>
      </c>
      <c r="AS323" s="27">
        <f t="shared" si="81"/>
        <v>0.26571004181006297</v>
      </c>
      <c r="AT323" s="27">
        <f t="shared" si="81"/>
        <v>0.26692384682770609</v>
      </c>
      <c r="AU323" s="27">
        <f t="shared" si="81"/>
        <v>0.26789333078695698</v>
      </c>
      <c r="AV323" s="27">
        <f t="shared" si="81"/>
        <v>0.26889314963267008</v>
      </c>
      <c r="AW323" s="27">
        <f t="shared" si="81"/>
        <v>0.26980819606913181</v>
      </c>
      <c r="AY323" s="79"/>
    </row>
    <row r="324" spans="1:51" x14ac:dyDescent="0.2">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7.3924283487896005</v>
      </c>
      <c r="M324" s="27">
        <f t="shared" si="82"/>
        <v>7.4507389435191715</v>
      </c>
      <c r="N324" s="27">
        <f t="shared" si="82"/>
        <v>7.4882097119910753</v>
      </c>
      <c r="O324" s="27">
        <f t="shared" si="82"/>
        <v>7.5131092090175455</v>
      </c>
      <c r="P324" s="27">
        <f t="shared" si="82"/>
        <v>7.5251923679492405</v>
      </c>
      <c r="Q324" s="27">
        <f t="shared" si="82"/>
        <v>7.5518885629203734</v>
      </c>
      <c r="R324" s="27">
        <f t="shared" si="82"/>
        <v>7.5825135825669046</v>
      </c>
      <c r="S324" s="27">
        <f t="shared" si="82"/>
        <v>7.3749406226465846</v>
      </c>
      <c r="T324" s="27">
        <f t="shared" si="82"/>
        <v>7.4596947338228921</v>
      </c>
      <c r="U324" s="27">
        <f t="shared" si="82"/>
        <v>7.5261085209621994</v>
      </c>
      <c r="V324" s="27">
        <f t="shared" si="82"/>
        <v>7.5890282866946253</v>
      </c>
      <c r="W324" s="27">
        <f t="shared" si="82"/>
        <v>7.6625876396153867</v>
      </c>
      <c r="X324" s="27">
        <f t="shared" si="82"/>
        <v>7.733033452737752</v>
      </c>
      <c r="Y324" s="27">
        <f t="shared" si="82"/>
        <v>7.7921158726045912</v>
      </c>
      <c r="Z324" s="27">
        <f t="shared" si="82"/>
        <v>7.8495573007710338</v>
      </c>
      <c r="AA324" s="27">
        <f t="shared" si="82"/>
        <v>7.9040412638168576</v>
      </c>
      <c r="AB324" s="27">
        <f t="shared" si="82"/>
        <v>7.9749152148387106</v>
      </c>
      <c r="AC324" s="27">
        <f t="shared" si="82"/>
        <v>8.0454247210614032</v>
      </c>
      <c r="AD324" s="27">
        <f t="shared" si="82"/>
        <v>8.118986526852904</v>
      </c>
      <c r="AE324" s="27">
        <f t="shared" si="82"/>
        <v>8.2087302780498543</v>
      </c>
      <c r="AF324" s="27">
        <f t="shared" si="82"/>
        <v>8.3068407116005449</v>
      </c>
      <c r="AG324" s="27">
        <f t="shared" si="82"/>
        <v>8.4224927361534156</v>
      </c>
      <c r="AH324" s="27">
        <f t="shared" si="82"/>
        <v>8.5140894306414712</v>
      </c>
      <c r="AI324" s="27">
        <f t="shared" si="82"/>
        <v>8.5991817671771109</v>
      </c>
      <c r="AJ324" s="27">
        <f t="shared" si="82"/>
        <v>8.6936031201600006</v>
      </c>
      <c r="AK324" s="27">
        <f t="shared" si="82"/>
        <v>8.7854891773357977</v>
      </c>
      <c r="AL324" s="27">
        <f t="shared" si="82"/>
        <v>8.8829387927935777</v>
      </c>
      <c r="AM324" s="27">
        <f t="shared" si="82"/>
        <v>8.981789259815093</v>
      </c>
      <c r="AN324" s="27">
        <f t="shared" si="82"/>
        <v>9.0910335877436168</v>
      </c>
      <c r="AO324" s="27">
        <f t="shared" si="82"/>
        <v>9.1965466271076242</v>
      </c>
      <c r="AP324" s="27">
        <f t="shared" si="82"/>
        <v>9.3045679627692603</v>
      </c>
      <c r="AQ324" s="27">
        <f t="shared" si="82"/>
        <v>9.416735487095643</v>
      </c>
      <c r="AR324" s="27">
        <f t="shared" si="82"/>
        <v>9.5336904606360946</v>
      </c>
      <c r="AS324" s="27">
        <f t="shared" si="82"/>
        <v>9.6639189531179213</v>
      </c>
      <c r="AT324" s="27">
        <f t="shared" si="82"/>
        <v>9.7529871408715216</v>
      </c>
      <c r="AU324" s="27">
        <f t="shared" si="82"/>
        <v>9.8400068754522785</v>
      </c>
      <c r="AV324" s="27">
        <f t="shared" si="82"/>
        <v>9.9294924345892497</v>
      </c>
      <c r="AW324" s="27">
        <f t="shared" si="82"/>
        <v>10.019533761751701</v>
      </c>
      <c r="AY324" s="79"/>
    </row>
    <row r="325" spans="1:51" x14ac:dyDescent="0.2">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2.1061581299686476</v>
      </c>
      <c r="M325" s="27">
        <f t="shared" si="83"/>
        <v>2.1227712545548472</v>
      </c>
      <c r="N325" s="27">
        <f t="shared" si="83"/>
        <v>2.1334469567638776</v>
      </c>
      <c r="O325" s="27">
        <f t="shared" si="83"/>
        <v>2.1405410097083362</v>
      </c>
      <c r="P325" s="27">
        <f t="shared" si="83"/>
        <v>2.143983592066792</v>
      </c>
      <c r="Q325" s="27">
        <f t="shared" si="83"/>
        <v>2.151589537694508</v>
      </c>
      <c r="R325" s="27">
        <f t="shared" si="83"/>
        <v>2.1603148348588084</v>
      </c>
      <c r="S325" s="27">
        <f t="shared" si="83"/>
        <v>2.1011757459869611</v>
      </c>
      <c r="T325" s="27">
        <f t="shared" si="83"/>
        <v>2.1253228261993073</v>
      </c>
      <c r="U325" s="27">
        <f t="shared" si="83"/>
        <v>2.1442446109127653</v>
      </c>
      <c r="V325" s="27">
        <f t="shared" si="83"/>
        <v>2.162170922793051</v>
      </c>
      <c r="W325" s="27">
        <f t="shared" si="83"/>
        <v>2.1831285326445773</v>
      </c>
      <c r="X325" s="27">
        <f t="shared" si="83"/>
        <v>2.2031990717190912</v>
      </c>
      <c r="Y325" s="27">
        <f t="shared" si="83"/>
        <v>2.2200320950599446</v>
      </c>
      <c r="Z325" s="27">
        <f t="shared" si="83"/>
        <v>2.2363975875911741</v>
      </c>
      <c r="AA325" s="27">
        <f t="shared" si="82"/>
        <v>2.2519204761884857</v>
      </c>
      <c r="AB325" s="27">
        <f t="shared" si="82"/>
        <v>2.2721129949529209</v>
      </c>
      <c r="AC325" s="27">
        <f t="shared" si="82"/>
        <v>2.2922016806681249</v>
      </c>
      <c r="AD325" s="27">
        <f t="shared" si="82"/>
        <v>2.3131599893608721</v>
      </c>
      <c r="AE325" s="27">
        <f t="shared" si="82"/>
        <v>2.3387286553362805</v>
      </c>
      <c r="AF325" s="27">
        <f t="shared" si="82"/>
        <v>2.3666810516948278</v>
      </c>
      <c r="AG325" s="27">
        <f t="shared" si="82"/>
        <v>2.3996311785363349</v>
      </c>
      <c r="AH325" s="27">
        <f t="shared" si="82"/>
        <v>2.4257277619149016</v>
      </c>
      <c r="AI325" s="27">
        <f t="shared" si="82"/>
        <v>2.4499712050619578</v>
      </c>
      <c r="AJ325" s="27">
        <f t="shared" si="82"/>
        <v>2.4768725547733976</v>
      </c>
      <c r="AK325" s="27">
        <f t="shared" si="82"/>
        <v>2.5030515797460584</v>
      </c>
      <c r="AL325" s="27">
        <f t="shared" si="82"/>
        <v>2.5308157040871935</v>
      </c>
      <c r="AM325" s="27">
        <f t="shared" si="82"/>
        <v>2.5589789415168327</v>
      </c>
      <c r="AN325" s="27">
        <f t="shared" si="82"/>
        <v>2.5901034676621961</v>
      </c>
      <c r="AO325" s="27">
        <f t="shared" si="82"/>
        <v>2.6201649217864809</v>
      </c>
      <c r="AP325" s="27">
        <f t="shared" si="82"/>
        <v>2.6509410082873499</v>
      </c>
      <c r="AQ325" s="27">
        <f t="shared" si="82"/>
        <v>2.6828983749511943</v>
      </c>
      <c r="AR325" s="27">
        <f t="shared" si="82"/>
        <v>2.7162197217049746</v>
      </c>
      <c r="AS325" s="27">
        <f t="shared" si="82"/>
        <v>2.7533227932875448</v>
      </c>
      <c r="AT325" s="27">
        <f t="shared" si="82"/>
        <v>2.7786989861849074</v>
      </c>
      <c r="AU325" s="27">
        <f t="shared" si="82"/>
        <v>2.8034915594514418</v>
      </c>
      <c r="AV325" s="27">
        <f t="shared" si="82"/>
        <v>2.8289866645777546</v>
      </c>
      <c r="AW325" s="27">
        <f t="shared" si="82"/>
        <v>2.854640112171523</v>
      </c>
      <c r="AY325" s="79"/>
    </row>
    <row r="326" spans="1:51" x14ac:dyDescent="0.2">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0.43500213637199753</v>
      </c>
      <c r="M326" s="27">
        <f t="shared" si="82"/>
        <v>0.43843338143569016</v>
      </c>
      <c r="N326" s="27">
        <f t="shared" si="82"/>
        <v>0.44063832189202168</v>
      </c>
      <c r="O326" s="27">
        <f t="shared" si="82"/>
        <v>0.44210351490980404</v>
      </c>
      <c r="P326" s="27">
        <f t="shared" si="82"/>
        <v>0.44281453971808232</v>
      </c>
      <c r="Q326" s="27">
        <f t="shared" si="82"/>
        <v>0.44438545813589125</v>
      </c>
      <c r="R326" s="27">
        <f t="shared" si="82"/>
        <v>0.44618756541973886</v>
      </c>
      <c r="S326" s="27">
        <f t="shared" si="82"/>
        <v>0.43397308368814624</v>
      </c>
      <c r="T326" s="27">
        <f t="shared" si="82"/>
        <v>0.43896037848337277</v>
      </c>
      <c r="U326" s="27">
        <f t="shared" si="82"/>
        <v>0.4428684500840781</v>
      </c>
      <c r="V326" s="27">
        <f t="shared" si="82"/>
        <v>0.44657091850477143</v>
      </c>
      <c r="W326" s="27">
        <f t="shared" si="82"/>
        <v>0.45089946579138956</v>
      </c>
      <c r="X326" s="27">
        <f t="shared" si="82"/>
        <v>0.45504479906495582</v>
      </c>
      <c r="Y326" s="27">
        <f t="shared" si="82"/>
        <v>0.4585214616244665</v>
      </c>
      <c r="Z326" s="27">
        <f t="shared" si="82"/>
        <v>0.46190156120605425</v>
      </c>
      <c r="AA326" s="27">
        <f t="shared" si="82"/>
        <v>0.46510763087689888</v>
      </c>
      <c r="AB326" s="27">
        <f t="shared" si="82"/>
        <v>0.46927815761763869</v>
      </c>
      <c r="AC326" s="27">
        <f t="shared" si="82"/>
        <v>0.47342723886594434</v>
      </c>
      <c r="AD326" s="27">
        <f t="shared" si="82"/>
        <v>0.4777559304899795</v>
      </c>
      <c r="AE326" s="27">
        <f t="shared" si="82"/>
        <v>0.48303683706827621</v>
      </c>
      <c r="AF326" s="27">
        <f t="shared" si="82"/>
        <v>0.48881007506008173</v>
      </c>
      <c r="AG326" s="27">
        <f t="shared" si="82"/>
        <v>0.49561553537468644</v>
      </c>
      <c r="AH326" s="27">
        <f t="shared" si="82"/>
        <v>0.50100547707002141</v>
      </c>
      <c r="AI326" s="27">
        <f t="shared" si="82"/>
        <v>0.50601267449357823</v>
      </c>
      <c r="AJ326" s="27">
        <f t="shared" si="82"/>
        <v>0.51156883118915397</v>
      </c>
      <c r="AK326" s="27">
        <f t="shared" si="82"/>
        <v>0.51697580022400658</v>
      </c>
      <c r="AL326" s="27">
        <f t="shared" si="82"/>
        <v>0.52271015284978539</v>
      </c>
      <c r="AM326" s="27">
        <f t="shared" si="82"/>
        <v>0.52852693757963265</v>
      </c>
      <c r="AN326" s="27">
        <f t="shared" si="82"/>
        <v>0.5349553415888797</v>
      </c>
      <c r="AO326" s="27">
        <f t="shared" si="82"/>
        <v>0.54116418060264715</v>
      </c>
      <c r="AP326" s="27">
        <f t="shared" si="82"/>
        <v>0.54752061851039679</v>
      </c>
      <c r="AQ326" s="27">
        <f t="shared" si="82"/>
        <v>0.55412103591201056</v>
      </c>
      <c r="AR326" s="27">
        <f t="shared" si="82"/>
        <v>0.56100316732391087</v>
      </c>
      <c r="AS326" s="27">
        <f t="shared" si="82"/>
        <v>0.56866636942385063</v>
      </c>
      <c r="AT326" s="27">
        <f t="shared" si="82"/>
        <v>0.57390752295656533</v>
      </c>
      <c r="AU326" s="27">
        <f t="shared" si="82"/>
        <v>0.57902813673368103</v>
      </c>
      <c r="AV326" s="27">
        <f t="shared" si="82"/>
        <v>0.58429385018566193</v>
      </c>
      <c r="AW326" s="27">
        <f t="shared" si="82"/>
        <v>0.5895922674079066</v>
      </c>
      <c r="AY326" s="79"/>
    </row>
    <row r="327" spans="1:51" x14ac:dyDescent="0.2">
      <c r="A327" s="95" t="str">
        <f t="shared" si="71"/>
        <v>GS Cattle MMCH4</v>
      </c>
      <c r="B327" s="95" t="s">
        <v>1021</v>
      </c>
      <c r="C327" s="95" t="s">
        <v>1229</v>
      </c>
      <c r="D327" t="s">
        <v>15</v>
      </c>
      <c r="E327" t="s">
        <v>22</v>
      </c>
      <c r="F327" t="s">
        <v>67</v>
      </c>
      <c r="G327" t="s">
        <v>122</v>
      </c>
      <c r="H327" t="s">
        <v>1227</v>
      </c>
      <c r="I327" t="s">
        <v>121</v>
      </c>
      <c r="J327" t="s">
        <v>286</v>
      </c>
      <c r="K327" s="27">
        <f t="shared" si="83"/>
        <v>9.4871637196006553E-2</v>
      </c>
      <c r="L327" s="27">
        <f t="shared" si="82"/>
        <v>9.4048845784615531E-2</v>
      </c>
      <c r="M327" s="27">
        <f t="shared" si="82"/>
        <v>9.3735634002294246E-2</v>
      </c>
      <c r="N327" s="27">
        <f t="shared" si="82"/>
        <v>9.2483917307495084E-2</v>
      </c>
      <c r="O327" s="27">
        <f t="shared" si="82"/>
        <v>9.0667019955957398E-2</v>
      </c>
      <c r="P327" s="27">
        <f t="shared" si="82"/>
        <v>8.8322512540543865E-2</v>
      </c>
      <c r="Q327" s="27">
        <f t="shared" si="82"/>
        <v>8.6473330972337892E-2</v>
      </c>
      <c r="R327" s="27">
        <f t="shared" si="82"/>
        <v>8.4723794986300283E-2</v>
      </c>
      <c r="S327" s="27">
        <f t="shared" si="82"/>
        <v>7.5194221843696937E-2</v>
      </c>
      <c r="T327" s="27">
        <f t="shared" si="82"/>
        <v>7.6632536915557561E-2</v>
      </c>
      <c r="U327" s="27">
        <f t="shared" si="82"/>
        <v>7.7401549005272907E-2</v>
      </c>
      <c r="V327" s="27">
        <f t="shared" si="82"/>
        <v>7.7993527400119084E-2</v>
      </c>
      <c r="W327" s="27">
        <f t="shared" si="82"/>
        <v>7.8850028173398812E-2</v>
      </c>
      <c r="X327" s="27">
        <f t="shared" si="82"/>
        <v>7.9545124288710786E-2</v>
      </c>
      <c r="Y327" s="27">
        <f t="shared" si="82"/>
        <v>7.9993221888415164E-2</v>
      </c>
      <c r="Z327" s="27">
        <f t="shared" si="82"/>
        <v>8.0342032341122221E-2</v>
      </c>
      <c r="AA327" s="27">
        <f t="shared" si="82"/>
        <v>8.0558218611879576E-2</v>
      </c>
      <c r="AB327" s="27">
        <f t="shared" si="82"/>
        <v>8.1198214942881639E-2</v>
      </c>
      <c r="AC327" s="27">
        <f t="shared" si="82"/>
        <v>8.1774057106542911E-2</v>
      </c>
      <c r="AD327" s="27">
        <f t="shared" si="82"/>
        <v>8.1803756887802739E-2</v>
      </c>
      <c r="AE327" s="27">
        <f t="shared" si="82"/>
        <v>8.2189518118440233E-2</v>
      </c>
      <c r="AF327" s="27">
        <f t="shared" si="82"/>
        <v>8.2699636683975147E-2</v>
      </c>
      <c r="AG327" s="27">
        <f t="shared" si="82"/>
        <v>8.3556074547621109E-2</v>
      </c>
      <c r="AH327" s="27">
        <f t="shared" si="82"/>
        <v>8.3692861347297365E-2</v>
      </c>
      <c r="AI327" s="27">
        <f t="shared" si="82"/>
        <v>8.3678502694708126E-2</v>
      </c>
      <c r="AJ327" s="27">
        <f t="shared" si="82"/>
        <v>8.380415826329729E-2</v>
      </c>
      <c r="AK327" s="27">
        <f t="shared" si="82"/>
        <v>8.3780965761712248E-2</v>
      </c>
      <c r="AL327" s="27">
        <f t="shared" si="82"/>
        <v>8.3798710851856847E-2</v>
      </c>
      <c r="AM327" s="27">
        <f t="shared" si="82"/>
        <v>8.3758438816059183E-2</v>
      </c>
      <c r="AN327" s="27">
        <f t="shared" si="82"/>
        <v>8.4359602001058728E-2</v>
      </c>
      <c r="AO327" s="27">
        <f t="shared" si="82"/>
        <v>8.4799386999346651E-2</v>
      </c>
      <c r="AP327" s="27">
        <f t="shared" si="82"/>
        <v>8.5213797519739967E-2</v>
      </c>
      <c r="AQ327" s="27">
        <f t="shared" si="82"/>
        <v>8.5634541045958551E-2</v>
      </c>
      <c r="AR327" s="27">
        <f t="shared" si="82"/>
        <v>8.6070741793779534E-2</v>
      </c>
      <c r="AS327" s="27">
        <f t="shared" si="82"/>
        <v>8.6754318409979284E-2</v>
      </c>
      <c r="AT327" s="27">
        <f t="shared" si="82"/>
        <v>8.6561782662480824E-2</v>
      </c>
      <c r="AU327" s="27">
        <f t="shared" si="82"/>
        <v>8.6273112387571071E-2</v>
      </c>
      <c r="AV327" s="27">
        <f t="shared" si="82"/>
        <v>8.5974128279328724E-2</v>
      </c>
      <c r="AW327" s="27">
        <f t="shared" si="82"/>
        <v>8.5629055859458861E-2</v>
      </c>
      <c r="AY327" s="79"/>
    </row>
    <row r="328" spans="1:51" x14ac:dyDescent="0.2">
      <c r="A328" s="95" t="str">
        <f t="shared" si="71"/>
        <v>GS Cattle MMCH4</v>
      </c>
      <c r="B328" s="95" t="s">
        <v>1021</v>
      </c>
      <c r="C328" s="95" t="s">
        <v>1229</v>
      </c>
      <c r="D328" t="s">
        <v>15</v>
      </c>
      <c r="E328" t="s">
        <v>22</v>
      </c>
      <c r="F328" t="s">
        <v>67</v>
      </c>
      <c r="G328" t="s">
        <v>123</v>
      </c>
      <c r="H328" t="s">
        <v>1227</v>
      </c>
      <c r="I328" t="s">
        <v>121</v>
      </c>
      <c r="J328" t="s">
        <v>286</v>
      </c>
      <c r="K328" s="27">
        <f t="shared" si="83"/>
        <v>6.9689449734106304E-2</v>
      </c>
      <c r="L328" s="27">
        <f t="shared" si="82"/>
        <v>6.908505539244103E-2</v>
      </c>
      <c r="M328" s="27">
        <f t="shared" si="82"/>
        <v>6.8854980763127793E-2</v>
      </c>
      <c r="N328" s="27">
        <f t="shared" si="82"/>
        <v>6.7935512624264269E-2</v>
      </c>
      <c r="O328" s="27">
        <f t="shared" si="82"/>
        <v>6.6600882165738284E-2</v>
      </c>
      <c r="P328" s="27">
        <f t="shared" si="82"/>
        <v>6.4878687456057696E-2</v>
      </c>
      <c r="Q328" s="27">
        <f t="shared" si="82"/>
        <v>6.3520342119606069E-2</v>
      </c>
      <c r="R328" s="27">
        <f t="shared" si="82"/>
        <v>6.2235193009075998E-2</v>
      </c>
      <c r="S328" s="27">
        <f t="shared" si="82"/>
        <v>5.5235095528552075E-2</v>
      </c>
      <c r="T328" s="27">
        <f t="shared" si="82"/>
        <v>5.629163243320303E-2</v>
      </c>
      <c r="U328" s="27">
        <f t="shared" si="82"/>
        <v>5.6856522330279623E-2</v>
      </c>
      <c r="V328" s="27">
        <f t="shared" si="82"/>
        <v>5.7291369348952612E-2</v>
      </c>
      <c r="W328" s="27">
        <f t="shared" si="82"/>
        <v>5.7920525431327162E-2</v>
      </c>
      <c r="X328" s="27">
        <f t="shared" si="82"/>
        <v>5.8431119189589487E-2</v>
      </c>
      <c r="Y328" s="27">
        <f t="shared" si="82"/>
        <v>5.8760276312556113E-2</v>
      </c>
      <c r="Z328" s="27">
        <f t="shared" si="82"/>
        <v>5.9016500503780274E-2</v>
      </c>
      <c r="AA328" s="27">
        <f t="shared" si="82"/>
        <v>5.9175303521145986E-2</v>
      </c>
      <c r="AB328" s="27">
        <f t="shared" si="82"/>
        <v>5.9645422868272187E-2</v>
      </c>
      <c r="AC328" s="27">
        <f t="shared" si="82"/>
        <v>6.0068416765134525E-2</v>
      </c>
      <c r="AD328" s="27">
        <f t="shared" si="82"/>
        <v>6.0090233205478502E-2</v>
      </c>
      <c r="AE328" s="27">
        <f t="shared" si="82"/>
        <v>6.0373600170426478E-2</v>
      </c>
      <c r="AF328" s="27">
        <f t="shared" si="82"/>
        <v>6.0748315767015518E-2</v>
      </c>
      <c r="AG328" s="27">
        <f t="shared" si="82"/>
        <v>6.1377425638131498E-2</v>
      </c>
      <c r="AH328" s="27">
        <f t="shared" si="82"/>
        <v>6.1477904528156692E-2</v>
      </c>
      <c r="AI328" s="27">
        <f t="shared" si="82"/>
        <v>6.1467357154595496E-2</v>
      </c>
      <c r="AJ328" s="27">
        <f t="shared" si="82"/>
        <v>6.1559659424165428E-2</v>
      </c>
      <c r="AK328" s="27">
        <f t="shared" si="82"/>
        <v>6.1542623008212359E-2</v>
      </c>
      <c r="AL328" s="27">
        <f t="shared" si="82"/>
        <v>6.155565794261645E-2</v>
      </c>
      <c r="AM328" s="27">
        <f t="shared" si="82"/>
        <v>6.1526075486812389E-2</v>
      </c>
      <c r="AN328" s="27">
        <f t="shared" si="82"/>
        <v>6.1967669337211172E-2</v>
      </c>
      <c r="AO328" s="27">
        <f t="shared" si="82"/>
        <v>6.2290720308374216E-2</v>
      </c>
      <c r="AP328" s="27">
        <f t="shared" si="82"/>
        <v>6.2595132058648639E-2</v>
      </c>
      <c r="AQ328" s="27">
        <f t="shared" si="82"/>
        <v>6.2904195817723246E-2</v>
      </c>
      <c r="AR328" s="27">
        <f t="shared" si="82"/>
        <v>6.3224613921465334E-2</v>
      </c>
      <c r="AS328" s="27">
        <f t="shared" si="82"/>
        <v>6.3726745850902156E-2</v>
      </c>
      <c r="AT328" s="27">
        <f t="shared" si="82"/>
        <v>6.3585315696496877E-2</v>
      </c>
      <c r="AU328" s="27">
        <f t="shared" si="82"/>
        <v>6.3373268416533846E-2</v>
      </c>
      <c r="AV328" s="27">
        <f t="shared" si="82"/>
        <v>6.3153644948461887E-2</v>
      </c>
      <c r="AW328" s="27">
        <f t="shared" si="82"/>
        <v>6.2900166587911782E-2</v>
      </c>
      <c r="AY328" s="79"/>
    </row>
    <row r="329" spans="1:51" x14ac:dyDescent="0.2">
      <c r="A329" s="95" t="str">
        <f t="shared" si="71"/>
        <v>GS Cattle MMCH4</v>
      </c>
      <c r="B329" s="95" t="s">
        <v>1021</v>
      </c>
      <c r="C329" s="95" t="s">
        <v>1229</v>
      </c>
      <c r="D329" t="s">
        <v>15</v>
      </c>
      <c r="E329" t="s">
        <v>22</v>
      </c>
      <c r="F329" t="s">
        <v>67</v>
      </c>
      <c r="G329" t="s">
        <v>135</v>
      </c>
      <c r="H329" t="s">
        <v>1227</v>
      </c>
      <c r="I329" t="s">
        <v>121</v>
      </c>
      <c r="J329" t="s">
        <v>286</v>
      </c>
      <c r="K329" s="27">
        <f t="shared" si="83"/>
        <v>0.47107022937833831</v>
      </c>
      <c r="L329" s="27">
        <f t="shared" si="82"/>
        <v>0.48695387967725956</v>
      </c>
      <c r="M329" s="27">
        <f t="shared" si="82"/>
        <v>0.50580611066616787</v>
      </c>
      <c r="N329" s="27">
        <f t="shared" si="82"/>
        <v>0.51986569055899412</v>
      </c>
      <c r="O329" s="27">
        <f t="shared" si="82"/>
        <v>0.53070826286138573</v>
      </c>
      <c r="P329" s="27">
        <f t="shared" si="82"/>
        <v>0.53817886796858128</v>
      </c>
      <c r="Q329" s="27">
        <f t="shared" si="82"/>
        <v>0.54837935702304741</v>
      </c>
      <c r="R329" s="27">
        <f t="shared" si="82"/>
        <v>0.55907244781022658</v>
      </c>
      <c r="S329" s="27">
        <f t="shared" si="82"/>
        <v>0.51624279949509155</v>
      </c>
      <c r="T329" s="27">
        <f t="shared" si="82"/>
        <v>0.53879307932677856</v>
      </c>
      <c r="U329" s="27">
        <f t="shared" si="82"/>
        <v>0.55713109899852753</v>
      </c>
      <c r="V329" s="27">
        <f t="shared" si="82"/>
        <v>0.57456229359809852</v>
      </c>
      <c r="W329" s="27">
        <f t="shared" si="82"/>
        <v>0.59433872658918863</v>
      </c>
      <c r="X329" s="27">
        <f t="shared" si="82"/>
        <v>0.61332693480888556</v>
      </c>
      <c r="Y329" s="27">
        <f t="shared" si="82"/>
        <v>0.63078242094770143</v>
      </c>
      <c r="Z329" s="27">
        <f t="shared" si="82"/>
        <v>0.64777903840881934</v>
      </c>
      <c r="AA329" s="27">
        <f t="shared" si="82"/>
        <v>0.66400113500174907</v>
      </c>
      <c r="AB329" s="27">
        <f t="shared" si="82"/>
        <v>0.68407603128870909</v>
      </c>
      <c r="AC329" s="27">
        <f t="shared" si="82"/>
        <v>0.70404867201485544</v>
      </c>
      <c r="AD329" s="27">
        <f t="shared" si="82"/>
        <v>0.72766101903000513</v>
      </c>
      <c r="AE329" s="27">
        <f t="shared" si="82"/>
        <v>0.75538392864169213</v>
      </c>
      <c r="AF329" s="27">
        <f t="shared" si="82"/>
        <v>0.78539118200338776</v>
      </c>
      <c r="AG329" s="27">
        <f t="shared" si="82"/>
        <v>0.8200419216488164</v>
      </c>
      <c r="AH329" s="27">
        <f t="shared" si="82"/>
        <v>0.8489366901406914</v>
      </c>
      <c r="AI329" s="27">
        <f t="shared" si="82"/>
        <v>0.87738791798686844</v>
      </c>
      <c r="AJ329" s="27">
        <f t="shared" si="82"/>
        <v>0.90845821020325546</v>
      </c>
      <c r="AK329" s="27">
        <f t="shared" si="82"/>
        <v>0.93913064377113187</v>
      </c>
      <c r="AL329" s="27">
        <f t="shared" si="82"/>
        <v>0.97151128715932467</v>
      </c>
      <c r="AM329" s="27">
        <f t="shared" si="82"/>
        <v>1.0045387395175103</v>
      </c>
      <c r="AN329" s="27">
        <f t="shared" si="82"/>
        <v>1.0402953867873999</v>
      </c>
      <c r="AO329" s="27">
        <f t="shared" si="82"/>
        <v>1.0753258690752492</v>
      </c>
      <c r="AP329" s="27">
        <f t="shared" si="82"/>
        <v>1.1112943424505797</v>
      </c>
      <c r="AQ329" s="27">
        <f t="shared" si="82"/>
        <v>1.1486611306142331</v>
      </c>
      <c r="AR329" s="27">
        <f t="shared" si="82"/>
        <v>1.1876258937828315</v>
      </c>
      <c r="AS329" s="27">
        <f t="shared" si="82"/>
        <v>1.2315704356820807</v>
      </c>
      <c r="AT329" s="27">
        <f t="shared" si="82"/>
        <v>1.2644650423303223</v>
      </c>
      <c r="AU329" s="27">
        <f t="shared" si="82"/>
        <v>1.2970080883934705</v>
      </c>
      <c r="AV329" s="27">
        <f t="shared" si="82"/>
        <v>1.3304588860507658</v>
      </c>
      <c r="AW329" s="27">
        <f t="shared" si="82"/>
        <v>1.3642912097880298</v>
      </c>
      <c r="AY329" s="79"/>
    </row>
    <row r="330" spans="1:51" x14ac:dyDescent="0.2">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3.6781380176720842E-2</v>
      </c>
      <c r="T330" s="27">
        <f t="shared" si="82"/>
        <v>3.6837395233082854E-2</v>
      </c>
      <c r="U330" s="27">
        <f t="shared" si="82"/>
        <v>3.6900705652170011E-2</v>
      </c>
      <c r="V330" s="27">
        <f t="shared" si="82"/>
        <v>3.6972125402225033E-2</v>
      </c>
      <c r="W330" s="27">
        <f t="shared" si="82"/>
        <v>3.7052467371172147E-2</v>
      </c>
      <c r="X330" s="27">
        <f t="shared" si="82"/>
        <v>3.7140056258746688E-2</v>
      </c>
      <c r="Y330" s="27">
        <f t="shared" si="82"/>
        <v>3.7193327101982677E-2</v>
      </c>
      <c r="Z330" s="27">
        <f t="shared" si="82"/>
        <v>3.725282757032642E-2</v>
      </c>
      <c r="AA330" s="27">
        <f t="shared" si="82"/>
        <v>3.7318121191736012E-2</v>
      </c>
      <c r="AB330" s="27">
        <f t="shared" si="82"/>
        <v>3.7390686259807883E-2</v>
      </c>
      <c r="AC330" s="27">
        <f t="shared" si="82"/>
        <v>3.7468739847843706E-2</v>
      </c>
      <c r="AD330" s="27">
        <f t="shared" si="82"/>
        <v>3.751974247344389E-2</v>
      </c>
      <c r="AE330" s="27">
        <f t="shared" si="82"/>
        <v>3.7576993148623769E-2</v>
      </c>
      <c r="AF330" s="27">
        <f t="shared" si="82"/>
        <v>3.7639577283476555E-2</v>
      </c>
      <c r="AG330" s="27">
        <f t="shared" si="82"/>
        <v>3.7708144828082185E-2</v>
      </c>
      <c r="AH330" s="27">
        <f t="shared" si="82"/>
        <v>3.7778741786852331E-2</v>
      </c>
      <c r="AI330" s="27">
        <f t="shared" si="82"/>
        <v>3.7822008909384815E-2</v>
      </c>
      <c r="AJ330" s="27">
        <f t="shared" si="82"/>
        <v>3.7869806060801224E-2</v>
      </c>
      <c r="AK330" s="27">
        <f t="shared" si="82"/>
        <v>3.7920914851450743E-2</v>
      </c>
      <c r="AL330" s="27">
        <f t="shared" si="82"/>
        <v>3.7975943332366417E-2</v>
      </c>
      <c r="AM330" s="27">
        <f t="shared" si="82"/>
        <v>3.8034394238678673E-2</v>
      </c>
      <c r="AN330" s="27">
        <f t="shared" si="82"/>
        <v>3.8068290997096535E-2</v>
      </c>
      <c r="AO330" s="27">
        <f t="shared" si="82"/>
        <v>3.8104751343434065E-2</v>
      </c>
      <c r="AP330" s="27">
        <f t="shared" si="82"/>
        <v>3.8144241244256513E-2</v>
      </c>
      <c r="AQ330" s="27">
        <f t="shared" si="82"/>
        <v>3.8186815214812375E-2</v>
      </c>
      <c r="AR330" s="27">
        <f t="shared" si="82"/>
        <v>3.8232443493664919E-2</v>
      </c>
      <c r="AS330" s="27">
        <f t="shared" si="82"/>
        <v>3.825284618540576E-2</v>
      </c>
      <c r="AT330" s="27">
        <f t="shared" si="82"/>
        <v>3.8271836221950122E-2</v>
      </c>
      <c r="AU330" s="27">
        <f t="shared" si="82"/>
        <v>3.8292888607538426E-2</v>
      </c>
      <c r="AV330" s="27">
        <f t="shared" si="82"/>
        <v>3.8316340791445545E-2</v>
      </c>
      <c r="AW330" s="27">
        <f t="shared" si="82"/>
        <v>3.8341951349881082E-2</v>
      </c>
      <c r="AY330" s="79"/>
    </row>
    <row r="331" spans="1:51" x14ac:dyDescent="0.2">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4.2006089356439562E-3</v>
      </c>
      <c r="T331" s="27">
        <f t="shared" si="84"/>
        <v>4.2070061220778072E-3</v>
      </c>
      <c r="U331" s="27">
        <f t="shared" si="84"/>
        <v>4.2142364737084185E-3</v>
      </c>
      <c r="V331" s="27">
        <f t="shared" si="84"/>
        <v>4.2223929495889085E-3</v>
      </c>
      <c r="W331" s="27">
        <f t="shared" si="84"/>
        <v>4.2315683853948781E-3</v>
      </c>
      <c r="X331" s="27">
        <f t="shared" si="84"/>
        <v>4.2415714538507386E-3</v>
      </c>
      <c r="Y331" s="27">
        <f t="shared" si="84"/>
        <v>4.2476552380652311E-3</v>
      </c>
      <c r="Z331" s="27">
        <f t="shared" si="84"/>
        <v>4.2544504751607076E-3</v>
      </c>
      <c r="AA331" s="27">
        <f t="shared" si="84"/>
        <v>4.261907317949531E-3</v>
      </c>
      <c r="AB331" s="27">
        <f t="shared" si="84"/>
        <v>4.2701945946067351E-3</v>
      </c>
      <c r="AC331" s="27">
        <f t="shared" si="84"/>
        <v>4.2791086864050034E-3</v>
      </c>
      <c r="AD331" s="27">
        <f t="shared" si="84"/>
        <v>4.284933429353965E-3</v>
      </c>
      <c r="AE331" s="27">
        <f t="shared" si="84"/>
        <v>4.2914717293464286E-3</v>
      </c>
      <c r="AF331" s="27">
        <f t="shared" si="84"/>
        <v>4.2986191358556219E-3</v>
      </c>
      <c r="AG331" s="27">
        <f t="shared" si="84"/>
        <v>4.3064498762786759E-3</v>
      </c>
      <c r="AH331" s="27">
        <f t="shared" si="84"/>
        <v>4.3145123854725761E-3</v>
      </c>
      <c r="AI331" s="27">
        <f t="shared" si="84"/>
        <v>4.3194536970997174E-3</v>
      </c>
      <c r="AJ331" s="27">
        <f t="shared" si="84"/>
        <v>4.3249123596179112E-3</v>
      </c>
      <c r="AK331" s="27">
        <f t="shared" si="84"/>
        <v>4.3307492271215465E-3</v>
      </c>
      <c r="AL331" s="27">
        <f t="shared" si="84"/>
        <v>4.3370337419368866E-3</v>
      </c>
      <c r="AM331" s="27">
        <f t="shared" si="84"/>
        <v>4.3437091140456031E-3</v>
      </c>
      <c r="AN331" s="27">
        <f t="shared" si="84"/>
        <v>4.3475802854267562E-3</v>
      </c>
      <c r="AO331" s="27">
        <f t="shared" si="84"/>
        <v>4.3517442307677472E-3</v>
      </c>
      <c r="AP331" s="27">
        <f t="shared" si="84"/>
        <v>4.3562541656713728E-3</v>
      </c>
      <c r="AQ331" s="27">
        <f t="shared" si="84"/>
        <v>4.3611163160388556E-3</v>
      </c>
      <c r="AR331" s="27">
        <f t="shared" si="84"/>
        <v>4.3663272829722651E-3</v>
      </c>
      <c r="AS331" s="27">
        <f t="shared" si="84"/>
        <v>4.3686573676190608E-3</v>
      </c>
      <c r="AT331" s="27">
        <f t="shared" si="84"/>
        <v>4.3708261203089602E-3</v>
      </c>
      <c r="AU331" s="27">
        <f t="shared" si="84"/>
        <v>4.3732304030899213E-3</v>
      </c>
      <c r="AV331" s="27">
        <f t="shared" si="84"/>
        <v>4.3759087542775948E-3</v>
      </c>
      <c r="AW331" s="27">
        <f t="shared" si="84"/>
        <v>4.3788336021243655E-3</v>
      </c>
      <c r="AY331" s="79"/>
    </row>
    <row r="332" spans="1:51" x14ac:dyDescent="0.2">
      <c r="A332" s="95" t="str">
        <f t="shared" si="71"/>
        <v>GS Goats MMCH4</v>
      </c>
      <c r="B332" s="95" t="s">
        <v>1021</v>
      </c>
      <c r="C332" s="95" t="s">
        <v>1325</v>
      </c>
      <c r="D332" t="s">
        <v>15</v>
      </c>
      <c r="E332" t="s">
        <v>22</v>
      </c>
      <c r="F332" t="s">
        <v>19</v>
      </c>
      <c r="G332" t="s">
        <v>122</v>
      </c>
      <c r="H332" t="s">
        <v>1227</v>
      </c>
      <c r="I332" t="s">
        <v>121</v>
      </c>
      <c r="J332" t="s">
        <v>286</v>
      </c>
      <c r="K332" s="27">
        <f t="shared" si="83"/>
        <v>1.5789672763163298E-2</v>
      </c>
      <c r="L332" s="27">
        <f t="shared" si="84"/>
        <v>1.5830718290757027E-2</v>
      </c>
      <c r="M332" s="27">
        <f t="shared" si="84"/>
        <v>1.588733914557475E-2</v>
      </c>
      <c r="N332" s="27">
        <f t="shared" si="84"/>
        <v>1.5956318300360574E-2</v>
      </c>
      <c r="O332" s="27">
        <f t="shared" si="84"/>
        <v>1.6037557372574476E-2</v>
      </c>
      <c r="P332" s="27">
        <f t="shared" si="84"/>
        <v>1.6130561898613765E-2</v>
      </c>
      <c r="Q332" s="27">
        <f t="shared" si="84"/>
        <v>1.623065478441902E-2</v>
      </c>
      <c r="R332" s="27">
        <f t="shared" si="84"/>
        <v>1.6337439810579345E-2</v>
      </c>
      <c r="S332" s="27">
        <f t="shared" si="84"/>
        <v>1.643554333202487E-2</v>
      </c>
      <c r="T332" s="27">
        <f t="shared" si="84"/>
        <v>1.6483301762184554E-2</v>
      </c>
      <c r="U332" s="27">
        <f t="shared" si="84"/>
        <v>1.6534634024242746E-2</v>
      </c>
      <c r="V332" s="27">
        <f t="shared" si="84"/>
        <v>1.6590167866284391E-2</v>
      </c>
      <c r="W332" s="27">
        <f t="shared" si="84"/>
        <v>1.6650513034667372E-2</v>
      </c>
      <c r="X332" s="27">
        <f t="shared" si="84"/>
        <v>1.6714595783630822E-2</v>
      </c>
      <c r="Y332" s="27">
        <f t="shared" si="84"/>
        <v>1.675465761621437E-2</v>
      </c>
      <c r="Z332" s="27">
        <f t="shared" si="84"/>
        <v>1.6797993910304499E-2</v>
      </c>
      <c r="AA332" s="27">
        <f t="shared" si="84"/>
        <v>1.6844349786289844E-2</v>
      </c>
      <c r="AB332" s="27">
        <f t="shared" si="84"/>
        <v>1.6894740217603017E-2</v>
      </c>
      <c r="AC332" s="27">
        <f t="shared" si="84"/>
        <v>1.6948004409300596E-2</v>
      </c>
      <c r="AD332" s="27">
        <f t="shared" si="84"/>
        <v>1.6982631842965532E-2</v>
      </c>
      <c r="AE332" s="27">
        <f t="shared" si="84"/>
        <v>1.7020769407942386E-2</v>
      </c>
      <c r="AF332" s="27">
        <f t="shared" si="84"/>
        <v>1.706182735565186E-2</v>
      </c>
      <c r="AG332" s="27">
        <f t="shared" si="84"/>
        <v>1.7106247534338585E-2</v>
      </c>
      <c r="AH332" s="27">
        <f t="shared" si="84"/>
        <v>1.7151443283113514E-2</v>
      </c>
      <c r="AI332" s="27">
        <f t="shared" si="84"/>
        <v>1.7178196369350997E-2</v>
      </c>
      <c r="AJ332" s="27">
        <f t="shared" si="84"/>
        <v>1.7207475551738096E-2</v>
      </c>
      <c r="AK332" s="27">
        <f t="shared" si="84"/>
        <v>1.7238492794342867E-2</v>
      </c>
      <c r="AL332" s="27">
        <f t="shared" si="84"/>
        <v>1.7271654863993541E-2</v>
      </c>
      <c r="AM332" s="27">
        <f t="shared" si="84"/>
        <v>1.7306645282033659E-2</v>
      </c>
      <c r="AN332" s="27">
        <f t="shared" si="84"/>
        <v>1.7325303131063272E-2</v>
      </c>
      <c r="AO332" s="27">
        <f t="shared" si="84"/>
        <v>1.7345310027733502E-2</v>
      </c>
      <c r="AP332" s="27">
        <f t="shared" si="84"/>
        <v>1.73669746106416E-2</v>
      </c>
      <c r="AQ332" s="27">
        <f t="shared" si="84"/>
        <v>1.7390336782594662E-2</v>
      </c>
      <c r="AR332" s="27">
        <f t="shared" si="84"/>
        <v>1.7415381119938025E-2</v>
      </c>
      <c r="AS332" s="27">
        <f t="shared" si="84"/>
        <v>1.7423900612777786E-2</v>
      </c>
      <c r="AT332" s="27">
        <f t="shared" si="84"/>
        <v>1.7431295916305947E-2</v>
      </c>
      <c r="AU332" s="27">
        <f t="shared" si="84"/>
        <v>1.7439812218621446E-2</v>
      </c>
      <c r="AV332" s="27">
        <f t="shared" si="84"/>
        <v>1.7449669082955088E-2</v>
      </c>
      <c r="AW332" s="27">
        <f t="shared" si="84"/>
        <v>1.7460713883303017E-2</v>
      </c>
      <c r="AY332" s="79"/>
    </row>
    <row r="333" spans="1:51" x14ac:dyDescent="0.2">
      <c r="A333" s="95" t="str">
        <f t="shared" si="71"/>
        <v>GS Goats MMCH4</v>
      </c>
      <c r="B333" s="95" t="s">
        <v>1021</v>
      </c>
      <c r="C333" s="95" t="s">
        <v>1325</v>
      </c>
      <c r="D333" t="s">
        <v>15</v>
      </c>
      <c r="E333" t="s">
        <v>22</v>
      </c>
      <c r="F333" t="s">
        <v>19</v>
      </c>
      <c r="G333" t="s">
        <v>123</v>
      </c>
      <c r="H333" t="s">
        <v>1227</v>
      </c>
      <c r="I333" t="s">
        <v>121</v>
      </c>
      <c r="J333" t="s">
        <v>286</v>
      </c>
      <c r="K333" s="27">
        <f t="shared" si="83"/>
        <v>2.6592218800664796E-2</v>
      </c>
      <c r="L333" s="27">
        <f t="shared" si="84"/>
        <v>2.6661345733624896E-2</v>
      </c>
      <c r="M333" s="27">
        <f t="shared" si="84"/>
        <v>2.6756703894783639E-2</v>
      </c>
      <c r="N333" s="27">
        <f t="shared" si="84"/>
        <v>2.6872875319249701E-2</v>
      </c>
      <c r="O333" s="27">
        <f t="shared" si="84"/>
        <v>2.7009694315810229E-2</v>
      </c>
      <c r="P333" s="27">
        <f t="shared" si="84"/>
        <v>2.7166328132291764E-2</v>
      </c>
      <c r="Q333" s="27">
        <f t="shared" si="84"/>
        <v>2.7334899828466049E-2</v>
      </c>
      <c r="R333" s="27">
        <f t="shared" si="84"/>
        <v>2.7514742110372921E-2</v>
      </c>
      <c r="S333" s="27">
        <f t="shared" si="84"/>
        <v>2.7679963413342622E-2</v>
      </c>
      <c r="T333" s="27">
        <f t="shared" si="84"/>
        <v>2.7760395898767241E-2</v>
      </c>
      <c r="U333" s="27">
        <f t="shared" si="84"/>
        <v>2.7846847262557959E-2</v>
      </c>
      <c r="V333" s="27">
        <f t="shared" si="84"/>
        <v>2.7940374728298613E-2</v>
      </c>
      <c r="W333" s="27">
        <f t="shared" si="84"/>
        <v>2.8042005201917224E-2</v>
      </c>
      <c r="X333" s="27">
        <f t="shared" si="84"/>
        <v>2.8149930331674167E-2</v>
      </c>
      <c r="Y333" s="27">
        <f t="shared" si="84"/>
        <v>2.8217400572102636E-2</v>
      </c>
      <c r="Z333" s="27">
        <f t="shared" si="84"/>
        <v>2.8290385505466368E-2</v>
      </c>
      <c r="AA333" s="27">
        <f t="shared" si="84"/>
        <v>2.8368455875599344E-2</v>
      </c>
      <c r="AB333" s="27">
        <f t="shared" si="84"/>
        <v>2.8453321052670396E-2</v>
      </c>
      <c r="AC333" s="27">
        <f t="shared" si="84"/>
        <v>2.8543026080830765E-2</v>
      </c>
      <c r="AD333" s="27">
        <f t="shared" si="84"/>
        <v>2.8601343964065915E-2</v>
      </c>
      <c r="AE333" s="27">
        <f t="shared" si="84"/>
        <v>2.8665573444157176E-2</v>
      </c>
      <c r="AF333" s="27">
        <f t="shared" si="84"/>
        <v>2.87347212944878E-2</v>
      </c>
      <c r="AG333" s="27">
        <f t="shared" si="84"/>
        <v>2.8809531654937933E-2</v>
      </c>
      <c r="AH333" s="27">
        <f t="shared" si="84"/>
        <v>2.8885648193786462E-2</v>
      </c>
      <c r="AI333" s="27">
        <f t="shared" si="84"/>
        <v>2.8930704474147112E-2</v>
      </c>
      <c r="AJ333" s="27">
        <f t="shared" si="84"/>
        <v>2.8980015085964157E-2</v>
      </c>
      <c r="AK333" s="27">
        <f t="shared" si="84"/>
        <v>2.9032252856455738E-2</v>
      </c>
      <c r="AL333" s="27">
        <f t="shared" si="84"/>
        <v>2.9088102843042599E-2</v>
      </c>
      <c r="AM333" s="27">
        <f t="shared" si="84"/>
        <v>2.914703204736533E-2</v>
      </c>
      <c r="AN333" s="27">
        <f t="shared" si="84"/>
        <v>2.9178454712748408E-2</v>
      </c>
      <c r="AO333" s="27">
        <f t="shared" si="84"/>
        <v>2.9212149380254012E-2</v>
      </c>
      <c r="AP333" s="27">
        <f t="shared" si="84"/>
        <v>2.9248635844385265E-2</v>
      </c>
      <c r="AQ333" s="27">
        <f t="shared" si="84"/>
        <v>2.9287981307559392E-2</v>
      </c>
      <c r="AR333" s="27">
        <f t="shared" si="84"/>
        <v>2.9330159793987943E-2</v>
      </c>
      <c r="AS333" s="27">
        <f t="shared" si="84"/>
        <v>2.9344507920200803E-2</v>
      </c>
      <c r="AT333" s="27">
        <f t="shared" si="84"/>
        <v>2.9356962740035762E-2</v>
      </c>
      <c r="AU333" s="27">
        <f t="shared" si="84"/>
        <v>2.9371305492918821E-2</v>
      </c>
      <c r="AV333" s="27">
        <f t="shared" si="84"/>
        <v>2.9387905956841046E-2</v>
      </c>
      <c r="AW333" s="27">
        <f t="shared" si="84"/>
        <v>2.9406507086317708E-2</v>
      </c>
      <c r="AY333" s="79"/>
    </row>
    <row r="334" spans="1:51" x14ac:dyDescent="0.2">
      <c r="A334" s="95" t="str">
        <f t="shared" si="71"/>
        <v>GS Horses MMCH4</v>
      </c>
      <c r="B334" s="95" t="s">
        <v>1021</v>
      </c>
      <c r="C334" s="95" t="s">
        <v>1326</v>
      </c>
      <c r="D334" t="s">
        <v>15</v>
      </c>
      <c r="E334" t="s">
        <v>22</v>
      </c>
      <c r="F334" t="s">
        <v>20</v>
      </c>
      <c r="G334" t="s">
        <v>3</v>
      </c>
      <c r="H334" t="s">
        <v>1227</v>
      </c>
      <c r="I334" t="s">
        <v>121</v>
      </c>
      <c r="J334" t="s">
        <v>286</v>
      </c>
      <c r="K334" s="27">
        <f t="shared" si="83"/>
        <v>4.1336182129460544E-3</v>
      </c>
      <c r="L334" s="27">
        <f t="shared" si="84"/>
        <v>4.1536453250924079E-3</v>
      </c>
      <c r="M334" s="27">
        <f t="shared" si="84"/>
        <v>4.1840370126470534E-3</v>
      </c>
      <c r="N334" s="27">
        <f t="shared" si="84"/>
        <v>4.1905340987284569E-3</v>
      </c>
      <c r="O334" s="27">
        <f t="shared" si="84"/>
        <v>4.1812329246154597E-3</v>
      </c>
      <c r="P334" s="27">
        <f t="shared" si="84"/>
        <v>4.1564738854214548E-3</v>
      </c>
      <c r="Q334" s="27">
        <f t="shared" si="84"/>
        <v>4.1427460620707141E-3</v>
      </c>
      <c r="R334" s="27">
        <f t="shared" si="84"/>
        <v>4.1304087921358321E-3</v>
      </c>
      <c r="S334" s="27">
        <f t="shared" si="84"/>
        <v>3.9117464794758833E-3</v>
      </c>
      <c r="T334" s="27">
        <f t="shared" si="84"/>
        <v>3.9662100660725645E-3</v>
      </c>
      <c r="U334" s="27">
        <f t="shared" si="84"/>
        <v>4.0029759542347092E-3</v>
      </c>
      <c r="V334" s="27">
        <f t="shared" si="84"/>
        <v>4.034929903088018E-3</v>
      </c>
      <c r="W334" s="27">
        <f t="shared" si="84"/>
        <v>4.0740603707179208E-3</v>
      </c>
      <c r="X334" s="27">
        <f t="shared" si="84"/>
        <v>4.1088191524981379E-3</v>
      </c>
      <c r="Y334" s="27">
        <f t="shared" si="84"/>
        <v>4.1408340108354943E-3</v>
      </c>
      <c r="Z334" s="27">
        <f t="shared" si="84"/>
        <v>4.1700941792835473E-3</v>
      </c>
      <c r="AA334" s="27">
        <f t="shared" si="84"/>
        <v>4.1955947055446379E-3</v>
      </c>
      <c r="AB334" s="27">
        <f t="shared" si="84"/>
        <v>4.2332253987930647E-3</v>
      </c>
      <c r="AC334" s="27">
        <f t="shared" si="84"/>
        <v>4.2692111275798939E-3</v>
      </c>
      <c r="AD334" s="27">
        <f t="shared" si="84"/>
        <v>4.3131543062035933E-3</v>
      </c>
      <c r="AE334" s="27">
        <f t="shared" si="84"/>
        <v>4.3689426306597803E-3</v>
      </c>
      <c r="AF334" s="27">
        <f t="shared" si="84"/>
        <v>4.4301694396255923E-3</v>
      </c>
      <c r="AG334" s="27">
        <f t="shared" si="84"/>
        <v>4.5040980436008553E-3</v>
      </c>
      <c r="AH334" s="27">
        <f t="shared" si="84"/>
        <v>4.5574968938879535E-3</v>
      </c>
      <c r="AI334" s="27">
        <f t="shared" si="84"/>
        <v>4.6111863100883922E-3</v>
      </c>
      <c r="AJ334" s="27">
        <f t="shared" si="84"/>
        <v>4.6712172844787037E-3</v>
      </c>
      <c r="AK334" s="27">
        <f t="shared" si="84"/>
        <v>4.7281971529271986E-3</v>
      </c>
      <c r="AL334" s="27">
        <f t="shared" si="84"/>
        <v>4.7885111366995289E-3</v>
      </c>
      <c r="AM334" s="27">
        <f t="shared" si="84"/>
        <v>4.8488762620845097E-3</v>
      </c>
      <c r="AN334" s="27">
        <f t="shared" si="84"/>
        <v>4.9227254913748455E-3</v>
      </c>
      <c r="AO334" s="27">
        <f t="shared" si="84"/>
        <v>4.9927458490609099E-3</v>
      </c>
      <c r="AP334" s="27">
        <f t="shared" si="84"/>
        <v>5.0638022559314124E-3</v>
      </c>
      <c r="AQ334" s="27">
        <f t="shared" si="84"/>
        <v>5.1371515240319849E-3</v>
      </c>
      <c r="AR334" s="27">
        <f t="shared" si="84"/>
        <v>5.2132674563810976E-3</v>
      </c>
      <c r="AS334" s="27">
        <f t="shared" si="84"/>
        <v>5.3054774767517902E-3</v>
      </c>
      <c r="AT334" s="27">
        <f t="shared" si="84"/>
        <v>5.3653290852350754E-3</v>
      </c>
      <c r="AU334" s="27">
        <f t="shared" si="84"/>
        <v>5.4229477307266892E-3</v>
      </c>
      <c r="AV334" s="27">
        <f t="shared" si="84"/>
        <v>5.4817978053370176E-3</v>
      </c>
      <c r="AW334" s="27">
        <f t="shared" si="84"/>
        <v>5.5404187134472614E-3</v>
      </c>
      <c r="AY334" s="79"/>
    </row>
    <row r="335" spans="1:51" x14ac:dyDescent="0.2">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2">
      <c r="A336" s="95" t="str">
        <f t="shared" si="71"/>
        <v>GS Swine MMCH4</v>
      </c>
      <c r="B336" s="95" t="s">
        <v>1021</v>
      </c>
      <c r="C336" s="95" t="s">
        <v>1230</v>
      </c>
      <c r="D336" t="s">
        <v>15</v>
      </c>
      <c r="E336" t="s">
        <v>22</v>
      </c>
      <c r="F336" t="s">
        <v>21</v>
      </c>
      <c r="G336" t="s">
        <v>122</v>
      </c>
      <c r="H336" t="s">
        <v>1227</v>
      </c>
      <c r="I336" t="s">
        <v>121</v>
      </c>
      <c r="J336" t="s">
        <v>286</v>
      </c>
      <c r="K336" s="27">
        <f t="shared" si="83"/>
        <v>23.279067868377396</v>
      </c>
      <c r="L336" s="27">
        <f t="shared" si="84"/>
        <v>23.152530650802607</v>
      </c>
      <c r="M336" s="27">
        <f t="shared" si="84"/>
        <v>23.162916433064311</v>
      </c>
      <c r="N336" s="27">
        <f t="shared" si="84"/>
        <v>22.950263110497293</v>
      </c>
      <c r="O336" s="27">
        <f t="shared" si="84"/>
        <v>22.602951186820608</v>
      </c>
      <c r="P336" s="27">
        <f t="shared" si="84"/>
        <v>22.126532811374954</v>
      </c>
      <c r="Q336" s="27">
        <f t="shared" si="84"/>
        <v>21.780600237355969</v>
      </c>
      <c r="R336" s="27">
        <f t="shared" si="84"/>
        <v>21.465278056857684</v>
      </c>
      <c r="S336" s="27">
        <f t="shared" si="84"/>
        <v>19.125432200749973</v>
      </c>
      <c r="T336" s="27">
        <f t="shared" si="84"/>
        <v>19.424042125834905</v>
      </c>
      <c r="U336" s="27">
        <f t="shared" si="84"/>
        <v>19.550864503199985</v>
      </c>
      <c r="V336" s="27">
        <f t="shared" si="84"/>
        <v>19.634386542439195</v>
      </c>
      <c r="W336" s="27">
        <f t="shared" si="84"/>
        <v>19.789042358153409</v>
      </c>
      <c r="X336" s="27">
        <f t="shared" si="84"/>
        <v>19.904231049540165</v>
      </c>
      <c r="Y336" s="27">
        <f t="shared" si="84"/>
        <v>19.9646517912891</v>
      </c>
      <c r="Z336" s="27">
        <f t="shared" si="84"/>
        <v>20.001671240877961</v>
      </c>
      <c r="AA336" s="27">
        <f t="shared" si="84"/>
        <v>20.006692976737387</v>
      </c>
      <c r="AB336" s="27">
        <f t="shared" si="84"/>
        <v>20.122871452289811</v>
      </c>
      <c r="AC336" s="27">
        <f t="shared" si="84"/>
        <v>20.224352633636123</v>
      </c>
      <c r="AD336" s="27">
        <f t="shared" si="84"/>
        <v>20.37036557025834</v>
      </c>
      <c r="AE336" s="27">
        <f t="shared" si="84"/>
        <v>20.617009015074299</v>
      </c>
      <c r="AF336" s="27">
        <f t="shared" si="84"/>
        <v>20.905842210058196</v>
      </c>
      <c r="AG336" s="27">
        <f t="shared" si="84"/>
        <v>21.296898968491135</v>
      </c>
      <c r="AH336" s="27">
        <f t="shared" si="84"/>
        <v>21.508008395464572</v>
      </c>
      <c r="AI336" s="27">
        <f t="shared" si="84"/>
        <v>21.692391103319341</v>
      </c>
      <c r="AJ336" s="27">
        <f t="shared" si="84"/>
        <v>21.924107330813051</v>
      </c>
      <c r="AK336" s="27">
        <f t="shared" si="84"/>
        <v>22.125286903757015</v>
      </c>
      <c r="AL336" s="27">
        <f t="shared" si="84"/>
        <v>22.347890019958896</v>
      </c>
      <c r="AM336" s="27">
        <f t="shared" si="84"/>
        <v>22.565021886121382</v>
      </c>
      <c r="AN336" s="27">
        <f t="shared" si="84"/>
        <v>22.857354238812295</v>
      </c>
      <c r="AO336" s="27">
        <f t="shared" si="84"/>
        <v>23.111205883073605</v>
      </c>
      <c r="AP336" s="27">
        <f t="shared" si="84"/>
        <v>23.364831927228202</v>
      </c>
      <c r="AQ336" s="27">
        <f t="shared" si="84"/>
        <v>23.627465701341702</v>
      </c>
      <c r="AR336" s="27">
        <f t="shared" si="84"/>
        <v>23.902059465195961</v>
      </c>
      <c r="AS336" s="27">
        <f t="shared" si="84"/>
        <v>24.259909282475949</v>
      </c>
      <c r="AT336" s="27">
        <f t="shared" si="84"/>
        <v>24.370732341378943</v>
      </c>
      <c r="AU336" s="27">
        <f t="shared" si="84"/>
        <v>24.459248352072496</v>
      </c>
      <c r="AV336" s="27">
        <f t="shared" si="84"/>
        <v>24.550534004397402</v>
      </c>
      <c r="AW336" s="27">
        <f t="shared" si="84"/>
        <v>24.634079749927345</v>
      </c>
      <c r="AY336" s="79"/>
    </row>
    <row r="337" spans="1:51" x14ac:dyDescent="0.2">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7.7508449141861155E-2</v>
      </c>
      <c r="M337" s="27">
        <f t="shared" si="84"/>
        <v>7.7543217949140625E-2</v>
      </c>
      <c r="N337" s="27">
        <f t="shared" si="84"/>
        <v>7.6831311787104617E-2</v>
      </c>
      <c r="O337" s="27">
        <f t="shared" si="84"/>
        <v>7.5668604825232064E-2</v>
      </c>
      <c r="P337" s="27">
        <f t="shared" si="84"/>
        <v>7.4073684167079407E-2</v>
      </c>
      <c r="Q337" s="27">
        <f t="shared" si="84"/>
        <v>7.291559489708703E-2</v>
      </c>
      <c r="R337" s="27">
        <f t="shared" si="84"/>
        <v>7.1859980996426695E-2</v>
      </c>
      <c r="S337" s="27">
        <f t="shared" si="84"/>
        <v>6.4026806028504468E-2</v>
      </c>
      <c r="T337" s="27">
        <f t="shared" si="84"/>
        <v>6.5026471790350593E-2</v>
      </c>
      <c r="U337" s="27">
        <f t="shared" si="84"/>
        <v>6.5451039019493229E-2</v>
      </c>
      <c r="V337" s="27">
        <f t="shared" si="84"/>
        <v>6.5730648355864951E-2</v>
      </c>
      <c r="W337" s="27">
        <f t="shared" si="84"/>
        <v>6.6248394454879955E-2</v>
      </c>
      <c r="X337" s="27">
        <f t="shared" si="84"/>
        <v>6.6634015230540536E-2</v>
      </c>
      <c r="Y337" s="27">
        <f t="shared" si="84"/>
        <v>6.6836287632620187E-2</v>
      </c>
      <c r="Z337" s="27">
        <f t="shared" si="84"/>
        <v>6.696021879889287E-2</v>
      </c>
      <c r="AA337" s="27">
        <f t="shared" si="84"/>
        <v>6.6977030220690986E-2</v>
      </c>
      <c r="AB337" s="27">
        <f t="shared" si="84"/>
        <v>6.7365964527680941E-2</v>
      </c>
      <c r="AC337" s="27">
        <f t="shared" si="84"/>
        <v>6.77056962443503E-2</v>
      </c>
      <c r="AD337" s="27">
        <f t="shared" si="84"/>
        <v>6.8194508307399856E-2</v>
      </c>
      <c r="AE337" s="27">
        <f t="shared" si="84"/>
        <v>6.9020204262067689E-2</v>
      </c>
      <c r="AF337" s="27">
        <f t="shared" si="84"/>
        <v>6.9987140159553041E-2</v>
      </c>
      <c r="AG337" s="27">
        <f t="shared" si="84"/>
        <v>7.1296293069432901E-2</v>
      </c>
      <c r="AH337" s="27">
        <f t="shared" si="84"/>
        <v>7.2003030684025804E-2</v>
      </c>
      <c r="AI337" s="27">
        <f t="shared" si="84"/>
        <v>7.262029442724019E-2</v>
      </c>
      <c r="AJ337" s="27">
        <f t="shared" si="84"/>
        <v>7.339601807079868E-2</v>
      </c>
      <c r="AK337" s="27">
        <f t="shared" si="84"/>
        <v>7.4069513203278647E-2</v>
      </c>
      <c r="AL337" s="27">
        <f t="shared" si="84"/>
        <v>7.4814728599866626E-2</v>
      </c>
      <c r="AM337" s="27">
        <f t="shared" si="84"/>
        <v>7.5541627722012866E-2</v>
      </c>
      <c r="AN337" s="27">
        <f t="shared" si="84"/>
        <v>7.6520277858916103E-2</v>
      </c>
      <c r="AO337" s="27">
        <f t="shared" si="84"/>
        <v>7.7370104927739061E-2</v>
      </c>
      <c r="AP337" s="27">
        <f t="shared" si="84"/>
        <v>7.821917674804682E-2</v>
      </c>
      <c r="AQ337" s="27">
        <f t="shared" ref="L337:AW344" si="85">AQ1406</f>
        <v>7.9098404026949301E-2</v>
      </c>
      <c r="AR337" s="27">
        <f t="shared" si="85"/>
        <v>8.0017670136618924E-2</v>
      </c>
      <c r="AS337" s="27">
        <f t="shared" si="85"/>
        <v>8.1215655133654599E-2</v>
      </c>
      <c r="AT337" s="27">
        <f t="shared" si="85"/>
        <v>8.1586660945256045E-2</v>
      </c>
      <c r="AU337" s="27">
        <f t="shared" si="85"/>
        <v>8.1882988755660815E-2</v>
      </c>
      <c r="AV337" s="27">
        <f t="shared" si="85"/>
        <v>8.2188588581758509E-2</v>
      </c>
      <c r="AW337" s="27">
        <f t="shared" si="85"/>
        <v>8.2468277280419264E-2</v>
      </c>
      <c r="AY337" s="79"/>
    </row>
    <row r="338" spans="1:51" x14ac:dyDescent="0.2">
      <c r="A338" s="95" t="str">
        <f t="shared" si="71"/>
        <v>GS Poultry MMCH4</v>
      </c>
      <c r="B338" s="95" t="s">
        <v>1021</v>
      </c>
      <c r="C338" s="95" t="s">
        <v>1231</v>
      </c>
      <c r="D338" t="s">
        <v>15</v>
      </c>
      <c r="E338" t="s">
        <v>22</v>
      </c>
      <c r="F338" t="s">
        <v>28</v>
      </c>
      <c r="G338" t="s">
        <v>131</v>
      </c>
      <c r="H338" t="s">
        <v>1227</v>
      </c>
      <c r="I338" t="s">
        <v>121</v>
      </c>
      <c r="J338" t="s">
        <v>286</v>
      </c>
      <c r="K338" s="27">
        <f t="shared" si="83"/>
        <v>0.55586528215230246</v>
      </c>
      <c r="L338" s="27">
        <f t="shared" si="85"/>
        <v>0.56716712532642333</v>
      </c>
      <c r="M338" s="27">
        <f t="shared" si="85"/>
        <v>0.58037790885594753</v>
      </c>
      <c r="N338" s="27">
        <f t="shared" si="85"/>
        <v>0.5905201523722613</v>
      </c>
      <c r="O338" s="27">
        <f t="shared" si="85"/>
        <v>0.59866182774590171</v>
      </c>
      <c r="P338" s="27">
        <f t="shared" si="85"/>
        <v>0.60475451589519702</v>
      </c>
      <c r="Q338" s="27">
        <f t="shared" si="85"/>
        <v>0.61256702388185857</v>
      </c>
      <c r="R338" s="27">
        <f t="shared" si="85"/>
        <v>0.6206898695388976</v>
      </c>
      <c r="S338" s="27">
        <f t="shared" si="85"/>
        <v>0.59586205354866417</v>
      </c>
      <c r="T338" s="27">
        <f t="shared" si="85"/>
        <v>0.61166609228342095</v>
      </c>
      <c r="U338" s="27">
        <f t="shared" si="85"/>
        <v>0.62485299056124621</v>
      </c>
      <c r="V338" s="27">
        <f t="shared" si="85"/>
        <v>0.63746316411560699</v>
      </c>
      <c r="W338" s="27">
        <f t="shared" si="85"/>
        <v>0.65148292230650084</v>
      </c>
      <c r="X338" s="27">
        <f t="shared" si="85"/>
        <v>0.66499795751984347</v>
      </c>
      <c r="Y338" s="27">
        <f t="shared" si="85"/>
        <v>0.67713280709524293</v>
      </c>
      <c r="Z338" s="27">
        <f t="shared" si="85"/>
        <v>0.68896443146114195</v>
      </c>
      <c r="AA338" s="27">
        <f t="shared" si="85"/>
        <v>0.70030539755417098</v>
      </c>
      <c r="AB338" s="27">
        <f t="shared" si="85"/>
        <v>0.71394199916813561</v>
      </c>
      <c r="AC338" s="27">
        <f t="shared" si="85"/>
        <v>0.72748510796814947</v>
      </c>
      <c r="AD338" s="27">
        <f t="shared" si="85"/>
        <v>0.7416801333370433</v>
      </c>
      <c r="AE338" s="27">
        <f t="shared" si="85"/>
        <v>0.75821054657652254</v>
      </c>
      <c r="AF338" s="27">
        <f t="shared" si="85"/>
        <v>0.77596254129215869</v>
      </c>
      <c r="AG338" s="27">
        <f t="shared" si="85"/>
        <v>0.7963033454053372</v>
      </c>
      <c r="AH338" s="27">
        <f t="shared" si="85"/>
        <v>0.81311713883147885</v>
      </c>
      <c r="AI338" s="27">
        <f t="shared" si="85"/>
        <v>0.82920457779762036</v>
      </c>
      <c r="AJ338" s="27">
        <f t="shared" si="85"/>
        <v>0.8466799763081283</v>
      </c>
      <c r="AK338" s="27">
        <f t="shared" si="85"/>
        <v>0.86378648630356591</v>
      </c>
      <c r="AL338" s="27">
        <f t="shared" si="85"/>
        <v>0.8817359545427027</v>
      </c>
      <c r="AM338" s="27">
        <f t="shared" si="85"/>
        <v>0.89991137533731791</v>
      </c>
      <c r="AN338" s="27">
        <f t="shared" si="85"/>
        <v>0.91990012979739244</v>
      </c>
      <c r="AO338" s="27">
        <f t="shared" si="85"/>
        <v>0.93935460788893066</v>
      </c>
      <c r="AP338" s="27">
        <f t="shared" si="85"/>
        <v>0.95921858565138518</v>
      </c>
      <c r="AQ338" s="27">
        <f t="shared" si="85"/>
        <v>0.97974614943757377</v>
      </c>
      <c r="AR338" s="27">
        <f t="shared" si="85"/>
        <v>1.0010418670441812</v>
      </c>
      <c r="AS338" s="27">
        <f t="shared" si="85"/>
        <v>1.024648468705007</v>
      </c>
      <c r="AT338" s="27">
        <f t="shared" si="85"/>
        <v>1.0419667302828659</v>
      </c>
      <c r="AU338" s="27">
        <f t="shared" si="85"/>
        <v>1.0589838516681485</v>
      </c>
      <c r="AV338" s="27">
        <f t="shared" si="85"/>
        <v>1.0763973931983826</v>
      </c>
      <c r="AW338" s="27">
        <f t="shared" si="85"/>
        <v>1.093914171709288</v>
      </c>
      <c r="AY338" s="79"/>
    </row>
    <row r="339" spans="1:51" x14ac:dyDescent="0.2">
      <c r="A339" s="95" t="str">
        <f t="shared" si="71"/>
        <v>GS Poultry MMCH4</v>
      </c>
      <c r="B339" s="95" t="s">
        <v>1021</v>
      </c>
      <c r="C339" s="95" t="s">
        <v>1231</v>
      </c>
      <c r="D339" t="s">
        <v>15</v>
      </c>
      <c r="E339" t="s">
        <v>22</v>
      </c>
      <c r="F339" t="s">
        <v>28</v>
      </c>
      <c r="G339" t="s">
        <v>132</v>
      </c>
      <c r="H339" t="s">
        <v>1227</v>
      </c>
      <c r="I339" t="s">
        <v>121</v>
      </c>
      <c r="J339" t="s">
        <v>286</v>
      </c>
      <c r="K339" s="27">
        <f t="shared" si="83"/>
        <v>2.2100196981344111</v>
      </c>
      <c r="L339" s="27">
        <f t="shared" si="85"/>
        <v>2.239121707445149</v>
      </c>
      <c r="M339" s="27">
        <f t="shared" si="85"/>
        <v>2.2858678822724823</v>
      </c>
      <c r="N339" s="27">
        <f t="shared" si="85"/>
        <v>2.2992900748078591</v>
      </c>
      <c r="O339" s="27">
        <f t="shared" si="85"/>
        <v>2.2910596881616572</v>
      </c>
      <c r="P339" s="27">
        <f t="shared" si="85"/>
        <v>2.2612642885898917</v>
      </c>
      <c r="Q339" s="27">
        <f t="shared" si="85"/>
        <v>2.2487211059946204</v>
      </c>
      <c r="R339" s="27">
        <f t="shared" si="85"/>
        <v>2.2390235702415171</v>
      </c>
      <c r="S339" s="27">
        <f t="shared" si="85"/>
        <v>1.9141242898278399</v>
      </c>
      <c r="T339" s="27">
        <f t="shared" si="85"/>
        <v>1.9984899724616512</v>
      </c>
      <c r="U339" s="27">
        <f t="shared" si="85"/>
        <v>2.0566281324498989</v>
      </c>
      <c r="V339" s="27">
        <f t="shared" si="85"/>
        <v>2.1082245232127885</v>
      </c>
      <c r="W339" s="27">
        <f t="shared" si="85"/>
        <v>2.1717516772979577</v>
      </c>
      <c r="X339" s="27">
        <f t="shared" si="85"/>
        <v>2.2294138068766221</v>
      </c>
      <c r="Y339" s="27">
        <f t="shared" si="85"/>
        <v>2.2803087574477758</v>
      </c>
      <c r="Z339" s="27">
        <f t="shared" si="85"/>
        <v>2.3275959555736767</v>
      </c>
      <c r="AA339" s="27">
        <f t="shared" si="85"/>
        <v>2.3696866416984408</v>
      </c>
      <c r="AB339" s="27">
        <f t="shared" si="85"/>
        <v>2.4313567650804138</v>
      </c>
      <c r="AC339" s="27">
        <f t="shared" si="85"/>
        <v>2.4911768272254537</v>
      </c>
      <c r="AD339" s="27">
        <f t="shared" si="85"/>
        <v>2.5611651092780447</v>
      </c>
      <c r="AE339" s="27">
        <f t="shared" si="85"/>
        <v>2.6503466863676968</v>
      </c>
      <c r="AF339" s="27">
        <f t="shared" si="85"/>
        <v>2.7487492134063758</v>
      </c>
      <c r="AG339" s="27">
        <f t="shared" si="85"/>
        <v>2.8678706867563997</v>
      </c>
      <c r="AH339" s="27">
        <f t="shared" si="85"/>
        <v>2.9554288288988109</v>
      </c>
      <c r="AI339" s="27">
        <f t="shared" si="85"/>
        <v>3.0407668489306769</v>
      </c>
      <c r="AJ339" s="27">
        <f t="shared" si="85"/>
        <v>3.1366479798785045</v>
      </c>
      <c r="AK339" s="27">
        <f t="shared" si="85"/>
        <v>3.228263044676527</v>
      </c>
      <c r="AL339" s="27">
        <f t="shared" si="85"/>
        <v>3.3257213723703618</v>
      </c>
      <c r="AM339" s="27">
        <f t="shared" si="85"/>
        <v>3.4238536012880374</v>
      </c>
      <c r="AN339" s="27">
        <f t="shared" si="85"/>
        <v>3.5403209104075128</v>
      </c>
      <c r="AO339" s="27">
        <f t="shared" si="85"/>
        <v>3.6511369162882397</v>
      </c>
      <c r="AP339" s="27">
        <f t="shared" si="85"/>
        <v>3.7640318136014432</v>
      </c>
      <c r="AQ339" s="27">
        <f t="shared" si="85"/>
        <v>3.8810201496437728</v>
      </c>
      <c r="AR339" s="27">
        <f t="shared" si="85"/>
        <v>4.0028778541582692</v>
      </c>
      <c r="AS339" s="27">
        <f t="shared" si="85"/>
        <v>4.1464729012292834</v>
      </c>
      <c r="AT339" s="27">
        <f t="shared" si="85"/>
        <v>4.2389508928341062</v>
      </c>
      <c r="AU339" s="27">
        <f t="shared" si="85"/>
        <v>4.3281678617131494</v>
      </c>
      <c r="AV339" s="27">
        <f t="shared" si="85"/>
        <v>4.4196303430169497</v>
      </c>
      <c r="AW339" s="27">
        <f t="shared" si="85"/>
        <v>4.5110296667808401</v>
      </c>
      <c r="AY339" s="79"/>
    </row>
    <row r="340" spans="1:51" x14ac:dyDescent="0.2">
      <c r="A340" s="95" t="str">
        <f t="shared" si="71"/>
        <v>GS Poultry MMCH4</v>
      </c>
      <c r="B340" s="95" t="s">
        <v>1021</v>
      </c>
      <c r="C340" s="95" t="s">
        <v>1231</v>
      </c>
      <c r="D340" t="s">
        <v>15</v>
      </c>
      <c r="E340" t="s">
        <v>22</v>
      </c>
      <c r="F340" t="s">
        <v>28</v>
      </c>
      <c r="G340" t="s">
        <v>134</v>
      </c>
      <c r="H340" t="s">
        <v>1227</v>
      </c>
      <c r="I340" t="s">
        <v>121</v>
      </c>
      <c r="J340" t="s">
        <v>286</v>
      </c>
      <c r="K340" s="27">
        <f t="shared" si="83"/>
        <v>2.3161053423012622E-2</v>
      </c>
      <c r="L340" s="27">
        <f t="shared" si="85"/>
        <v>2.3631963555267661E-2</v>
      </c>
      <c r="M340" s="27">
        <f t="shared" si="85"/>
        <v>2.4182412868997839E-2</v>
      </c>
      <c r="N340" s="27">
        <f t="shared" si="85"/>
        <v>2.460500634884424E-2</v>
      </c>
      <c r="O340" s="27">
        <f t="shared" si="85"/>
        <v>2.4944242822745932E-2</v>
      </c>
      <c r="P340" s="27">
        <f t="shared" si="85"/>
        <v>2.5198104828966564E-2</v>
      </c>
      <c r="Q340" s="27">
        <f t="shared" si="85"/>
        <v>2.5523625995077459E-2</v>
      </c>
      <c r="R340" s="27">
        <f t="shared" si="85"/>
        <v>2.5862077897454098E-2</v>
      </c>
      <c r="S340" s="27">
        <f t="shared" si="85"/>
        <v>2.4827585564527698E-2</v>
      </c>
      <c r="T340" s="27">
        <f t="shared" si="85"/>
        <v>2.5486087178475895E-2</v>
      </c>
      <c r="U340" s="27">
        <f t="shared" si="85"/>
        <v>2.6035541273385285E-2</v>
      </c>
      <c r="V340" s="27">
        <f t="shared" si="85"/>
        <v>2.6560965171483649E-2</v>
      </c>
      <c r="W340" s="27">
        <f t="shared" si="85"/>
        <v>2.7145121762770889E-2</v>
      </c>
      <c r="X340" s="27">
        <f t="shared" si="85"/>
        <v>2.7708248229993501E-2</v>
      </c>
      <c r="Y340" s="27">
        <f t="shared" si="85"/>
        <v>2.8213866962301819E-2</v>
      </c>
      <c r="Z340" s="27">
        <f t="shared" si="85"/>
        <v>2.8706851310880941E-2</v>
      </c>
      <c r="AA340" s="27">
        <f t="shared" si="85"/>
        <v>2.9179391564757153E-2</v>
      </c>
      <c r="AB340" s="27">
        <f t="shared" si="85"/>
        <v>2.9747583298672345E-2</v>
      </c>
      <c r="AC340" s="27">
        <f t="shared" si="85"/>
        <v>3.0311879498672922E-2</v>
      </c>
      <c r="AD340" s="27">
        <f t="shared" si="85"/>
        <v>3.0903338889043501E-2</v>
      </c>
      <c r="AE340" s="27">
        <f t="shared" si="85"/>
        <v>3.1592106107355133E-2</v>
      </c>
      <c r="AF340" s="27">
        <f t="shared" si="85"/>
        <v>3.2331772553839976E-2</v>
      </c>
      <c r="AG340" s="27">
        <f t="shared" si="85"/>
        <v>3.3179306058555749E-2</v>
      </c>
      <c r="AH340" s="27">
        <f t="shared" si="85"/>
        <v>3.3879880784644982E-2</v>
      </c>
      <c r="AI340" s="27">
        <f t="shared" si="85"/>
        <v>3.4550190741567552E-2</v>
      </c>
      <c r="AJ340" s="27">
        <f t="shared" si="85"/>
        <v>3.5278332346172038E-2</v>
      </c>
      <c r="AK340" s="27">
        <f t="shared" si="85"/>
        <v>3.5991103595981948E-2</v>
      </c>
      <c r="AL340" s="27">
        <f t="shared" si="85"/>
        <v>3.6738998105945983E-2</v>
      </c>
      <c r="AM340" s="27">
        <f t="shared" si="85"/>
        <v>3.7496307305721614E-2</v>
      </c>
      <c r="AN340" s="27">
        <f t="shared" si="85"/>
        <v>3.8329172074891393E-2</v>
      </c>
      <c r="AO340" s="27">
        <f t="shared" si="85"/>
        <v>3.9139775328705488E-2</v>
      </c>
      <c r="AP340" s="27">
        <f t="shared" si="85"/>
        <v>3.9967441068807751E-2</v>
      </c>
      <c r="AQ340" s="27">
        <f t="shared" si="85"/>
        <v>4.0822756226565615E-2</v>
      </c>
      <c r="AR340" s="27">
        <f t="shared" si="85"/>
        <v>4.1710077793507598E-2</v>
      </c>
      <c r="AS340" s="27">
        <f t="shared" si="85"/>
        <v>4.2693686196041997E-2</v>
      </c>
      <c r="AT340" s="27">
        <f t="shared" si="85"/>
        <v>4.3415280428452788E-2</v>
      </c>
      <c r="AU340" s="27">
        <f t="shared" si="85"/>
        <v>4.4124327152839558E-2</v>
      </c>
      <c r="AV340" s="27">
        <f t="shared" si="85"/>
        <v>4.4849891383265984E-2</v>
      </c>
      <c r="AW340" s="27">
        <f t="shared" si="85"/>
        <v>4.5579757154553702E-2</v>
      </c>
      <c r="AY340" s="79"/>
    </row>
    <row r="341" spans="1:51" x14ac:dyDescent="0.2">
      <c r="A341" s="95" t="str">
        <f t="shared" si="71"/>
        <v>GS Poultry MMCH4</v>
      </c>
      <c r="B341" s="95" t="s">
        <v>1021</v>
      </c>
      <c r="C341" s="95" t="s">
        <v>1231</v>
      </c>
      <c r="D341" t="s">
        <v>15</v>
      </c>
      <c r="E341" t="s">
        <v>22</v>
      </c>
      <c r="F341" t="s">
        <v>28</v>
      </c>
      <c r="G341" t="s">
        <v>133</v>
      </c>
      <c r="H341" t="s">
        <v>1227</v>
      </c>
      <c r="I341" t="s">
        <v>121</v>
      </c>
      <c r="J341" t="s">
        <v>286</v>
      </c>
      <c r="K341" s="27">
        <f t="shared" si="83"/>
        <v>9.2084154088933862E-2</v>
      </c>
      <c r="L341" s="27">
        <f t="shared" si="85"/>
        <v>9.3296737810214622E-2</v>
      </c>
      <c r="M341" s="27">
        <f t="shared" si="85"/>
        <v>9.5244495094686854E-2</v>
      </c>
      <c r="N341" s="27">
        <f t="shared" si="85"/>
        <v>9.5803753116994225E-2</v>
      </c>
      <c r="O341" s="27">
        <f t="shared" si="85"/>
        <v>9.5460820340069155E-2</v>
      </c>
      <c r="P341" s="27">
        <f t="shared" si="85"/>
        <v>9.4219345357912251E-2</v>
      </c>
      <c r="Q341" s="27">
        <f t="shared" si="85"/>
        <v>9.3696712749775937E-2</v>
      </c>
      <c r="R341" s="27">
        <f t="shared" si="85"/>
        <v>9.3292648760063296E-2</v>
      </c>
      <c r="S341" s="27">
        <f t="shared" si="85"/>
        <v>7.9755178742826727E-2</v>
      </c>
      <c r="T341" s="27">
        <f t="shared" si="85"/>
        <v>8.3270415519235544E-2</v>
      </c>
      <c r="U341" s="27">
        <f t="shared" si="85"/>
        <v>8.5692838852079192E-2</v>
      </c>
      <c r="V341" s="27">
        <f t="shared" si="85"/>
        <v>8.7842688467199587E-2</v>
      </c>
      <c r="W341" s="27">
        <f t="shared" si="85"/>
        <v>9.0489653220748326E-2</v>
      </c>
      <c r="X341" s="27">
        <f t="shared" si="85"/>
        <v>9.289224195319265E-2</v>
      </c>
      <c r="Y341" s="27">
        <f t="shared" si="85"/>
        <v>9.5012864893657414E-2</v>
      </c>
      <c r="Z341" s="27">
        <f t="shared" si="85"/>
        <v>9.6983164815569928E-2</v>
      </c>
      <c r="AA341" s="27">
        <f t="shared" si="85"/>
        <v>9.8736943404101787E-2</v>
      </c>
      <c r="AB341" s="27">
        <f t="shared" si="85"/>
        <v>0.10130653187835065</v>
      </c>
      <c r="AC341" s="27">
        <f t="shared" si="85"/>
        <v>0.10379903446772733</v>
      </c>
      <c r="AD341" s="27">
        <f t="shared" si="85"/>
        <v>0.1067152128865853</v>
      </c>
      <c r="AE341" s="27">
        <f t="shared" si="85"/>
        <v>0.11043111193198749</v>
      </c>
      <c r="AF341" s="27">
        <f t="shared" si="85"/>
        <v>0.11453121722526576</v>
      </c>
      <c r="AG341" s="27">
        <f t="shared" si="85"/>
        <v>0.11949461194818344</v>
      </c>
      <c r="AH341" s="27">
        <f t="shared" si="85"/>
        <v>0.12314286787078389</v>
      </c>
      <c r="AI341" s="27">
        <f t="shared" si="85"/>
        <v>0.12669861870544499</v>
      </c>
      <c r="AJ341" s="27">
        <f t="shared" si="85"/>
        <v>0.13069366582827113</v>
      </c>
      <c r="AK341" s="27">
        <f t="shared" si="85"/>
        <v>0.13451096019485542</v>
      </c>
      <c r="AL341" s="27">
        <f t="shared" si="85"/>
        <v>0.13857172384876518</v>
      </c>
      <c r="AM341" s="27">
        <f t="shared" si="85"/>
        <v>0.14266056672033503</v>
      </c>
      <c r="AN341" s="27">
        <f t="shared" si="85"/>
        <v>0.14751337126697986</v>
      </c>
      <c r="AO341" s="27">
        <f t="shared" si="85"/>
        <v>0.15213070484534344</v>
      </c>
      <c r="AP341" s="27">
        <f t="shared" si="85"/>
        <v>0.15683465890006026</v>
      </c>
      <c r="AQ341" s="27">
        <f t="shared" si="85"/>
        <v>0.16170917290182402</v>
      </c>
      <c r="AR341" s="27">
        <f t="shared" si="85"/>
        <v>0.16678657725659471</v>
      </c>
      <c r="AS341" s="27">
        <f t="shared" si="85"/>
        <v>0.17276970421788695</v>
      </c>
      <c r="AT341" s="27">
        <f t="shared" si="85"/>
        <v>0.17662295386808796</v>
      </c>
      <c r="AU341" s="27">
        <f t="shared" si="85"/>
        <v>0.18034032757138141</v>
      </c>
      <c r="AV341" s="27">
        <f t="shared" si="85"/>
        <v>0.18415126429237305</v>
      </c>
      <c r="AW341" s="27">
        <f t="shared" si="85"/>
        <v>0.18795956944920184</v>
      </c>
      <c r="AY341" s="79"/>
    </row>
    <row r="342" spans="1:51" x14ac:dyDescent="0.2">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5.9806569587962537E-2</v>
      </c>
      <c r="M342" s="27">
        <f t="shared" si="85"/>
        <v>6.0278316688762053E-2</v>
      </c>
      <c r="N342" s="27">
        <f t="shared" si="85"/>
        <v>6.0581464452445992E-2</v>
      </c>
      <c r="O342" s="27">
        <f t="shared" si="85"/>
        <v>6.0782907527895308E-2</v>
      </c>
      <c r="P342" s="27">
        <f t="shared" si="85"/>
        <v>6.0880663265441157E-2</v>
      </c>
      <c r="Q342" s="27">
        <f t="shared" si="85"/>
        <v>6.1096642070638009E-2</v>
      </c>
      <c r="R342" s="27">
        <f t="shared" si="85"/>
        <v>6.1344406036983767E-2</v>
      </c>
      <c r="S342" s="27">
        <f t="shared" si="85"/>
        <v>5.9665089567979834E-2</v>
      </c>
      <c r="T342" s="27">
        <f t="shared" si="85"/>
        <v>6.0350771242359769E-2</v>
      </c>
      <c r="U342" s="27">
        <f t="shared" si="85"/>
        <v>6.0888075169397142E-2</v>
      </c>
      <c r="V342" s="27">
        <f t="shared" si="85"/>
        <v>6.139711160102531E-2</v>
      </c>
      <c r="W342" s="27">
        <f t="shared" si="85"/>
        <v>6.1992224918562065E-2</v>
      </c>
      <c r="X342" s="27">
        <f t="shared" si="85"/>
        <v>6.2562148930794551E-2</v>
      </c>
      <c r="Y342" s="27">
        <f t="shared" si="85"/>
        <v>6.3040140287419597E-2</v>
      </c>
      <c r="Z342" s="27">
        <f t="shared" si="85"/>
        <v>6.3504855616237185E-2</v>
      </c>
      <c r="AA342" s="27">
        <f t="shared" si="85"/>
        <v>6.3945644322408624E-2</v>
      </c>
      <c r="AB342" s="27">
        <f t="shared" si="85"/>
        <v>6.4519032075900526E-2</v>
      </c>
      <c r="AC342" s="27">
        <f t="shared" si="85"/>
        <v>6.5089471381032354E-2</v>
      </c>
      <c r="AD342" s="27">
        <f t="shared" si="85"/>
        <v>6.5684604542898692E-2</v>
      </c>
      <c r="AE342" s="27">
        <f t="shared" si="85"/>
        <v>6.6410653636350389E-2</v>
      </c>
      <c r="AF342" s="27">
        <f t="shared" si="85"/>
        <v>6.7204391254708923E-2</v>
      </c>
      <c r="AG342" s="27">
        <f t="shared" si="85"/>
        <v>6.8140044673053207E-2</v>
      </c>
      <c r="AH342" s="27">
        <f t="shared" si="85"/>
        <v>6.888108453498494E-2</v>
      </c>
      <c r="AI342" s="27">
        <f t="shared" si="85"/>
        <v>6.9569502535986497E-2</v>
      </c>
      <c r="AJ342" s="27">
        <f t="shared" si="85"/>
        <v>7.0333394582188791E-2</v>
      </c>
      <c r="AK342" s="27">
        <f t="shared" si="85"/>
        <v>7.1076775459671046E-2</v>
      </c>
      <c r="AL342" s="27">
        <f t="shared" si="85"/>
        <v>7.1865166896586383E-2</v>
      </c>
      <c r="AM342" s="27">
        <f t="shared" si="85"/>
        <v>7.2664891568343645E-2</v>
      </c>
      <c r="AN342" s="27">
        <f t="shared" si="85"/>
        <v>7.3548705139755158E-2</v>
      </c>
      <c r="AO342" s="27">
        <f t="shared" si="85"/>
        <v>7.4402331665901211E-2</v>
      </c>
      <c r="AP342" s="27">
        <f t="shared" si="85"/>
        <v>7.5276250928073038E-2</v>
      </c>
      <c r="AQ342" s="27">
        <f t="shared" si="85"/>
        <v>7.6183713879707002E-2</v>
      </c>
      <c r="AR342" s="27">
        <f t="shared" si="85"/>
        <v>7.7129908476892481E-2</v>
      </c>
      <c r="AS342" s="27">
        <f t="shared" si="85"/>
        <v>7.8183489117849933E-2</v>
      </c>
      <c r="AT342" s="27">
        <f t="shared" si="85"/>
        <v>7.890407273633461E-2</v>
      </c>
      <c r="AU342" s="27">
        <f t="shared" si="85"/>
        <v>7.960808386314952E-2</v>
      </c>
      <c r="AV342" s="27">
        <f t="shared" si="85"/>
        <v>8.0332044119121343E-2</v>
      </c>
      <c r="AW342" s="27">
        <f t="shared" si="85"/>
        <v>8.1060500675567429E-2</v>
      </c>
      <c r="AY342" s="79"/>
    </row>
    <row r="343" spans="1:51" x14ac:dyDescent="0.2">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0.26187096745907495</v>
      </c>
      <c r="M343" s="27">
        <f t="shared" si="85"/>
        <v>0.26393657447404822</v>
      </c>
      <c r="N343" s="27">
        <f t="shared" si="85"/>
        <v>0.26526394701365208</v>
      </c>
      <c r="O343" s="27">
        <f t="shared" si="85"/>
        <v>0.26614599213711054</v>
      </c>
      <c r="P343" s="27">
        <f t="shared" si="85"/>
        <v>0.26657402855087203</v>
      </c>
      <c r="Q343" s="27">
        <f t="shared" si="85"/>
        <v>0.26751972028770321</v>
      </c>
      <c r="R343" s="27">
        <f t="shared" si="85"/>
        <v>0.26860458755254496</v>
      </c>
      <c r="S343" s="27">
        <f t="shared" si="85"/>
        <v>0.26125147849717245</v>
      </c>
      <c r="T343" s="27">
        <f t="shared" si="85"/>
        <v>0.26425382631073058</v>
      </c>
      <c r="U343" s="27">
        <f t="shared" si="85"/>
        <v>0.26660648255171249</v>
      </c>
      <c r="V343" s="27">
        <f t="shared" si="85"/>
        <v>0.26883536582893036</v>
      </c>
      <c r="W343" s="27">
        <f t="shared" si="85"/>
        <v>0.27144114812483544</v>
      </c>
      <c r="X343" s="27">
        <f t="shared" si="85"/>
        <v>0.27393663571908672</v>
      </c>
      <c r="Y343" s="27">
        <f t="shared" si="85"/>
        <v>0.27602958403327432</v>
      </c>
      <c r="Z343" s="27">
        <f t="shared" si="85"/>
        <v>0.27806440150548434</v>
      </c>
      <c r="AA343" s="27">
        <f t="shared" si="85"/>
        <v>0.27999445309890292</v>
      </c>
      <c r="AB343" s="27">
        <f t="shared" si="85"/>
        <v>0.28250510714193849</v>
      </c>
      <c r="AC343" s="27">
        <f t="shared" si="85"/>
        <v>0.2850028510142375</v>
      </c>
      <c r="AD343" s="27">
        <f t="shared" si="85"/>
        <v>0.2876087202011619</v>
      </c>
      <c r="AE343" s="27">
        <f t="shared" si="85"/>
        <v>0.29078782209305915</v>
      </c>
      <c r="AF343" s="27">
        <f t="shared" si="85"/>
        <v>0.29426330713525839</v>
      </c>
      <c r="AG343" s="27">
        <f t="shared" si="85"/>
        <v>0.29836018925968516</v>
      </c>
      <c r="AH343" s="27">
        <f t="shared" si="85"/>
        <v>0.30160493021217166</v>
      </c>
      <c r="AI343" s="27">
        <f t="shared" si="85"/>
        <v>0.30461925939340617</v>
      </c>
      <c r="AJ343" s="27">
        <f t="shared" si="85"/>
        <v>0.30796406165428591</v>
      </c>
      <c r="AK343" s="27">
        <f t="shared" si="85"/>
        <v>0.31121905305268976</v>
      </c>
      <c r="AL343" s="27">
        <f t="shared" si="85"/>
        <v>0.31467112913302436</v>
      </c>
      <c r="AM343" s="27">
        <f t="shared" si="85"/>
        <v>0.31817282927962681</v>
      </c>
      <c r="AN343" s="27">
        <f t="shared" si="85"/>
        <v>0.32204272378442023</v>
      </c>
      <c r="AO343" s="27">
        <f t="shared" si="85"/>
        <v>0.32578044032276504</v>
      </c>
      <c r="AP343" s="27">
        <f t="shared" si="85"/>
        <v>0.32960701128717151</v>
      </c>
      <c r="AQ343" s="27">
        <f t="shared" si="85"/>
        <v>0.33358045772817063</v>
      </c>
      <c r="AR343" s="27">
        <f t="shared" si="85"/>
        <v>0.33772349579700817</v>
      </c>
      <c r="AS343" s="27">
        <f t="shared" si="85"/>
        <v>0.34233673784791513</v>
      </c>
      <c r="AT343" s="27">
        <f t="shared" si="85"/>
        <v>0.34549190843549077</v>
      </c>
      <c r="AU343" s="27">
        <f t="shared" si="85"/>
        <v>0.34857451417849072</v>
      </c>
      <c r="AV343" s="27">
        <f t="shared" si="85"/>
        <v>0.35174446981947466</v>
      </c>
      <c r="AW343" s="27">
        <f t="shared" si="85"/>
        <v>0.3549341131062021</v>
      </c>
      <c r="AY343" s="79"/>
    </row>
    <row r="344" spans="1:51" x14ac:dyDescent="0.2">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1.1651711689683767E-2</v>
      </c>
      <c r="M344" s="27">
        <f t="shared" si="85"/>
        <v>1.1743619004328788E-2</v>
      </c>
      <c r="N344" s="27">
        <f t="shared" si="85"/>
        <v>1.1802679244134426E-2</v>
      </c>
      <c r="O344" s="27">
        <f t="shared" si="85"/>
        <v>1.1841925043604104E-2</v>
      </c>
      <c r="P344" s="27">
        <f t="shared" si="85"/>
        <v>1.1860970136438286E-2</v>
      </c>
      <c r="Q344" s="27">
        <f t="shared" si="85"/>
        <v>1.1903047834366352E-2</v>
      </c>
      <c r="R344" s="27">
        <f t="shared" si="85"/>
        <v>1.1951318021451857E-2</v>
      </c>
      <c r="S344" s="27">
        <f t="shared" si="85"/>
        <v>1.1624148088994974E-2</v>
      </c>
      <c r="T344" s="27">
        <f t="shared" si="85"/>
        <v>1.1757734837671872E-2</v>
      </c>
      <c r="U344" s="27">
        <f t="shared" si="85"/>
        <v>1.1862414147833051E-2</v>
      </c>
      <c r="V344" s="27">
        <f t="shared" si="85"/>
        <v>1.1961586291992786E-2</v>
      </c>
      <c r="W344" s="27">
        <f t="shared" si="85"/>
        <v>1.2077528216874986E-2</v>
      </c>
      <c r="X344" s="27">
        <f t="shared" si="85"/>
        <v>1.218856267882977E-2</v>
      </c>
      <c r="Y344" s="27">
        <f t="shared" si="85"/>
        <v>1.2281686519837978E-2</v>
      </c>
      <c r="Z344" s="27">
        <f t="shared" si="85"/>
        <v>1.2372223881643949E-2</v>
      </c>
      <c r="AA344" s="27">
        <f t="shared" si="85"/>
        <v>1.2458099780491892E-2</v>
      </c>
      <c r="AB344" s="27">
        <f t="shared" si="85"/>
        <v>1.256980905985888E-2</v>
      </c>
      <c r="AC344" s="27">
        <f t="shared" si="85"/>
        <v>1.2680943912863346E-2</v>
      </c>
      <c r="AD344" s="27">
        <f t="shared" si="85"/>
        <v>1.2796889703882807E-2</v>
      </c>
      <c r="AE344" s="27">
        <f t="shared" si="85"/>
        <v>1.2938340965303392E-2</v>
      </c>
      <c r="AF344" s="27">
        <f t="shared" ref="L344:AW351" si="86">AF1413</f>
        <v>1.3092979526753859E-2</v>
      </c>
      <c r="AG344" s="27">
        <f t="shared" si="86"/>
        <v>1.3275266588980031E-2</v>
      </c>
      <c r="AH344" s="27">
        <f t="shared" si="86"/>
        <v>1.3419638400994631E-2</v>
      </c>
      <c r="AI344" s="27">
        <f t="shared" si="86"/>
        <v>1.3553758249782499E-2</v>
      </c>
      <c r="AJ344" s="27">
        <f t="shared" si="86"/>
        <v>1.3702582199153161E-2</v>
      </c>
      <c r="AK344" s="27">
        <f t="shared" si="86"/>
        <v>1.3847410095481636E-2</v>
      </c>
      <c r="AL344" s="27">
        <f t="shared" si="86"/>
        <v>1.4001007096360315E-2</v>
      </c>
      <c r="AM344" s="27">
        <f t="shared" si="86"/>
        <v>1.4156812075155119E-2</v>
      </c>
      <c r="AN344" s="27">
        <f t="shared" si="86"/>
        <v>1.432899952868179E-2</v>
      </c>
      <c r="AO344" s="27">
        <f t="shared" si="86"/>
        <v>1.4495305843219548E-2</v>
      </c>
      <c r="AP344" s="27">
        <f t="shared" si="86"/>
        <v>1.4665565655026861E-2</v>
      </c>
      <c r="AQ344" s="27">
        <f t="shared" si="86"/>
        <v>1.4842360558234895E-2</v>
      </c>
      <c r="AR344" s="27">
        <f t="shared" si="86"/>
        <v>1.5026701287433988E-2</v>
      </c>
      <c r="AS344" s="27">
        <f t="shared" si="86"/>
        <v>1.5231963317255199E-2</v>
      </c>
      <c r="AT344" s="27">
        <f t="shared" si="86"/>
        <v>1.5372349776949124E-2</v>
      </c>
      <c r="AU344" s="27">
        <f t="shared" si="86"/>
        <v>1.550950752955876E-2</v>
      </c>
      <c r="AV344" s="27">
        <f t="shared" si="86"/>
        <v>1.5650551836822808E-2</v>
      </c>
      <c r="AW344" s="27">
        <f t="shared" si="86"/>
        <v>1.5792472128065831E-2</v>
      </c>
      <c r="AY344" s="79"/>
    </row>
    <row r="345" spans="1:51" x14ac:dyDescent="0.2">
      <c r="A345" s="95" t="str">
        <f t="shared" si="71"/>
        <v>GS Cattle MMN2O</v>
      </c>
      <c r="B345" s="95" t="s">
        <v>1021</v>
      </c>
      <c r="C345" s="95" t="s">
        <v>1232</v>
      </c>
      <c r="D345" t="s">
        <v>15</v>
      </c>
      <c r="E345" t="s">
        <v>657</v>
      </c>
      <c r="F345" t="s">
        <v>67</v>
      </c>
      <c r="G345" t="s">
        <v>122</v>
      </c>
      <c r="H345" t="s">
        <v>1227</v>
      </c>
      <c r="I345" t="s">
        <v>139</v>
      </c>
      <c r="J345" t="s">
        <v>287</v>
      </c>
      <c r="K345" s="27">
        <f t="shared" si="83"/>
        <v>0.52525224947331306</v>
      </c>
      <c r="L345" s="27">
        <f t="shared" si="86"/>
        <v>0.5206969044571037</v>
      </c>
      <c r="M345" s="27">
        <f t="shared" si="86"/>
        <v>0.51896282251134873</v>
      </c>
      <c r="N345" s="27">
        <f t="shared" si="86"/>
        <v>0.51203275332440912</v>
      </c>
      <c r="O345" s="27">
        <f t="shared" si="86"/>
        <v>0.50197358865556707</v>
      </c>
      <c r="P345" s="27">
        <f t="shared" si="86"/>
        <v>0.48899333628247271</v>
      </c>
      <c r="Q345" s="27">
        <f t="shared" si="86"/>
        <v>0.47875543160314177</v>
      </c>
      <c r="R345" s="27">
        <f t="shared" si="86"/>
        <v>0.46906920988966794</v>
      </c>
      <c r="S345" s="27">
        <f t="shared" si="86"/>
        <v>0.41630918721469751</v>
      </c>
      <c r="T345" s="27">
        <f t="shared" si="86"/>
        <v>0.4242723493279994</v>
      </c>
      <c r="U345" s="27">
        <f t="shared" si="86"/>
        <v>0.42852994772024217</v>
      </c>
      <c r="V345" s="27">
        <f t="shared" si="86"/>
        <v>0.43180740758836011</v>
      </c>
      <c r="W345" s="27">
        <f t="shared" si="86"/>
        <v>0.43654938286292333</v>
      </c>
      <c r="X345" s="27">
        <f t="shared" si="86"/>
        <v>0.44039774902333312</v>
      </c>
      <c r="Y345" s="27">
        <f t="shared" si="86"/>
        <v>0.44287861979972809</v>
      </c>
      <c r="Z345" s="27">
        <f t="shared" si="86"/>
        <v>0.44480979206932508</v>
      </c>
      <c r="AA345" s="27">
        <f t="shared" si="86"/>
        <v>0.44600669694391831</v>
      </c>
      <c r="AB345" s="27">
        <f t="shared" si="86"/>
        <v>0.44955000580259225</v>
      </c>
      <c r="AC345" s="27">
        <f t="shared" si="86"/>
        <v>0.45273812820401932</v>
      </c>
      <c r="AD345" s="27">
        <f t="shared" si="86"/>
        <v>0.45290255961235854</v>
      </c>
      <c r="AE345" s="27">
        <f t="shared" si="86"/>
        <v>0.45503830808408913</v>
      </c>
      <c r="AF345" s="27">
        <f t="shared" si="86"/>
        <v>0.45786255495032313</v>
      </c>
      <c r="AG345" s="27">
        <f t="shared" si="86"/>
        <v>0.46260418192872943</v>
      </c>
      <c r="AH345" s="27">
        <f t="shared" si="86"/>
        <v>0.46336149545626742</v>
      </c>
      <c r="AI345" s="27">
        <f t="shared" si="86"/>
        <v>0.46328199946784754</v>
      </c>
      <c r="AJ345" s="27">
        <f t="shared" si="86"/>
        <v>0.46397768547065105</v>
      </c>
      <c r="AK345" s="27">
        <f t="shared" si="86"/>
        <v>0.46384928130278269</v>
      </c>
      <c r="AL345" s="27">
        <f t="shared" si="86"/>
        <v>0.46394752613960677</v>
      </c>
      <c r="AM345" s="27">
        <f t="shared" si="86"/>
        <v>0.46372456195327277</v>
      </c>
      <c r="AN345" s="27">
        <f t="shared" si="86"/>
        <v>0.46705287296965353</v>
      </c>
      <c r="AO345" s="27">
        <f t="shared" si="86"/>
        <v>0.46948772142871509</v>
      </c>
      <c r="AP345" s="27">
        <f t="shared" si="86"/>
        <v>0.47178208531317378</v>
      </c>
      <c r="AQ345" s="27">
        <f t="shared" si="86"/>
        <v>0.47411151157933035</v>
      </c>
      <c r="AR345" s="27">
        <f t="shared" si="86"/>
        <v>0.47652651600833112</v>
      </c>
      <c r="AS345" s="27">
        <f t="shared" si="86"/>
        <v>0.48031110501678759</v>
      </c>
      <c r="AT345" s="27">
        <f t="shared" si="86"/>
        <v>0.47924514012499747</v>
      </c>
      <c r="AU345" s="27">
        <f t="shared" si="86"/>
        <v>0.47764693105288908</v>
      </c>
      <c r="AV345" s="27">
        <f t="shared" si="86"/>
        <v>0.47599161993934092</v>
      </c>
      <c r="AW345" s="27">
        <f t="shared" si="86"/>
        <v>0.4740811431084902</v>
      </c>
      <c r="AY345" s="79"/>
    </row>
    <row r="346" spans="1:51" x14ac:dyDescent="0.2">
      <c r="A346" s="95" t="str">
        <f t="shared" si="71"/>
        <v>GS Cattle MMN2O</v>
      </c>
      <c r="B346" s="95" t="s">
        <v>1021</v>
      </c>
      <c r="C346" s="95" t="s">
        <v>1232</v>
      </c>
      <c r="D346" t="s">
        <v>15</v>
      </c>
      <c r="E346" t="s">
        <v>657</v>
      </c>
      <c r="F346" t="s">
        <v>67</v>
      </c>
      <c r="G346" t="s">
        <v>123</v>
      </c>
      <c r="H346" t="s">
        <v>1227</v>
      </c>
      <c r="I346" t="s">
        <v>139</v>
      </c>
      <c r="J346" t="s">
        <v>287</v>
      </c>
      <c r="K346" s="27">
        <f t="shared" si="83"/>
        <v>0.80452586370517887</v>
      </c>
      <c r="L346" s="27">
        <f t="shared" si="86"/>
        <v>0.79754846782098077</v>
      </c>
      <c r="M346" s="27">
        <f t="shared" si="86"/>
        <v>0.79489238443144172</v>
      </c>
      <c r="N346" s="27">
        <f t="shared" si="86"/>
        <v>0.78427763712907439</v>
      </c>
      <c r="O346" s="27">
        <f t="shared" si="86"/>
        <v>0.76887007218962333</v>
      </c>
      <c r="P346" s="27">
        <f t="shared" si="86"/>
        <v>0.74898829393537225</v>
      </c>
      <c r="Q346" s="27">
        <f t="shared" si="86"/>
        <v>0.73330695394505496</v>
      </c>
      <c r="R346" s="27">
        <f t="shared" si="86"/>
        <v>0.71847062359542491</v>
      </c>
      <c r="S346" s="27">
        <f t="shared" si="86"/>
        <v>0.63765839888958464</v>
      </c>
      <c r="T346" s="27">
        <f t="shared" si="86"/>
        <v>0.64985552871330754</v>
      </c>
      <c r="U346" s="27">
        <f t="shared" si="86"/>
        <v>0.65637686779803062</v>
      </c>
      <c r="V346" s="27">
        <f t="shared" si="86"/>
        <v>0.66139693431616664</v>
      </c>
      <c r="W346" s="27">
        <f t="shared" si="86"/>
        <v>0.66866019069871818</v>
      </c>
      <c r="X346" s="27">
        <f t="shared" si="86"/>
        <v>0.67455471111659759</v>
      </c>
      <c r="Y346" s="27">
        <f t="shared" si="86"/>
        <v>0.67835464668302581</v>
      </c>
      <c r="Z346" s="27">
        <f t="shared" si="86"/>
        <v>0.68131261219334738</v>
      </c>
      <c r="AA346" s="27">
        <f t="shared" si="86"/>
        <v>0.68314590453806523</v>
      </c>
      <c r="AB346" s="27">
        <f t="shared" si="86"/>
        <v>0.68857317043317978</v>
      </c>
      <c r="AC346" s="27">
        <f t="shared" si="86"/>
        <v>0.69345639926499891</v>
      </c>
      <c r="AD346" s="27">
        <f t="shared" si="86"/>
        <v>0.69370825791186275</v>
      </c>
      <c r="AE346" s="27">
        <f t="shared" si="86"/>
        <v>0.69697957161989321</v>
      </c>
      <c r="AF346" s="27">
        <f t="shared" si="86"/>
        <v>0.70130545437746739</v>
      </c>
      <c r="AG346" s="27">
        <f t="shared" si="86"/>
        <v>0.70856817727678933</v>
      </c>
      <c r="AH346" s="27">
        <f t="shared" si="86"/>
        <v>0.70972815007166834</v>
      </c>
      <c r="AI346" s="27">
        <f t="shared" si="86"/>
        <v>0.70960638652128127</v>
      </c>
      <c r="AJ346" s="27">
        <f t="shared" si="86"/>
        <v>0.71067196478931216</v>
      </c>
      <c r="AK346" s="27">
        <f t="shared" si="86"/>
        <v>0.71047528886043954</v>
      </c>
      <c r="AL346" s="27">
        <f t="shared" si="86"/>
        <v>0.71062576991459914</v>
      </c>
      <c r="AM346" s="27">
        <f t="shared" si="86"/>
        <v>0.71028425694675268</v>
      </c>
      <c r="AN346" s="27">
        <f t="shared" si="86"/>
        <v>0.71538221187758488</v>
      </c>
      <c r="AO346" s="27">
        <f t="shared" si="86"/>
        <v>0.71911165532400878</v>
      </c>
      <c r="AP346" s="27">
        <f t="shared" si="86"/>
        <v>0.7226259193517196</v>
      </c>
      <c r="AQ346" s="27">
        <f t="shared" si="86"/>
        <v>0.72619388822876152</v>
      </c>
      <c r="AR346" s="27">
        <f t="shared" si="86"/>
        <v>0.72989293668793909</v>
      </c>
      <c r="AS346" s="27">
        <f t="shared" si="86"/>
        <v>0.73568977000726443</v>
      </c>
      <c r="AT346" s="27">
        <f t="shared" si="86"/>
        <v>0.73405703768463881</v>
      </c>
      <c r="AU346" s="27">
        <f t="shared" si="86"/>
        <v>0.73160906999785846</v>
      </c>
      <c r="AV346" s="27">
        <f t="shared" si="86"/>
        <v>0.72907363944108583</v>
      </c>
      <c r="AW346" s="27">
        <f t="shared" si="86"/>
        <v>0.72614737301582033</v>
      </c>
      <c r="AY346" s="79"/>
    </row>
    <row r="347" spans="1:51" x14ac:dyDescent="0.2">
      <c r="A347" s="95" t="str">
        <f t="shared" si="71"/>
        <v>GS Cattle MMN2O</v>
      </c>
      <c r="B347" s="95" t="s">
        <v>1021</v>
      </c>
      <c r="C347" s="95" t="s">
        <v>1232</v>
      </c>
      <c r="D347" t="s">
        <v>15</v>
      </c>
      <c r="E347" t="s">
        <v>657</v>
      </c>
      <c r="F347" t="s">
        <v>67</v>
      </c>
      <c r="G347" t="s">
        <v>135</v>
      </c>
      <c r="H347" t="s">
        <v>1227</v>
      </c>
      <c r="I347" t="s">
        <v>139</v>
      </c>
      <c r="J347" t="s">
        <v>287</v>
      </c>
      <c r="K347" s="27">
        <f t="shared" si="83"/>
        <v>0.97926119892671493</v>
      </c>
      <c r="L347" s="27">
        <f t="shared" si="86"/>
        <v>1.0122801448609147</v>
      </c>
      <c r="M347" s="27">
        <f t="shared" si="86"/>
        <v>1.0514701788925804</v>
      </c>
      <c r="N347" s="27">
        <f t="shared" si="86"/>
        <v>1.0806972456941153</v>
      </c>
      <c r="O347" s="27">
        <f t="shared" si="86"/>
        <v>1.1032367943433716</v>
      </c>
      <c r="P347" s="27">
        <f t="shared" si="86"/>
        <v>1.1187666946803865</v>
      </c>
      <c r="Q347" s="27">
        <f t="shared" si="86"/>
        <v>1.1399714801203362</v>
      </c>
      <c r="R347" s="27">
        <f t="shared" si="86"/>
        <v>1.1622002864669057</v>
      </c>
      <c r="S347" s="27">
        <f t="shared" si="86"/>
        <v>1.0731659766272925</v>
      </c>
      <c r="T347" s="27">
        <f t="shared" si="86"/>
        <v>1.1200435177813</v>
      </c>
      <c r="U347" s="27">
        <f t="shared" si="86"/>
        <v>1.1581646088835691</v>
      </c>
      <c r="V347" s="27">
        <f t="shared" si="86"/>
        <v>1.1944005912440496</v>
      </c>
      <c r="W347" s="27">
        <f t="shared" si="86"/>
        <v>1.2355118571945767</v>
      </c>
      <c r="X347" s="27">
        <f t="shared" si="86"/>
        <v>1.2749845608108272</v>
      </c>
      <c r="Y347" s="27">
        <f t="shared" si="86"/>
        <v>1.3112710404440306</v>
      </c>
      <c r="Z347" s="27">
        <f t="shared" si="86"/>
        <v>1.3466036234744594</v>
      </c>
      <c r="AA347" s="27">
        <f t="shared" si="86"/>
        <v>1.3803261318564077</v>
      </c>
      <c r="AB347" s="27">
        <f t="shared" si="86"/>
        <v>1.4220578435636848</v>
      </c>
      <c r="AC347" s="27">
        <f t="shared" si="86"/>
        <v>1.4635769863229917</v>
      </c>
      <c r="AD347" s="27">
        <f t="shared" si="86"/>
        <v>1.5126623536535566</v>
      </c>
      <c r="AE347" s="27">
        <f t="shared" si="86"/>
        <v>1.5702927620533913</v>
      </c>
      <c r="AF347" s="27">
        <f t="shared" si="86"/>
        <v>1.6326718662100064</v>
      </c>
      <c r="AG347" s="27">
        <f t="shared" si="86"/>
        <v>1.7047038536562504</v>
      </c>
      <c r="AH347" s="27">
        <f t="shared" si="86"/>
        <v>1.7647703233064436</v>
      </c>
      <c r="AI347" s="27">
        <f t="shared" si="86"/>
        <v>1.823914760279997</v>
      </c>
      <c r="AJ347" s="27">
        <f t="shared" si="86"/>
        <v>1.8885037105241573</v>
      </c>
      <c r="AK347" s="27">
        <f t="shared" si="86"/>
        <v>1.9522655918668117</v>
      </c>
      <c r="AL347" s="27">
        <f t="shared" si="86"/>
        <v>2.0195785012565346</v>
      </c>
      <c r="AM347" s="27">
        <f t="shared" si="86"/>
        <v>2.0882359976906724</v>
      </c>
      <c r="AN347" s="27">
        <f t="shared" si="86"/>
        <v>2.1625669468600144</v>
      </c>
      <c r="AO347" s="27">
        <f t="shared" si="86"/>
        <v>2.2353883436386872</v>
      </c>
      <c r="AP347" s="27">
        <f t="shared" si="86"/>
        <v>2.310159637098629</v>
      </c>
      <c r="AQ347" s="27">
        <f t="shared" si="86"/>
        <v>2.387837748545981</v>
      </c>
      <c r="AR347" s="27">
        <f t="shared" si="86"/>
        <v>2.4688377318111754</v>
      </c>
      <c r="AS347" s="27">
        <f t="shared" si="86"/>
        <v>2.5601896833945608</v>
      </c>
      <c r="AT347" s="27">
        <f t="shared" si="86"/>
        <v>2.6285710200523447</v>
      </c>
      <c r="AU347" s="27">
        <f t="shared" si="86"/>
        <v>2.6962215322627681</v>
      </c>
      <c r="AV347" s="27">
        <f t="shared" si="86"/>
        <v>2.7657590792696469</v>
      </c>
      <c r="AW347" s="27">
        <f t="shared" si="86"/>
        <v>2.8360897430204677</v>
      </c>
      <c r="AY347" s="79"/>
    </row>
    <row r="348" spans="1:51" x14ac:dyDescent="0.2">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0.1195503235691774</v>
      </c>
      <c r="T348" s="27">
        <f t="shared" si="86"/>
        <v>0.11973238900774033</v>
      </c>
      <c r="U348" s="27">
        <f t="shared" si="86"/>
        <v>0.11993816652481025</v>
      </c>
      <c r="V348" s="27">
        <f t="shared" si="86"/>
        <v>0.12017030175701968</v>
      </c>
      <c r="W348" s="27">
        <f t="shared" si="86"/>
        <v>0.12043143682964785</v>
      </c>
      <c r="X348" s="27">
        <f t="shared" si="86"/>
        <v>0.12071612652319091</v>
      </c>
      <c r="Y348" s="27">
        <f t="shared" si="86"/>
        <v>0.12088927246048492</v>
      </c>
      <c r="Z348" s="27">
        <f t="shared" si="86"/>
        <v>0.12108266651499933</v>
      </c>
      <c r="AA348" s="27">
        <f t="shared" si="86"/>
        <v>0.12129489002398719</v>
      </c>
      <c r="AB348" s="27">
        <f t="shared" si="86"/>
        <v>0.12153074787723062</v>
      </c>
      <c r="AC348" s="27">
        <f t="shared" si="86"/>
        <v>0.12178444503760315</v>
      </c>
      <c r="AD348" s="27">
        <f t="shared" si="86"/>
        <v>0.12195021859922818</v>
      </c>
      <c r="AE348" s="27">
        <f t="shared" si="86"/>
        <v>0.12213630016303641</v>
      </c>
      <c r="AF348" s="27">
        <f t="shared" si="86"/>
        <v>0.12233971704233786</v>
      </c>
      <c r="AG348" s="27">
        <f t="shared" si="86"/>
        <v>0.12256258176640643</v>
      </c>
      <c r="AH348" s="27">
        <f t="shared" si="86"/>
        <v>0.12279204268449652</v>
      </c>
      <c r="AI348" s="27">
        <f t="shared" si="86"/>
        <v>0.12293267358180958</v>
      </c>
      <c r="AJ348" s="27">
        <f t="shared" si="86"/>
        <v>0.1230880284078129</v>
      </c>
      <c r="AK348" s="27">
        <f t="shared" si="86"/>
        <v>0.12325414703713089</v>
      </c>
      <c r="AL348" s="27">
        <f t="shared" si="86"/>
        <v>0.12343300581478904</v>
      </c>
      <c r="AM348" s="27">
        <f t="shared" si="86"/>
        <v>0.12362298848343736</v>
      </c>
      <c r="AN348" s="27">
        <f t="shared" si="86"/>
        <v>0.12373316293630814</v>
      </c>
      <c r="AO348" s="27">
        <f t="shared" si="86"/>
        <v>0.12385166980530417</v>
      </c>
      <c r="AP348" s="27">
        <f t="shared" si="86"/>
        <v>0.12398002361906417</v>
      </c>
      <c r="AQ348" s="27">
        <f t="shared" si="86"/>
        <v>0.12411840156820916</v>
      </c>
      <c r="AR348" s="27">
        <f t="shared" si="86"/>
        <v>0.12426670691930036</v>
      </c>
      <c r="AS348" s="27">
        <f t="shared" si="86"/>
        <v>0.12433302167931155</v>
      </c>
      <c r="AT348" s="27">
        <f t="shared" si="86"/>
        <v>0.12439474489368146</v>
      </c>
      <c r="AU348" s="27">
        <f t="shared" si="86"/>
        <v>0.1244631713501356</v>
      </c>
      <c r="AV348" s="27">
        <f t="shared" si="86"/>
        <v>0.12453939785824997</v>
      </c>
      <c r="AW348" s="27">
        <f t="shared" si="86"/>
        <v>0.12462263971956801</v>
      </c>
      <c r="AY348" s="79"/>
    </row>
    <row r="349" spans="1:51" x14ac:dyDescent="0.2">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6.3928512589691663E-2</v>
      </c>
      <c r="T349" s="27">
        <f t="shared" si="86"/>
        <v>6.4025870525110232E-2</v>
      </c>
      <c r="U349" s="27">
        <f t="shared" si="86"/>
        <v>6.4135908291616708E-2</v>
      </c>
      <c r="V349" s="27">
        <f t="shared" si="86"/>
        <v>6.4260040620762821E-2</v>
      </c>
      <c r="W349" s="27">
        <f t="shared" si="86"/>
        <v>6.4399680366434092E-2</v>
      </c>
      <c r="X349" s="27">
        <f t="shared" si="86"/>
        <v>6.4551915744093219E-2</v>
      </c>
      <c r="Y349" s="27">
        <f t="shared" si="86"/>
        <v>6.4644504052528431E-2</v>
      </c>
      <c r="Z349" s="27">
        <f t="shared" si="86"/>
        <v>6.4747919868393122E-2</v>
      </c>
      <c r="AA349" s="27">
        <f t="shared" si="86"/>
        <v>6.4861404573922254E-2</v>
      </c>
      <c r="AB349" s="27">
        <f t="shared" si="86"/>
        <v>6.4987527542813464E-2</v>
      </c>
      <c r="AC349" s="27">
        <f t="shared" si="86"/>
        <v>6.5123189928548972E-2</v>
      </c>
      <c r="AD349" s="27">
        <f t="shared" si="86"/>
        <v>6.5211835922177344E-2</v>
      </c>
      <c r="AE349" s="27">
        <f t="shared" si="86"/>
        <v>6.5311341446206636E-2</v>
      </c>
      <c r="AF349" s="27">
        <f t="shared" si="86"/>
        <v>6.5420116881865359E-2</v>
      </c>
      <c r="AG349" s="27">
        <f t="shared" si="86"/>
        <v>6.5539291886106743E-2</v>
      </c>
      <c r="AH349" s="27">
        <f t="shared" si="86"/>
        <v>6.5661994148660446E-2</v>
      </c>
      <c r="AI349" s="27">
        <f t="shared" si="86"/>
        <v>6.5737195317682587E-2</v>
      </c>
      <c r="AJ349" s="27">
        <f t="shared" si="86"/>
        <v>6.5820269981585744E-2</v>
      </c>
      <c r="AK349" s="27">
        <f t="shared" si="86"/>
        <v>6.5909100497210327E-2</v>
      </c>
      <c r="AL349" s="27">
        <f t="shared" si="86"/>
        <v>6.6004743698148058E-2</v>
      </c>
      <c r="AM349" s="27">
        <f t="shared" si="86"/>
        <v>6.6106335304610589E-2</v>
      </c>
      <c r="AN349" s="27">
        <f t="shared" si="86"/>
        <v>6.6165250150569468E-2</v>
      </c>
      <c r="AO349" s="27">
        <f t="shared" si="86"/>
        <v>6.6228620684754519E-2</v>
      </c>
      <c r="AP349" s="27">
        <f t="shared" si="86"/>
        <v>6.6297256788396222E-2</v>
      </c>
      <c r="AQ349" s="27">
        <f t="shared" si="86"/>
        <v>6.6371253212662962E-2</v>
      </c>
      <c r="AR349" s="27">
        <f t="shared" si="86"/>
        <v>6.6450558230176079E-2</v>
      </c>
      <c r="AS349" s="27">
        <f t="shared" si="86"/>
        <v>6.6486019480666153E-2</v>
      </c>
      <c r="AT349" s="27">
        <f t="shared" si="86"/>
        <v>6.6519025441412388E-2</v>
      </c>
      <c r="AU349" s="27">
        <f t="shared" si="86"/>
        <v>6.6555615903506504E-2</v>
      </c>
      <c r="AV349" s="27">
        <f t="shared" si="86"/>
        <v>6.6596377376484356E-2</v>
      </c>
      <c r="AW349" s="27">
        <f t="shared" si="86"/>
        <v>6.6640890249560589E-2</v>
      </c>
      <c r="AY349" s="79"/>
    </row>
    <row r="350" spans="1:51" x14ac:dyDescent="0.2">
      <c r="A350" s="95" t="str">
        <f t="shared" si="71"/>
        <v>GS Goats MMN2O</v>
      </c>
      <c r="B350" s="95" t="s">
        <v>1021</v>
      </c>
      <c r="C350" s="95" t="s">
        <v>1329</v>
      </c>
      <c r="D350" t="s">
        <v>15</v>
      </c>
      <c r="E350" t="s">
        <v>657</v>
      </c>
      <c r="F350" t="s">
        <v>19</v>
      </c>
      <c r="G350" t="s">
        <v>122</v>
      </c>
      <c r="H350" t="s">
        <v>1227</v>
      </c>
      <c r="I350" t="s">
        <v>139</v>
      </c>
      <c r="J350" t="s">
        <v>287</v>
      </c>
      <c r="K350" s="27">
        <f t="shared" si="83"/>
        <v>1.4486129996083083E-2</v>
      </c>
      <c r="L350" s="27">
        <f t="shared" si="86"/>
        <v>1.4523786941695514E-2</v>
      </c>
      <c r="M350" s="27">
        <f t="shared" si="86"/>
        <v>1.457573336741831E-2</v>
      </c>
      <c r="N350" s="27">
        <f t="shared" si="86"/>
        <v>1.4639017833045652E-2</v>
      </c>
      <c r="O350" s="27">
        <f t="shared" si="86"/>
        <v>1.4713550078172181E-2</v>
      </c>
      <c r="P350" s="27">
        <f t="shared" si="86"/>
        <v>1.4798876460462532E-2</v>
      </c>
      <c r="Q350" s="27">
        <f t="shared" si="86"/>
        <v>1.4890706011157254E-2</v>
      </c>
      <c r="R350" s="27">
        <f t="shared" si="86"/>
        <v>1.4988675221399694E-2</v>
      </c>
      <c r="S350" s="27">
        <f t="shared" si="86"/>
        <v>1.5078679643027025E-2</v>
      </c>
      <c r="T350" s="27">
        <f t="shared" si="86"/>
        <v>1.5122495296339114E-2</v>
      </c>
      <c r="U350" s="27">
        <f t="shared" si="86"/>
        <v>1.516958973789732E-2</v>
      </c>
      <c r="V350" s="27">
        <f t="shared" si="86"/>
        <v>1.5220538890996555E-2</v>
      </c>
      <c r="W350" s="27">
        <f t="shared" si="86"/>
        <v>1.5275902163367263E-2</v>
      </c>
      <c r="X350" s="27">
        <f t="shared" si="86"/>
        <v>1.5334694454120529E-2</v>
      </c>
      <c r="Y350" s="27">
        <f t="shared" si="86"/>
        <v>1.5371448915304845E-2</v>
      </c>
      <c r="Z350" s="27">
        <f t="shared" si="86"/>
        <v>1.5411207509365298E-2</v>
      </c>
      <c r="AA350" s="27">
        <f t="shared" si="86"/>
        <v>1.545373639870192E-2</v>
      </c>
      <c r="AB350" s="27">
        <f t="shared" si="86"/>
        <v>1.5499966763922934E-2</v>
      </c>
      <c r="AC350" s="27">
        <f t="shared" si="86"/>
        <v>1.5548833641447303E-2</v>
      </c>
      <c r="AD350" s="27">
        <f t="shared" si="86"/>
        <v>1.5580602349578561E-2</v>
      </c>
      <c r="AE350" s="27">
        <f t="shared" si="86"/>
        <v>1.5615591404277505E-2</v>
      </c>
      <c r="AF350" s="27">
        <f t="shared" si="86"/>
        <v>1.5653259744642323E-2</v>
      </c>
      <c r="AG350" s="27">
        <f t="shared" si="86"/>
        <v>1.5694012741398929E-2</v>
      </c>
      <c r="AH350" s="27">
        <f t="shared" si="86"/>
        <v>1.5735477279761712E-2</v>
      </c>
      <c r="AI350" s="27">
        <f t="shared" si="86"/>
        <v>1.5760021720349279E-2</v>
      </c>
      <c r="AJ350" s="27">
        <f t="shared" si="86"/>
        <v>1.5786883711006117E-2</v>
      </c>
      <c r="AK350" s="27">
        <f t="shared" si="86"/>
        <v>1.5815340273420818E-2</v>
      </c>
      <c r="AL350" s="27">
        <f t="shared" si="86"/>
        <v>1.5845764593107773E-2</v>
      </c>
      <c r="AM350" s="27">
        <f t="shared" si="86"/>
        <v>1.5877866318833773E-2</v>
      </c>
      <c r="AN350" s="27">
        <f t="shared" si="86"/>
        <v>1.5894983838021428E-2</v>
      </c>
      <c r="AO350" s="27">
        <f t="shared" si="86"/>
        <v>1.5913339031971951E-2</v>
      </c>
      <c r="AP350" s="27">
        <f t="shared" si="86"/>
        <v>1.593321505910849E-2</v>
      </c>
      <c r="AQ350" s="27">
        <f t="shared" si="86"/>
        <v>1.5954648527995344E-2</v>
      </c>
      <c r="AR350" s="27">
        <f t="shared" si="86"/>
        <v>1.597762528830339E-2</v>
      </c>
      <c r="AS350" s="27">
        <f t="shared" si="86"/>
        <v>1.598544144020398E-2</v>
      </c>
      <c r="AT350" s="27">
        <f t="shared" si="86"/>
        <v>1.5992226212116378E-2</v>
      </c>
      <c r="AU350" s="27">
        <f t="shared" si="86"/>
        <v>1.600003943689176E-2</v>
      </c>
      <c r="AV350" s="27">
        <f t="shared" si="86"/>
        <v>1.6009082551352239E-2</v>
      </c>
      <c r="AW350" s="27">
        <f t="shared" si="86"/>
        <v>1.6019215529788255E-2</v>
      </c>
      <c r="AY350" s="79"/>
    </row>
    <row r="351" spans="1:51" x14ac:dyDescent="0.2">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0.11605647283191661</v>
      </c>
      <c r="O351" s="27">
        <f t="shared" si="86"/>
        <v>0.11664735601685972</v>
      </c>
      <c r="P351" s="27">
        <f t="shared" si="86"/>
        <v>0.11732381389682567</v>
      </c>
      <c r="Q351" s="27">
        <f t="shared" si="86"/>
        <v>0.11805182815822723</v>
      </c>
      <c r="R351" s="27">
        <f t="shared" si="86"/>
        <v>0.11882851694408277</v>
      </c>
      <c r="S351" s="27">
        <f t="shared" si="86"/>
        <v>0.11954206178926803</v>
      </c>
      <c r="T351" s="27">
        <f t="shared" si="86"/>
        <v>0.11988942731858297</v>
      </c>
      <c r="U351" s="27">
        <f t="shared" ref="L351:AW357" si="87">U1420</f>
        <v>0.12026278670919023</v>
      </c>
      <c r="V351" s="27">
        <f t="shared" si="87"/>
        <v>0.12066670581564304</v>
      </c>
      <c r="W351" s="27">
        <f t="shared" si="87"/>
        <v>0.12110561955897305</v>
      </c>
      <c r="X351" s="27">
        <f t="shared" si="87"/>
        <v>0.121571718171076</v>
      </c>
      <c r="Y351" s="27">
        <f t="shared" si="87"/>
        <v>0.12186310337017453</v>
      </c>
      <c r="Z351" s="27">
        <f t="shared" si="87"/>
        <v>0.12217830499394715</v>
      </c>
      <c r="AA351" s="27">
        <f t="shared" si="87"/>
        <v>0.12251546920442616</v>
      </c>
      <c r="AB351" s="27">
        <f t="shared" si="87"/>
        <v>0.12288197829584693</v>
      </c>
      <c r="AC351" s="27">
        <f t="shared" si="87"/>
        <v>0.12326938935774111</v>
      </c>
      <c r="AD351" s="27">
        <f t="shared" si="87"/>
        <v>0.12352124807218419</v>
      </c>
      <c r="AE351" s="27">
        <f t="shared" si="87"/>
        <v>0.12379863732892218</v>
      </c>
      <c r="AF351" s="27">
        <f t="shared" si="87"/>
        <v>0.12409726765849963</v>
      </c>
      <c r="AG351" s="27">
        <f t="shared" si="87"/>
        <v>0.12442035279404921</v>
      </c>
      <c r="AH351" s="27">
        <f t="shared" si="87"/>
        <v>0.12474907895074024</v>
      </c>
      <c r="AI351" s="27">
        <f t="shared" si="87"/>
        <v>0.12494366449156763</v>
      </c>
      <c r="AJ351" s="27">
        <f t="shared" si="87"/>
        <v>0.12515662330645747</v>
      </c>
      <c r="AK351" s="27">
        <f t="shared" si="87"/>
        <v>0.12538222370536653</v>
      </c>
      <c r="AL351" s="27">
        <f t="shared" si="87"/>
        <v>0.12562342426072123</v>
      </c>
      <c r="AM351" s="27">
        <f t="shared" si="87"/>
        <v>0.12587792310088028</v>
      </c>
      <c r="AN351" s="27">
        <f t="shared" si="87"/>
        <v>0.12601362885130757</v>
      </c>
      <c r="AO351" s="27">
        <f t="shared" si="87"/>
        <v>0.12615914674686166</v>
      </c>
      <c r="AP351" s="27">
        <f t="shared" si="87"/>
        <v>0.1263167216354017</v>
      </c>
      <c r="AQ351" s="27">
        <f t="shared" si="87"/>
        <v>0.12648664374547289</v>
      </c>
      <c r="AR351" s="27">
        <f t="shared" si="87"/>
        <v>0.12666880089487106</v>
      </c>
      <c r="AS351" s="27">
        <f t="shared" si="87"/>
        <v>0.12673076646052897</v>
      </c>
      <c r="AT351" s="27">
        <f t="shared" si="87"/>
        <v>0.12678455536263306</v>
      </c>
      <c r="AU351" s="27">
        <f t="shared" si="87"/>
        <v>0.1268464977223743</v>
      </c>
      <c r="AV351" s="27">
        <f t="shared" si="87"/>
        <v>0.12691819050802894</v>
      </c>
      <c r="AW351" s="27">
        <f t="shared" si="87"/>
        <v>0.12699852361165501</v>
      </c>
      <c r="AY351" s="79"/>
    </row>
    <row r="352" spans="1:51" x14ac:dyDescent="0.2">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2">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2">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9.6937181363551561E-2</v>
      </c>
      <c r="M354" s="27">
        <f t="shared" si="87"/>
        <v>9.6980665528366608E-2</v>
      </c>
      <c r="N354" s="27">
        <f t="shared" si="87"/>
        <v>9.6090308702663593E-2</v>
      </c>
      <c r="O354" s="27">
        <f t="shared" si="87"/>
        <v>9.4636150647850539E-2</v>
      </c>
      <c r="P354" s="27">
        <f t="shared" si="87"/>
        <v>9.2641437622218353E-2</v>
      </c>
      <c r="Q354" s="27">
        <f t="shared" si="87"/>
        <v>9.1193054757597203E-2</v>
      </c>
      <c r="R354" s="27">
        <f t="shared" si="87"/>
        <v>8.9872834352323586E-2</v>
      </c>
      <c r="S354" s="27">
        <f t="shared" si="87"/>
        <v>8.007614881771638E-2</v>
      </c>
      <c r="T354" s="27">
        <f t="shared" si="87"/>
        <v>8.1326396788510474E-2</v>
      </c>
      <c r="U354" s="27">
        <f t="shared" si="87"/>
        <v>8.1857388582928847E-2</v>
      </c>
      <c r="V354" s="27">
        <f t="shared" si="87"/>
        <v>8.2207086470719101E-2</v>
      </c>
      <c r="W354" s="27">
        <f t="shared" si="87"/>
        <v>8.285461390877466E-2</v>
      </c>
      <c r="X354" s="27">
        <f t="shared" si="87"/>
        <v>8.333689669834958E-2</v>
      </c>
      <c r="Y354" s="27">
        <f t="shared" si="87"/>
        <v>8.3589871912565908E-2</v>
      </c>
      <c r="Z354" s="27">
        <f t="shared" si="87"/>
        <v>8.3744868407458789E-2</v>
      </c>
      <c r="AA354" s="27">
        <f t="shared" si="87"/>
        <v>8.3765893880963477E-2</v>
      </c>
      <c r="AB354" s="27">
        <f t="shared" si="87"/>
        <v>8.4252320791482468E-2</v>
      </c>
      <c r="AC354" s="27">
        <f t="shared" si="87"/>
        <v>8.467721169561411E-2</v>
      </c>
      <c r="AD354" s="27">
        <f t="shared" si="87"/>
        <v>8.5288552318902811E-2</v>
      </c>
      <c r="AE354" s="27">
        <f t="shared" si="87"/>
        <v>8.6321222168383255E-2</v>
      </c>
      <c r="AF354" s="27">
        <f t="shared" si="87"/>
        <v>8.7530536010928472E-2</v>
      </c>
      <c r="AG354" s="27">
        <f t="shared" si="87"/>
        <v>8.9167849032446608E-2</v>
      </c>
      <c r="AH354" s="27">
        <f t="shared" si="87"/>
        <v>9.0051741731639295E-2</v>
      </c>
      <c r="AI354" s="27">
        <f t="shared" si="87"/>
        <v>9.0823732502808008E-2</v>
      </c>
      <c r="AJ354" s="27">
        <f t="shared" si="87"/>
        <v>9.1793903682288E-2</v>
      </c>
      <c r="AK354" s="27">
        <f t="shared" si="87"/>
        <v>9.2636221139642705E-2</v>
      </c>
      <c r="AL354" s="27">
        <f t="shared" si="87"/>
        <v>9.3568236692189041E-2</v>
      </c>
      <c r="AM354" s="27">
        <f t="shared" si="87"/>
        <v>9.4477344703207677E-2</v>
      </c>
      <c r="AN354" s="27">
        <f t="shared" si="87"/>
        <v>9.5701309146604296E-2</v>
      </c>
      <c r="AO354" s="27">
        <f t="shared" si="87"/>
        <v>9.6764158959885563E-2</v>
      </c>
      <c r="AP354" s="27">
        <f t="shared" si="87"/>
        <v>9.7826064209534019E-2</v>
      </c>
      <c r="AQ354" s="27">
        <f t="shared" si="87"/>
        <v>9.8925683865692504E-2</v>
      </c>
      <c r="AR354" s="27">
        <f t="shared" si="87"/>
        <v>0.1000753787258143</v>
      </c>
      <c r="AS354" s="27">
        <f t="shared" si="87"/>
        <v>0.10157365781943821</v>
      </c>
      <c r="AT354" s="27">
        <f t="shared" si="87"/>
        <v>0.10203766217050345</v>
      </c>
      <c r="AU354" s="27">
        <f t="shared" si="87"/>
        <v>0.10240826928518969</v>
      </c>
      <c r="AV354" s="27">
        <f t="shared" si="87"/>
        <v>0.10279047259457187</v>
      </c>
      <c r="AW354" s="27">
        <f t="shared" si="87"/>
        <v>0.10314026973807801</v>
      </c>
      <c r="AY354" s="79"/>
    </row>
    <row r="355" spans="1:51" x14ac:dyDescent="0.2">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3.7923788015899976E-2</v>
      </c>
      <c r="M355" s="27">
        <f t="shared" si="87"/>
        <v>3.7940799901590251E-2</v>
      </c>
      <c r="N355" s="27">
        <f t="shared" si="87"/>
        <v>3.759247428451009E-2</v>
      </c>
      <c r="O355" s="27">
        <f t="shared" si="87"/>
        <v>3.7023578211438583E-2</v>
      </c>
      <c r="P355" s="27">
        <f t="shared" si="87"/>
        <v>3.6243206089281214E-2</v>
      </c>
      <c r="Q355" s="27">
        <f t="shared" si="87"/>
        <v>3.5676569387541844E-2</v>
      </c>
      <c r="R355" s="27">
        <f t="shared" si="87"/>
        <v>3.5160072434777256E-2</v>
      </c>
      <c r="S355" s="27">
        <f t="shared" si="87"/>
        <v>3.132741070223205E-2</v>
      </c>
      <c r="T355" s="27">
        <f t="shared" si="87"/>
        <v>3.1816533021911265E-2</v>
      </c>
      <c r="U355" s="27">
        <f t="shared" si="87"/>
        <v>3.2024267762765575E-2</v>
      </c>
      <c r="V355" s="27">
        <f t="shared" si="87"/>
        <v>3.2161076656727829E-2</v>
      </c>
      <c r="W355" s="27">
        <f t="shared" si="87"/>
        <v>3.2414402500845374E-2</v>
      </c>
      <c r="X355" s="27">
        <f t="shared" si="87"/>
        <v>3.2603081292804072E-2</v>
      </c>
      <c r="Y355" s="27">
        <f t="shared" si="87"/>
        <v>3.2702050318540822E-2</v>
      </c>
      <c r="Z355" s="27">
        <f t="shared" si="87"/>
        <v>3.2762688085523954E-2</v>
      </c>
      <c r="AA355" s="27">
        <f t="shared" si="87"/>
        <v>3.2770913676457285E-2</v>
      </c>
      <c r="AB355" s="27">
        <f t="shared" si="87"/>
        <v>3.2961213732434436E-2</v>
      </c>
      <c r="AC355" s="27">
        <f t="shared" si="87"/>
        <v>3.3127439656806437E-2</v>
      </c>
      <c r="AD355" s="27">
        <f t="shared" si="87"/>
        <v>3.3366608486320448E-2</v>
      </c>
      <c r="AE355" s="27">
        <f t="shared" si="87"/>
        <v>3.377060983968385E-2</v>
      </c>
      <c r="AF355" s="27">
        <f t="shared" si="87"/>
        <v>3.4243717899607513E-2</v>
      </c>
      <c r="AG355" s="27">
        <f t="shared" si="87"/>
        <v>3.4884267903953659E-2</v>
      </c>
      <c r="AH355" s="27">
        <f t="shared" si="87"/>
        <v>3.523006462386518E-2</v>
      </c>
      <c r="AI355" s="27">
        <f t="shared" si="87"/>
        <v>3.5532083043879219E-2</v>
      </c>
      <c r="AJ355" s="27">
        <f t="shared" si="87"/>
        <v>3.5911633652141173E-2</v>
      </c>
      <c r="AK355" s="27">
        <f t="shared" si="87"/>
        <v>3.6241165295680604E-2</v>
      </c>
      <c r="AL355" s="27">
        <f t="shared" si="87"/>
        <v>3.6605788650157255E-2</v>
      </c>
      <c r="AM355" s="27">
        <f t="shared" si="87"/>
        <v>3.6961450110584139E-2</v>
      </c>
      <c r="AN355" s="27">
        <f t="shared" si="87"/>
        <v>3.7440289782188468E-2</v>
      </c>
      <c r="AO355" s="27">
        <f t="shared" si="87"/>
        <v>3.7856098148438051E-2</v>
      </c>
      <c r="AP355" s="27">
        <f t="shared" si="87"/>
        <v>3.82715369822701E-2</v>
      </c>
      <c r="AQ355" s="27">
        <f t="shared" si="87"/>
        <v>3.8701730455524434E-2</v>
      </c>
      <c r="AR355" s="27">
        <f t="shared" si="87"/>
        <v>3.9151514362431208E-2</v>
      </c>
      <c r="AS355" s="27">
        <f t="shared" si="87"/>
        <v>3.973767147919479E-2</v>
      </c>
      <c r="AT355" s="27">
        <f t="shared" si="87"/>
        <v>3.9919199375928846E-2</v>
      </c>
      <c r="AU355" s="27">
        <f t="shared" si="87"/>
        <v>4.0064188382797468E-2</v>
      </c>
      <c r="AV355" s="27">
        <f t="shared" si="87"/>
        <v>4.0213714055816842E-2</v>
      </c>
      <c r="AW355" s="27">
        <f t="shared" si="87"/>
        <v>4.0350561780624759E-2</v>
      </c>
      <c r="AY355" s="79"/>
    </row>
    <row r="356" spans="1:51" x14ac:dyDescent="0.2">
      <c r="A356" s="95" t="str">
        <f t="shared" si="71"/>
        <v>GS Poultry MMN2O</v>
      </c>
      <c r="B356" s="95" t="s">
        <v>1021</v>
      </c>
      <c r="C356" s="95" t="s">
        <v>1234</v>
      </c>
      <c r="D356" t="s">
        <v>15</v>
      </c>
      <c r="E356" t="s">
        <v>657</v>
      </c>
      <c r="F356" t="s">
        <v>28</v>
      </c>
      <c r="G356" t="s">
        <v>131</v>
      </c>
      <c r="H356" t="s">
        <v>1227</v>
      </c>
      <c r="I356" t="s">
        <v>139</v>
      </c>
      <c r="J356" t="s">
        <v>287</v>
      </c>
      <c r="K356" s="27">
        <f t="shared" si="83"/>
        <v>0.32784224726088984</v>
      </c>
      <c r="L356" s="27">
        <f t="shared" si="87"/>
        <v>0.33450793008613738</v>
      </c>
      <c r="M356" s="27">
        <f t="shared" si="87"/>
        <v>0.34229948156355033</v>
      </c>
      <c r="N356" s="27">
        <f t="shared" si="87"/>
        <v>0.34828124731402299</v>
      </c>
      <c r="O356" s="27">
        <f t="shared" si="87"/>
        <v>0.35308310351311484</v>
      </c>
      <c r="P356" s="27">
        <f t="shared" si="87"/>
        <v>0.35667649320457151</v>
      </c>
      <c r="Q356" s="27">
        <f t="shared" si="87"/>
        <v>0.36128421068096001</v>
      </c>
      <c r="R356" s="27">
        <f t="shared" si="87"/>
        <v>0.36607496135357964</v>
      </c>
      <c r="S356" s="27">
        <f t="shared" si="87"/>
        <v>0.35143183243338239</v>
      </c>
      <c r="T356" s="27">
        <f t="shared" si="87"/>
        <v>0.36075285272545593</v>
      </c>
      <c r="U356" s="27">
        <f t="shared" si="87"/>
        <v>0.36853031698633509</v>
      </c>
      <c r="V356" s="27">
        <f t="shared" si="87"/>
        <v>0.37596763636775804</v>
      </c>
      <c r="W356" s="27">
        <f t="shared" si="87"/>
        <v>0.38423631077311071</v>
      </c>
      <c r="X356" s="27">
        <f t="shared" si="87"/>
        <v>0.39220730600957571</v>
      </c>
      <c r="Y356" s="27">
        <f t="shared" si="87"/>
        <v>0.39936428537617313</v>
      </c>
      <c r="Z356" s="27">
        <f t="shared" si="87"/>
        <v>0.40634242638516721</v>
      </c>
      <c r="AA356" s="27">
        <f t="shared" si="87"/>
        <v>0.41303118340854511</v>
      </c>
      <c r="AB356" s="27">
        <f t="shared" si="87"/>
        <v>0.42107387695618559</v>
      </c>
      <c r="AC356" s="27">
        <f t="shared" si="87"/>
        <v>0.42906142963568294</v>
      </c>
      <c r="AD356" s="27">
        <f t="shared" si="87"/>
        <v>0.43743347438516689</v>
      </c>
      <c r="AE356" s="27">
        <f t="shared" si="87"/>
        <v>0.44718290108725961</v>
      </c>
      <c r="AF356" s="27">
        <f t="shared" si="87"/>
        <v>0.45765280094933275</v>
      </c>
      <c r="AG356" s="27">
        <f t="shared" si="87"/>
        <v>0.46964954754544574</v>
      </c>
      <c r="AH356" s="27">
        <f t="shared" si="87"/>
        <v>0.47956610826401264</v>
      </c>
      <c r="AI356" s="27">
        <f t="shared" si="87"/>
        <v>0.48905427439468169</v>
      </c>
      <c r="AJ356" s="27">
        <f t="shared" si="87"/>
        <v>0.49936104134598547</v>
      </c>
      <c r="AK356" s="27">
        <f t="shared" si="87"/>
        <v>0.5094502425603159</v>
      </c>
      <c r="AL356" s="27">
        <f t="shared" si="87"/>
        <v>0.52003660978561117</v>
      </c>
      <c r="AM356" s="27">
        <f t="shared" si="87"/>
        <v>0.53075624094362661</v>
      </c>
      <c r="AN356" s="27">
        <f t="shared" si="87"/>
        <v>0.54254535314858965</v>
      </c>
      <c r="AO356" s="27">
        <f t="shared" si="87"/>
        <v>0.55401935597193963</v>
      </c>
      <c r="AP356" s="27">
        <f t="shared" si="87"/>
        <v>0.56573487647354037</v>
      </c>
      <c r="AQ356" s="27">
        <f t="shared" si="87"/>
        <v>0.57784177154062866</v>
      </c>
      <c r="AR356" s="27">
        <f t="shared" si="87"/>
        <v>0.59040171392478091</v>
      </c>
      <c r="AS356" s="27">
        <f t="shared" si="87"/>
        <v>0.60432458622346374</v>
      </c>
      <c r="AT356" s="27">
        <f t="shared" si="87"/>
        <v>0.61453867581789445</v>
      </c>
      <c r="AU356" s="27">
        <f t="shared" si="87"/>
        <v>0.62457515677108666</v>
      </c>
      <c r="AV356" s="27">
        <f t="shared" si="87"/>
        <v>0.63484544126508857</v>
      </c>
      <c r="AW356" s="27">
        <f t="shared" si="87"/>
        <v>0.64517661361237144</v>
      </c>
      <c r="AY356" s="79"/>
    </row>
    <row r="357" spans="1:51" x14ac:dyDescent="0.2">
      <c r="A357" s="95" t="str">
        <f t="shared" si="71"/>
        <v>GS Poultry MMN2O</v>
      </c>
      <c r="B357" s="95" t="s">
        <v>1021</v>
      </c>
      <c r="C357" s="95" t="s">
        <v>1234</v>
      </c>
      <c r="D357" t="s">
        <v>15</v>
      </c>
      <c r="E357" t="s">
        <v>657</v>
      </c>
      <c r="F357" t="s">
        <v>28</v>
      </c>
      <c r="G357" t="s">
        <v>132</v>
      </c>
      <c r="H357" t="s">
        <v>1227</v>
      </c>
      <c r="I357" t="s">
        <v>139</v>
      </c>
      <c r="J357" t="s">
        <v>287</v>
      </c>
      <c r="K357" s="27">
        <f t="shared" si="83"/>
        <v>1.7017151675634961</v>
      </c>
      <c r="L357" s="27">
        <f t="shared" si="87"/>
        <v>1.7241237147327644</v>
      </c>
      <c r="M357" s="27">
        <f t="shared" si="87"/>
        <v>1.7601182693498112</v>
      </c>
      <c r="N357" s="27">
        <f t="shared" si="87"/>
        <v>1.7704533576020511</v>
      </c>
      <c r="O357" s="27">
        <f t="shared" si="87"/>
        <v>1.7641159598844758</v>
      </c>
      <c r="P357" s="27">
        <f t="shared" si="87"/>
        <v>1.7411735022142167</v>
      </c>
      <c r="Q357" s="27">
        <f t="shared" si="87"/>
        <v>1.7315152516158574</v>
      </c>
      <c r="R357" s="27">
        <f t="shared" si="87"/>
        <v>1.7240481490859678</v>
      </c>
      <c r="S357" s="27">
        <f t="shared" si="87"/>
        <v>1.4738757031674365</v>
      </c>
      <c r="T357" s="27">
        <f t="shared" si="87"/>
        <v>1.5388372787954712</v>
      </c>
      <c r="U357" s="27">
        <f t="shared" si="87"/>
        <v>1.5836036619864218</v>
      </c>
      <c r="V357" s="27">
        <f t="shared" si="87"/>
        <v>1.6233328828738469</v>
      </c>
      <c r="W357" s="27">
        <f t="shared" si="87"/>
        <v>1.6722487915194271</v>
      </c>
      <c r="X357" s="27">
        <f t="shared" si="87"/>
        <v>1.7166486312949987</v>
      </c>
      <c r="Y357" s="27">
        <f t="shared" si="87"/>
        <v>1.7558377432347874</v>
      </c>
      <c r="Z357" s="27">
        <f t="shared" si="87"/>
        <v>1.7922488857917309</v>
      </c>
      <c r="AA357" s="27">
        <f t="shared" si="87"/>
        <v>1.8246587141077992</v>
      </c>
      <c r="AB357" s="27">
        <f t="shared" si="87"/>
        <v>1.8721447091119181</v>
      </c>
      <c r="AC357" s="27">
        <f t="shared" si="87"/>
        <v>1.9182061569635991</v>
      </c>
      <c r="AD357" s="27">
        <f t="shared" si="87"/>
        <v>1.9720971341440943</v>
      </c>
      <c r="AE357" s="27">
        <f t="shared" si="87"/>
        <v>2.0407669485031263</v>
      </c>
      <c r="AF357" s="27">
        <f t="shared" si="87"/>
        <v>2.1165368943229095</v>
      </c>
      <c r="AG357" s="27">
        <f t="shared" si="87"/>
        <v>2.2082604288024275</v>
      </c>
      <c r="AH357" s="27">
        <f t="shared" si="87"/>
        <v>2.275680198252084</v>
      </c>
      <c r="AI357" s="27">
        <f t="shared" si="87"/>
        <v>2.3413904736766207</v>
      </c>
      <c r="AJ357" s="27">
        <f t="shared" si="87"/>
        <v>2.415218944506448</v>
      </c>
      <c r="AK357" s="27">
        <f t="shared" si="87"/>
        <v>2.4857625444009255</v>
      </c>
      <c r="AL357" s="27">
        <f t="shared" si="87"/>
        <v>2.5608054567251783</v>
      </c>
      <c r="AM357" s="27">
        <f t="shared" si="87"/>
        <v>2.6363672729917886</v>
      </c>
      <c r="AN357" s="27">
        <f t="shared" si="87"/>
        <v>2.7260471010137848</v>
      </c>
      <c r="AO357" s="27">
        <f t="shared" si="87"/>
        <v>2.8113754255419443</v>
      </c>
      <c r="AP357" s="27">
        <f t="shared" si="87"/>
        <v>2.8983044964731111</v>
      </c>
      <c r="AQ357" s="27">
        <f t="shared" si="87"/>
        <v>2.9883855152257053</v>
      </c>
      <c r="AR357" s="27">
        <f t="shared" si="87"/>
        <v>3.0822159477018669</v>
      </c>
      <c r="AS357" s="27">
        <f t="shared" si="87"/>
        <v>3.1927841339465477</v>
      </c>
      <c r="AT357" s="27">
        <f t="shared" si="87"/>
        <v>3.2639921874822613</v>
      </c>
      <c r="AU357" s="27">
        <f t="shared" si="87"/>
        <v>3.3326892535191242</v>
      </c>
      <c r="AV357" s="27">
        <f t="shared" ref="L357:AW359" si="88">AV1426</f>
        <v>3.4031153641230509</v>
      </c>
      <c r="AW357" s="27">
        <f t="shared" si="88"/>
        <v>3.4734928434212469</v>
      </c>
      <c r="AY357" s="79"/>
    </row>
    <row r="358" spans="1:51" x14ac:dyDescent="0.2">
      <c r="A358" s="95" t="str">
        <f t="shared" si="71"/>
        <v>GS Poultry MMN2O</v>
      </c>
      <c r="B358" s="95" t="s">
        <v>1021</v>
      </c>
      <c r="C358" s="95" t="s">
        <v>1234</v>
      </c>
      <c r="D358" t="s">
        <v>15</v>
      </c>
      <c r="E358" t="s">
        <v>657</v>
      </c>
      <c r="F358" t="s">
        <v>28</v>
      </c>
      <c r="G358" t="s">
        <v>134</v>
      </c>
      <c r="H358" t="s">
        <v>1227</v>
      </c>
      <c r="I358" t="s">
        <v>139</v>
      </c>
      <c r="J358" t="s">
        <v>287</v>
      </c>
      <c r="K358" s="27">
        <f t="shared" si="83"/>
        <v>1.3660093635870424E-2</v>
      </c>
      <c r="L358" s="27">
        <f t="shared" si="88"/>
        <v>1.3937830420255738E-2</v>
      </c>
      <c r="M358" s="27">
        <f t="shared" si="88"/>
        <v>1.4262478398481276E-2</v>
      </c>
      <c r="N358" s="27">
        <f t="shared" si="88"/>
        <v>1.4511718638084306E-2</v>
      </c>
      <c r="O358" s="27">
        <f t="shared" si="88"/>
        <v>1.4711795979713135E-2</v>
      </c>
      <c r="P358" s="27">
        <f t="shared" si="88"/>
        <v>1.4861520550190493E-2</v>
      </c>
      <c r="Q358" s="27">
        <f t="shared" si="88"/>
        <v>1.5053508778373347E-2</v>
      </c>
      <c r="R358" s="27">
        <f t="shared" si="88"/>
        <v>1.5253123389732504E-2</v>
      </c>
      <c r="S358" s="27">
        <f t="shared" si="88"/>
        <v>1.4642993018057613E-2</v>
      </c>
      <c r="T358" s="27">
        <f t="shared" si="88"/>
        <v>1.5031368863560678E-2</v>
      </c>
      <c r="U358" s="27">
        <f t="shared" si="88"/>
        <v>1.5355429874430639E-2</v>
      </c>
      <c r="V358" s="27">
        <f t="shared" si="88"/>
        <v>1.5665318181989931E-2</v>
      </c>
      <c r="W358" s="27">
        <f t="shared" si="88"/>
        <v>1.6009846282212959E-2</v>
      </c>
      <c r="X358" s="27">
        <f t="shared" si="88"/>
        <v>1.6341971083732341E-2</v>
      </c>
      <c r="Y358" s="27">
        <f t="shared" si="88"/>
        <v>1.6640178557340561E-2</v>
      </c>
      <c r="Z358" s="27">
        <f t="shared" si="88"/>
        <v>1.693093443271531E-2</v>
      </c>
      <c r="AA358" s="27">
        <f t="shared" si="88"/>
        <v>1.7209632642022729E-2</v>
      </c>
      <c r="AB358" s="27">
        <f t="shared" si="88"/>
        <v>1.7544744873174416E-2</v>
      </c>
      <c r="AC358" s="27">
        <f t="shared" si="88"/>
        <v>1.7877559568153477E-2</v>
      </c>
      <c r="AD358" s="27">
        <f t="shared" si="88"/>
        <v>1.8226394766048638E-2</v>
      </c>
      <c r="AE358" s="27">
        <f t="shared" si="88"/>
        <v>1.8632620878635837E-2</v>
      </c>
      <c r="AF358" s="27">
        <f t="shared" si="88"/>
        <v>1.906886670622222E-2</v>
      </c>
      <c r="AG358" s="27">
        <f t="shared" si="88"/>
        <v>1.9568731147726923E-2</v>
      </c>
      <c r="AH358" s="27">
        <f t="shared" si="88"/>
        <v>1.9981921177667211E-2</v>
      </c>
      <c r="AI358" s="27">
        <f t="shared" si="88"/>
        <v>2.0377261433111755E-2</v>
      </c>
      <c r="AJ358" s="27">
        <f t="shared" si="88"/>
        <v>2.0806710056082745E-2</v>
      </c>
      <c r="AK358" s="27">
        <f t="shared" si="88"/>
        <v>2.1227093440013181E-2</v>
      </c>
      <c r="AL358" s="27">
        <f t="shared" si="88"/>
        <v>2.1668192074400485E-2</v>
      </c>
      <c r="AM358" s="27">
        <f t="shared" si="88"/>
        <v>2.2114843372651131E-2</v>
      </c>
      <c r="AN358" s="27">
        <f t="shared" si="88"/>
        <v>2.2606056381191265E-2</v>
      </c>
      <c r="AO358" s="27">
        <f t="shared" si="88"/>
        <v>2.3084139832164171E-2</v>
      </c>
      <c r="AP358" s="27">
        <f t="shared" si="88"/>
        <v>2.3572286519730874E-2</v>
      </c>
      <c r="AQ358" s="27">
        <f t="shared" si="88"/>
        <v>2.4076740480859553E-2</v>
      </c>
      <c r="AR358" s="27">
        <f t="shared" si="88"/>
        <v>2.4600071413532563E-2</v>
      </c>
      <c r="AS358" s="27">
        <f t="shared" si="88"/>
        <v>2.5180191092644345E-2</v>
      </c>
      <c r="AT358" s="27">
        <f t="shared" si="88"/>
        <v>2.5605778159078961E-2</v>
      </c>
      <c r="AU358" s="27">
        <f t="shared" si="88"/>
        <v>2.6023964865461973E-2</v>
      </c>
      <c r="AV358" s="27">
        <f t="shared" si="88"/>
        <v>2.6451893386045391E-2</v>
      </c>
      <c r="AW358" s="27">
        <f t="shared" si="88"/>
        <v>2.6882358900515501E-2</v>
      </c>
      <c r="AY358" s="79"/>
    </row>
    <row r="359" spans="1:51" x14ac:dyDescent="0.2">
      <c r="A359" s="95" t="str">
        <f t="shared" si="71"/>
        <v>GS Poultry MMN2O</v>
      </c>
      <c r="B359" s="95" t="s">
        <v>1021</v>
      </c>
      <c r="C359" s="95" t="s">
        <v>1234</v>
      </c>
      <c r="D359" t="s">
        <v>15</v>
      </c>
      <c r="E359" t="s">
        <v>657</v>
      </c>
      <c r="F359" t="s">
        <v>28</v>
      </c>
      <c r="G359" t="s">
        <v>133</v>
      </c>
      <c r="H359" t="s">
        <v>1227</v>
      </c>
      <c r="I359" t="s">
        <v>139</v>
      </c>
      <c r="J359" t="s">
        <v>287</v>
      </c>
      <c r="K359" s="27">
        <f t="shared" si="83"/>
        <v>7.0904798648479067E-2</v>
      </c>
      <c r="L359" s="27">
        <f t="shared" si="88"/>
        <v>7.1838488113865256E-2</v>
      </c>
      <c r="M359" s="27">
        <f t="shared" si="88"/>
        <v>7.333826122290886E-2</v>
      </c>
      <c r="N359" s="27">
        <f t="shared" si="88"/>
        <v>7.3768889900085552E-2</v>
      </c>
      <c r="O359" s="27">
        <f t="shared" si="88"/>
        <v>7.3504831661853232E-2</v>
      </c>
      <c r="P359" s="27">
        <f t="shared" si="88"/>
        <v>7.2548895925592424E-2</v>
      </c>
      <c r="Q359" s="27">
        <f t="shared" si="88"/>
        <v>7.2146468817327461E-2</v>
      </c>
      <c r="R359" s="27">
        <f t="shared" si="88"/>
        <v>7.1835339545248733E-2</v>
      </c>
      <c r="S359" s="27">
        <f t="shared" si="88"/>
        <v>6.1411487631976583E-2</v>
      </c>
      <c r="T359" s="27">
        <f t="shared" si="88"/>
        <v>6.4118219949811373E-2</v>
      </c>
      <c r="U359" s="27">
        <f t="shared" si="88"/>
        <v>6.5983485916100967E-2</v>
      </c>
      <c r="V359" s="27">
        <f t="shared" si="88"/>
        <v>6.7638870119743691E-2</v>
      </c>
      <c r="W359" s="27">
        <f t="shared" si="88"/>
        <v>6.9677032979976197E-2</v>
      </c>
      <c r="X359" s="27">
        <f t="shared" si="88"/>
        <v>7.1527026303958338E-2</v>
      </c>
      <c r="Y359" s="27">
        <f t="shared" si="88"/>
        <v>7.3159905968116196E-2</v>
      </c>
      <c r="Z359" s="27">
        <f t="shared" si="88"/>
        <v>7.4677036907988839E-2</v>
      </c>
      <c r="AA359" s="27">
        <f t="shared" si="88"/>
        <v>7.6027446421158371E-2</v>
      </c>
      <c r="AB359" s="27">
        <f t="shared" si="88"/>
        <v>7.8006029546329986E-2</v>
      </c>
      <c r="AC359" s="27">
        <f t="shared" si="88"/>
        <v>7.9925256540150022E-2</v>
      </c>
      <c r="AD359" s="27">
        <f t="shared" si="88"/>
        <v>8.2170713922670655E-2</v>
      </c>
      <c r="AE359" s="27">
        <f t="shared" si="88"/>
        <v>8.5031956187630361E-2</v>
      </c>
      <c r="AF359" s="27">
        <f t="shared" si="88"/>
        <v>8.8189037263454617E-2</v>
      </c>
      <c r="AG359" s="27">
        <f t="shared" si="88"/>
        <v>9.2010851200101232E-2</v>
      </c>
      <c r="AH359" s="27">
        <f t="shared" si="88"/>
        <v>9.4820008260503588E-2</v>
      </c>
      <c r="AI359" s="27">
        <f t="shared" si="88"/>
        <v>9.755793640319263E-2</v>
      </c>
      <c r="AJ359" s="27">
        <f t="shared" si="88"/>
        <v>0.10063412268776877</v>
      </c>
      <c r="AK359" s="27">
        <f t="shared" si="88"/>
        <v>0.10357343935003867</v>
      </c>
      <c r="AL359" s="27">
        <f t="shared" si="88"/>
        <v>0.10670022736354919</v>
      </c>
      <c r="AM359" s="27">
        <f t="shared" si="88"/>
        <v>0.10984863637465794</v>
      </c>
      <c r="AN359" s="27">
        <f t="shared" si="88"/>
        <v>0.11358529587557446</v>
      </c>
      <c r="AO359" s="27">
        <f t="shared" si="88"/>
        <v>0.11714064273091444</v>
      </c>
      <c r="AP359" s="27">
        <f t="shared" si="88"/>
        <v>0.12076268735304639</v>
      </c>
      <c r="AQ359" s="27">
        <f t="shared" si="88"/>
        <v>0.12451606313440448</v>
      </c>
      <c r="AR359" s="27">
        <f t="shared" si="88"/>
        <v>0.12842566448757792</v>
      </c>
      <c r="AS359" s="27">
        <f t="shared" si="88"/>
        <v>0.1330326722477729</v>
      </c>
      <c r="AT359" s="27">
        <f t="shared" si="88"/>
        <v>0.1359996744784277</v>
      </c>
      <c r="AU359" s="27">
        <f t="shared" si="88"/>
        <v>0.13886205222996365</v>
      </c>
      <c r="AV359" s="27">
        <f t="shared" si="88"/>
        <v>0.14179647350512722</v>
      </c>
      <c r="AW359" s="27">
        <f t="shared" si="88"/>
        <v>0.14472886847588542</v>
      </c>
      <c r="AY359" s="79"/>
    </row>
    <row r="360" spans="1:51" x14ac:dyDescent="0.2">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6.60388696259374</v>
      </c>
      <c r="U360" s="22">
        <f t="shared" si="89"/>
        <v>6.6020342469478921</v>
      </c>
      <c r="V360" s="22">
        <f t="shared" si="89"/>
        <v>6.6005840725031204</v>
      </c>
      <c r="W360" s="22">
        <f t="shared" si="89"/>
        <v>6.5992416571177221</v>
      </c>
      <c r="X360" s="22">
        <f t="shared" si="89"/>
        <v>6.5977411232427086</v>
      </c>
      <c r="Y360" s="22">
        <f t="shared" si="89"/>
        <v>6.5963380636148372</v>
      </c>
      <c r="Z360" s="22">
        <f t="shared" si="89"/>
        <v>6.5950885900535399</v>
      </c>
      <c r="AA360" s="22">
        <f t="shared" si="89"/>
        <v>6.593899664910774</v>
      </c>
      <c r="AB360" s="22">
        <f t="shared" si="89"/>
        <v>6.5927919026350441</v>
      </c>
      <c r="AC360" s="22">
        <f t="shared" si="89"/>
        <v>6.5914248070564794</v>
      </c>
      <c r="AD360" s="22">
        <f t="shared" si="89"/>
        <v>6.5900953819081538</v>
      </c>
      <c r="AE360" s="22">
        <f t="shared" si="89"/>
        <v>6.5886770470789005</v>
      </c>
      <c r="AF360" s="22">
        <f t="shared" si="89"/>
        <v>6.5870194021035937</v>
      </c>
      <c r="AG360" s="22">
        <f t="shared" si="89"/>
        <v>6.5852622329414547</v>
      </c>
      <c r="AH360" s="22">
        <f t="shared" si="89"/>
        <v>6.5832642389355076</v>
      </c>
      <c r="AI360" s="22">
        <f t="shared" si="89"/>
        <v>6.5816933184770097</v>
      </c>
      <c r="AJ360" s="22">
        <f t="shared" si="89"/>
        <v>6.5801985919199808</v>
      </c>
      <c r="AK360" s="22">
        <f t="shared" si="89"/>
        <v>6.5785915117586082</v>
      </c>
      <c r="AL360" s="22">
        <f t="shared" si="89"/>
        <v>6.5770555695996213</v>
      </c>
      <c r="AM360" s="22">
        <f t="shared" si="89"/>
        <v>6.5754680730045454</v>
      </c>
      <c r="AN360" s="22">
        <f t="shared" si="89"/>
        <v>6.5738921443316158</v>
      </c>
      <c r="AO360" s="22">
        <f t="shared" si="89"/>
        <v>6.5721499435540869</v>
      </c>
      <c r="AP360" s="22">
        <f t="shared" si="89"/>
        <v>6.5704963238558332</v>
      </c>
      <c r="AQ360" s="22">
        <f t="shared" si="89"/>
        <v>6.5688413494168394</v>
      </c>
      <c r="AR360" s="22">
        <f t="shared" si="89"/>
        <v>6.5671634182939496</v>
      </c>
      <c r="AS360" s="22">
        <f t="shared" si="89"/>
        <v>6.5654557216665381</v>
      </c>
      <c r="AT360" s="22">
        <f t="shared" si="89"/>
        <v>6.5635649622881891</v>
      </c>
      <c r="AU360" s="22">
        <f t="shared" si="89"/>
        <v>6.5622389108641883</v>
      </c>
      <c r="AV360" s="22">
        <f t="shared" si="89"/>
        <v>6.560960344070546</v>
      </c>
      <c r="AW360" s="22">
        <f t="shared" si="89"/>
        <v>6.5596714127254918</v>
      </c>
      <c r="AY360" s="79"/>
    </row>
    <row r="361" spans="1:51" x14ac:dyDescent="0.2">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4.358565395311869E-2</v>
      </c>
      <c r="U361" s="22">
        <f t="shared" si="90"/>
        <v>4.3573426029856095E-2</v>
      </c>
      <c r="V361" s="22">
        <f t="shared" si="90"/>
        <v>4.3563854878520596E-2</v>
      </c>
      <c r="W361" s="22">
        <f t="shared" si="90"/>
        <v>4.3554994936976968E-2</v>
      </c>
      <c r="X361" s="22">
        <f t="shared" si="90"/>
        <v>4.354509141340189E-2</v>
      </c>
      <c r="Y361" s="22">
        <f t="shared" si="90"/>
        <v>4.3535831219857934E-2</v>
      </c>
      <c r="Z361" s="22">
        <f t="shared" si="90"/>
        <v>4.3527584694353361E-2</v>
      </c>
      <c r="AA361" s="22">
        <f t="shared" si="89"/>
        <v>4.3519737788411117E-2</v>
      </c>
      <c r="AB361" s="22">
        <f t="shared" si="89"/>
        <v>4.35124265573913E-2</v>
      </c>
      <c r="AC361" s="22">
        <f t="shared" si="89"/>
        <v>4.350340372657277E-2</v>
      </c>
      <c r="AD361" s="22">
        <f t="shared" si="89"/>
        <v>4.3494629520593811E-2</v>
      </c>
      <c r="AE361" s="22">
        <f t="shared" si="89"/>
        <v>4.3485268510720758E-2</v>
      </c>
      <c r="AF361" s="22">
        <f t="shared" si="89"/>
        <v>4.347432805388373E-2</v>
      </c>
      <c r="AG361" s="22">
        <f t="shared" si="89"/>
        <v>4.3462730737413614E-2</v>
      </c>
      <c r="AH361" s="22">
        <f t="shared" si="89"/>
        <v>4.3449543976974349E-2</v>
      </c>
      <c r="AI361" s="22">
        <f t="shared" si="89"/>
        <v>4.343917590194827E-2</v>
      </c>
      <c r="AJ361" s="22">
        <f t="shared" si="89"/>
        <v>4.3429310706671886E-2</v>
      </c>
      <c r="AK361" s="22">
        <f t="shared" si="89"/>
        <v>4.3418703977606825E-2</v>
      </c>
      <c r="AL361" s="22">
        <f t="shared" si="89"/>
        <v>4.340856675935751E-2</v>
      </c>
      <c r="AM361" s="22">
        <f t="shared" si="89"/>
        <v>4.3398089281830012E-2</v>
      </c>
      <c r="AN361" s="22">
        <f t="shared" si="89"/>
        <v>4.3387688152588685E-2</v>
      </c>
      <c r="AO361" s="22">
        <f t="shared" si="89"/>
        <v>4.3376189627456985E-2</v>
      </c>
      <c r="AP361" s="22">
        <f t="shared" si="89"/>
        <v>4.3365275737448507E-2</v>
      </c>
      <c r="AQ361" s="22">
        <f t="shared" si="89"/>
        <v>4.3354352906151139E-2</v>
      </c>
      <c r="AR361" s="22">
        <f t="shared" si="89"/>
        <v>4.3343278560740071E-2</v>
      </c>
      <c r="AS361" s="22">
        <f t="shared" si="89"/>
        <v>4.3332007762999163E-2</v>
      </c>
      <c r="AT361" s="22">
        <f t="shared" si="89"/>
        <v>4.3319528751102059E-2</v>
      </c>
      <c r="AU361" s="22">
        <f t="shared" si="89"/>
        <v>4.3310776811703651E-2</v>
      </c>
      <c r="AV361" s="22">
        <f t="shared" si="89"/>
        <v>4.3302338270865603E-2</v>
      </c>
      <c r="AW361" s="22">
        <f t="shared" si="89"/>
        <v>4.3293831323988244E-2</v>
      </c>
      <c r="AY361" s="79"/>
    </row>
    <row r="362" spans="1:51" x14ac:dyDescent="0.2">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2.968676648093143</v>
      </c>
      <c r="U362" s="22">
        <f t="shared" si="89"/>
        <v>2.9825082583829583</v>
      </c>
      <c r="V362" s="22">
        <f t="shared" si="89"/>
        <v>2.9933346622173946</v>
      </c>
      <c r="W362" s="22">
        <f t="shared" si="89"/>
        <v>3.0033565813928953</v>
      </c>
      <c r="X362" s="22">
        <f t="shared" si="89"/>
        <v>3.0145589479472883</v>
      </c>
      <c r="Y362" s="22">
        <f t="shared" si="89"/>
        <v>3.0250336120057435</v>
      </c>
      <c r="Z362" s="22">
        <f t="shared" si="89"/>
        <v>3.0343616658849326</v>
      </c>
      <c r="AA362" s="22">
        <f t="shared" si="89"/>
        <v>3.0432376902631781</v>
      </c>
      <c r="AB362" s="22">
        <f t="shared" si="89"/>
        <v>3.0515077861767024</v>
      </c>
      <c r="AC362" s="22">
        <f t="shared" si="89"/>
        <v>3.0617139574874526</v>
      </c>
      <c r="AD362" s="22">
        <f t="shared" si="89"/>
        <v>3.0716388969147959</v>
      </c>
      <c r="AE362" s="22">
        <f t="shared" si="89"/>
        <v>3.0822275993217993</v>
      </c>
      <c r="AF362" s="22">
        <f t="shared" si="89"/>
        <v>3.0946028925022198</v>
      </c>
      <c r="AG362" s="22">
        <f t="shared" si="89"/>
        <v>3.1077211921821801</v>
      </c>
      <c r="AH362" s="22">
        <f t="shared" si="89"/>
        <v>3.122637390743785</v>
      </c>
      <c r="AI362" s="22">
        <f t="shared" si="89"/>
        <v>3.1343652344778912</v>
      </c>
      <c r="AJ362" s="22">
        <f t="shared" si="89"/>
        <v>3.1455242459932262</v>
      </c>
      <c r="AK362" s="22">
        <f t="shared" si="89"/>
        <v>3.1575220431438074</v>
      </c>
      <c r="AL362" s="22">
        <f t="shared" si="89"/>
        <v>3.1689887533313184</v>
      </c>
      <c r="AM362" s="22">
        <f t="shared" si="89"/>
        <v>3.1808403476591942</v>
      </c>
      <c r="AN362" s="22">
        <f t="shared" si="89"/>
        <v>3.1926055806550666</v>
      </c>
      <c r="AO362" s="22">
        <f t="shared" si="89"/>
        <v>3.2056121325538434</v>
      </c>
      <c r="AP362" s="22">
        <f t="shared" si="89"/>
        <v>3.217957374677253</v>
      </c>
      <c r="AQ362" s="22">
        <f t="shared" si="89"/>
        <v>3.2303127307358399</v>
      </c>
      <c r="AR362" s="22">
        <f t="shared" si="89"/>
        <v>3.24283947192085</v>
      </c>
      <c r="AS362" s="22">
        <f t="shared" si="89"/>
        <v>3.2555884300766866</v>
      </c>
      <c r="AT362" s="22">
        <f t="shared" si="89"/>
        <v>3.2697040591705311</v>
      </c>
      <c r="AU362" s="22">
        <f t="shared" si="89"/>
        <v>3.2796038117645905</v>
      </c>
      <c r="AV362" s="22">
        <f t="shared" si="89"/>
        <v>3.2891490637080194</v>
      </c>
      <c r="AW362" s="22">
        <f t="shared" si="89"/>
        <v>3.2987716931142437</v>
      </c>
      <c r="AY362" s="79"/>
    </row>
    <row r="363" spans="1:51" x14ac:dyDescent="0.2">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0.32056321299147922</v>
      </c>
      <c r="M363" s="22">
        <f t="shared" si="89"/>
        <v>0.32309177745176459</v>
      </c>
      <c r="N363" s="22">
        <f t="shared" si="89"/>
        <v>0.32471664946511047</v>
      </c>
      <c r="O363" s="22">
        <f t="shared" si="89"/>
        <v>0.32579638434951891</v>
      </c>
      <c r="P363" s="22">
        <f t="shared" si="89"/>
        <v>0.32632035510276458</v>
      </c>
      <c r="Q363" s="22">
        <f t="shared" si="89"/>
        <v>0.32747800149861978</v>
      </c>
      <c r="R363" s="22">
        <f t="shared" si="89"/>
        <v>0.32880601635823298</v>
      </c>
      <c r="S363" s="22">
        <f t="shared" si="89"/>
        <v>0.31980488008437191</v>
      </c>
      <c r="T363" s="22">
        <f t="shared" si="89"/>
        <v>0.32348013385904834</v>
      </c>
      <c r="U363" s="22">
        <f t="shared" si="89"/>
        <v>0.3263600829079687</v>
      </c>
      <c r="V363" s="22">
        <f t="shared" si="89"/>
        <v>0.32908851818149565</v>
      </c>
      <c r="W363" s="22">
        <f t="shared" si="89"/>
        <v>0.33227832556349268</v>
      </c>
      <c r="X363" s="22">
        <f t="shared" si="89"/>
        <v>0.33533311826905887</v>
      </c>
      <c r="Y363" s="22">
        <f t="shared" si="89"/>
        <v>0.33789515194056902</v>
      </c>
      <c r="Z363" s="22">
        <f t="shared" si="89"/>
        <v>0.34038602610303131</v>
      </c>
      <c r="AA363" s="22">
        <f t="shared" si="89"/>
        <v>0.34274865356811024</v>
      </c>
      <c r="AB363" s="22">
        <f t="shared" si="89"/>
        <v>0.34582201192682688</v>
      </c>
      <c r="AC363" s="22">
        <f t="shared" si="89"/>
        <v>0.34887956660233338</v>
      </c>
      <c r="AD363" s="22">
        <f t="shared" si="89"/>
        <v>0.35206948034993701</v>
      </c>
      <c r="AE363" s="22">
        <f t="shared" si="89"/>
        <v>0.3559611034908382</v>
      </c>
      <c r="AF363" s="22">
        <f t="shared" si="89"/>
        <v>0.36021553712523996</v>
      </c>
      <c r="AG363" s="22">
        <f t="shared" si="89"/>
        <v>0.36523063944756523</v>
      </c>
      <c r="AH363" s="22">
        <f t="shared" si="89"/>
        <v>0.36920261310751928</v>
      </c>
      <c r="AI363" s="22">
        <f t="shared" si="89"/>
        <v>0.3728925335928876</v>
      </c>
      <c r="AJ363" s="22">
        <f t="shared" si="89"/>
        <v>0.37698699496053195</v>
      </c>
      <c r="AK363" s="22">
        <f t="shared" si="89"/>
        <v>0.38097151646383681</v>
      </c>
      <c r="AL363" s="22">
        <f t="shared" si="89"/>
        <v>0.38519729456570295</v>
      </c>
      <c r="AM363" s="22">
        <f t="shared" si="89"/>
        <v>0.38948381880632194</v>
      </c>
      <c r="AN363" s="22">
        <f t="shared" si="89"/>
        <v>0.3942210595490877</v>
      </c>
      <c r="AO363" s="22">
        <f t="shared" si="89"/>
        <v>0.39879649772923048</v>
      </c>
      <c r="AP363" s="22">
        <f t="shared" si="89"/>
        <v>0.40348070497447158</v>
      </c>
      <c r="AQ363" s="22">
        <f t="shared" si="89"/>
        <v>0.40834470639522963</v>
      </c>
      <c r="AR363" s="22">
        <f t="shared" si="89"/>
        <v>0.41341630943614366</v>
      </c>
      <c r="AS363" s="22">
        <f t="shared" si="89"/>
        <v>0.41906350167167566</v>
      </c>
      <c r="AT363" s="22">
        <f t="shared" si="89"/>
        <v>0.42292582986675353</v>
      </c>
      <c r="AU363" s="22">
        <f t="shared" si="89"/>
        <v>0.42669932950648143</v>
      </c>
      <c r="AV363" s="22">
        <f t="shared" si="89"/>
        <v>0.43057975647849034</v>
      </c>
      <c r="AW363" s="22">
        <f t="shared" si="89"/>
        <v>0.43448428362104141</v>
      </c>
      <c r="AY363" s="79"/>
    </row>
    <row r="364" spans="1:51" x14ac:dyDescent="0.2">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0.93731746283627526</v>
      </c>
      <c r="M364" s="22">
        <f t="shared" si="89"/>
        <v>0.94471091139331731</v>
      </c>
      <c r="N364" s="22">
        <f t="shared" si="89"/>
        <v>0.94946198965576145</v>
      </c>
      <c r="O364" s="22">
        <f t="shared" si="89"/>
        <v>0.95261910289076102</v>
      </c>
      <c r="P364" s="22">
        <f t="shared" si="89"/>
        <v>0.95415117805450056</v>
      </c>
      <c r="Q364" s="22">
        <f t="shared" si="89"/>
        <v>0.95753610227115837</v>
      </c>
      <c r="R364" s="22">
        <f t="shared" si="89"/>
        <v>0.96141917889497119</v>
      </c>
      <c r="S364" s="22">
        <f t="shared" si="89"/>
        <v>0.93510011958643091</v>
      </c>
      <c r="T364" s="22">
        <f t="shared" si="89"/>
        <v>0.94584645417427005</v>
      </c>
      <c r="U364" s="22">
        <f t="shared" si="89"/>
        <v>0.95426734099543964</v>
      </c>
      <c r="V364" s="22">
        <f t="shared" si="89"/>
        <v>0.96224520596699892</v>
      </c>
      <c r="W364" s="22">
        <f t="shared" si="89"/>
        <v>0.97157210949510064</v>
      </c>
      <c r="X364" s="22">
        <f t="shared" si="89"/>
        <v>0.98050423405659315</v>
      </c>
      <c r="Y364" s="22">
        <f t="shared" si="89"/>
        <v>0.98799554560875424</v>
      </c>
      <c r="Z364" s="22">
        <f t="shared" si="89"/>
        <v>0.99527878883687138</v>
      </c>
      <c r="AA364" s="22">
        <f t="shared" si="89"/>
        <v>1.0021870424712456</v>
      </c>
      <c r="AB364" s="22">
        <f t="shared" si="89"/>
        <v>1.011173452459766</v>
      </c>
      <c r="AC364" s="22">
        <f t="shared" si="89"/>
        <v>1.0201136529406156</v>
      </c>
      <c r="AD364" s="22">
        <f t="shared" si="89"/>
        <v>1.0294408674786415</v>
      </c>
      <c r="AE364" s="22">
        <f t="shared" si="89"/>
        <v>1.0408198597675704</v>
      </c>
      <c r="AF364" s="22">
        <f t="shared" si="89"/>
        <v>1.0532596993324077</v>
      </c>
      <c r="AG364" s="22">
        <f t="shared" si="89"/>
        <v>1.0679237119019074</v>
      </c>
      <c r="AH364" s="22">
        <f t="shared" si="89"/>
        <v>1.0795376467594282</v>
      </c>
      <c r="AI364" s="22">
        <f t="shared" si="89"/>
        <v>1.0903268663805361</v>
      </c>
      <c r="AJ364" s="22">
        <f t="shared" si="89"/>
        <v>1.102298951714306</v>
      </c>
      <c r="AK364" s="22">
        <f t="shared" si="89"/>
        <v>1.1139495760989377</v>
      </c>
      <c r="AL364" s="22">
        <f t="shared" si="89"/>
        <v>1.1263056277244112</v>
      </c>
      <c r="AM364" s="22">
        <f t="shared" si="89"/>
        <v>1.1388392992836296</v>
      </c>
      <c r="AN364" s="22">
        <f t="shared" si="89"/>
        <v>1.152690852718028</v>
      </c>
      <c r="AO364" s="22">
        <f t="shared" si="89"/>
        <v>1.1660693001897589</v>
      </c>
      <c r="AP364" s="22">
        <f t="shared" si="89"/>
        <v>1.1797657852278758</v>
      </c>
      <c r="AQ364" s="22">
        <f t="shared" si="89"/>
        <v>1.1939879831787625</v>
      </c>
      <c r="AR364" s="22">
        <f t="shared" si="89"/>
        <v>1.2088172021975669</v>
      </c>
      <c r="AS364" s="22">
        <f t="shared" si="89"/>
        <v>1.225329427193572</v>
      </c>
      <c r="AT364" s="22">
        <f t="shared" si="89"/>
        <v>1.2366227619173775</v>
      </c>
      <c r="AU364" s="22">
        <f t="shared" si="89"/>
        <v>1.2476563645423218</v>
      </c>
      <c r="AV364" s="22">
        <f t="shared" si="89"/>
        <v>1.2590026195607404</v>
      </c>
      <c r="AW364" s="22">
        <f t="shared" si="89"/>
        <v>1.2704193427732338</v>
      </c>
      <c r="AY364" s="79"/>
    </row>
    <row r="365" spans="1:51" x14ac:dyDescent="0.2">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5.0141199304605817E-2</v>
      </c>
      <c r="M365" s="22">
        <f t="shared" si="89"/>
        <v>5.0536707115294892E-2</v>
      </c>
      <c r="N365" s="22">
        <f t="shared" si="89"/>
        <v>5.0790863013925151E-2</v>
      </c>
      <c r="O365" s="22">
        <f t="shared" si="89"/>
        <v>5.0959750770976343E-2</v>
      </c>
      <c r="P365" s="22">
        <f t="shared" si="89"/>
        <v>5.1041708153806091E-2</v>
      </c>
      <c r="Q365" s="22">
        <f t="shared" si="89"/>
        <v>5.122278251388987E-2</v>
      </c>
      <c r="R365" s="22">
        <f t="shared" si="89"/>
        <v>5.1430505218981168E-2</v>
      </c>
      <c r="S365" s="22">
        <f t="shared" si="89"/>
        <v>5.0022583942975041E-2</v>
      </c>
      <c r="T365" s="22">
        <f t="shared" si="89"/>
        <v>5.0597452251447961E-2</v>
      </c>
      <c r="U365" s="22">
        <f t="shared" si="89"/>
        <v>5.1047922216174907E-2</v>
      </c>
      <c r="V365" s="22">
        <f t="shared" si="89"/>
        <v>5.147469300987563E-2</v>
      </c>
      <c r="W365" s="22">
        <f t="shared" si="89"/>
        <v>5.1973629759952025E-2</v>
      </c>
      <c r="X365" s="22">
        <f t="shared" si="89"/>
        <v>5.2451448061230796E-2</v>
      </c>
      <c r="Y365" s="22">
        <f t="shared" si="89"/>
        <v>5.285219099036944E-2</v>
      </c>
      <c r="Z365" s="22">
        <f t="shared" si="89"/>
        <v>5.3241803437341126E-2</v>
      </c>
      <c r="AA365" s="22">
        <f t="shared" si="89"/>
        <v>5.361135605538344E-2</v>
      </c>
      <c r="AB365" s="22">
        <f t="shared" si="89"/>
        <v>5.4092078320926051E-2</v>
      </c>
      <c r="AC365" s="22">
        <f t="shared" si="89"/>
        <v>5.457032863835528E-2</v>
      </c>
      <c r="AD365" s="22">
        <f t="shared" si="89"/>
        <v>5.5069282025709015E-2</v>
      </c>
      <c r="AE365" s="22">
        <f t="shared" si="89"/>
        <v>5.5677993954022266E-2</v>
      </c>
      <c r="AF365" s="22">
        <f t="shared" si="89"/>
        <v>5.634345523013079E-2</v>
      </c>
      <c r="AG365" s="22">
        <f t="shared" si="89"/>
        <v>5.7127897221244069E-2</v>
      </c>
      <c r="AH365" s="22">
        <f t="shared" si="89"/>
        <v>5.774917725228023E-2</v>
      </c>
      <c r="AI365" s="22">
        <f t="shared" si="89"/>
        <v>5.8326339668230698E-2</v>
      </c>
      <c r="AJ365" s="22">
        <f t="shared" si="89"/>
        <v>5.8966778730355766E-2</v>
      </c>
      <c r="AK365" s="22">
        <f t="shared" si="89"/>
        <v>5.9590021444222652E-2</v>
      </c>
      <c r="AL365" s="22">
        <f t="shared" si="89"/>
        <v>6.025100053800389E-2</v>
      </c>
      <c r="AM365" s="22">
        <f t="shared" si="89"/>
        <v>6.0921481296750873E-2</v>
      </c>
      <c r="AN365" s="22">
        <f t="shared" si="89"/>
        <v>6.1662461305093973E-2</v>
      </c>
      <c r="AO365" s="22">
        <f t="shared" si="89"/>
        <v>6.2378132811988125E-2</v>
      </c>
      <c r="AP365" s="22">
        <f t="shared" si="89"/>
        <v>6.3110817535465588E-2</v>
      </c>
      <c r="AQ365" s="22">
        <f t="shared" si="89"/>
        <v>6.3871624935604179E-2</v>
      </c>
      <c r="AR365" s="22">
        <f t="shared" si="89"/>
        <v>6.4664904540257612E-2</v>
      </c>
      <c r="AS365" s="22">
        <f t="shared" si="89"/>
        <v>6.5548215475254884E-2</v>
      </c>
      <c r="AT365" s="22">
        <f t="shared" si="89"/>
        <v>6.6152345206804408E-2</v>
      </c>
      <c r="AU365" s="22">
        <f t="shared" si="89"/>
        <v>6.6742580735534546E-2</v>
      </c>
      <c r="AV365" s="22">
        <f t="shared" si="89"/>
        <v>6.7349541404460839E-2</v>
      </c>
      <c r="AW365" s="22">
        <f t="shared" si="89"/>
        <v>6.7960271724443314E-2</v>
      </c>
      <c r="AY365" s="79"/>
    </row>
    <row r="366" spans="1:51" x14ac:dyDescent="0.2">
      <c r="A366" s="95" t="str">
        <f t="shared" si="71"/>
        <v>GS Organic</v>
      </c>
      <c r="B366" s="95" t="s">
        <v>1021</v>
      </c>
      <c r="C366" s="95" t="s">
        <v>1127</v>
      </c>
      <c r="D366" t="s">
        <v>369</v>
      </c>
      <c r="E366" t="s">
        <v>55</v>
      </c>
      <c r="F366" t="s">
        <v>421</v>
      </c>
      <c r="G366" t="s">
        <v>1158</v>
      </c>
      <c r="H366" t="s">
        <v>1159</v>
      </c>
      <c r="I366" t="s">
        <v>139</v>
      </c>
      <c r="J366" t="s">
        <v>287</v>
      </c>
      <c r="K366" s="22">
        <f t="shared" si="90"/>
        <v>0.3999997899835232</v>
      </c>
      <c r="L366" s="22">
        <f t="shared" si="89"/>
        <v>0.39653071954810204</v>
      </c>
      <c r="M366" s="22">
        <f t="shared" si="89"/>
        <v>0.39521014945095023</v>
      </c>
      <c r="N366" s="22">
        <f t="shared" si="89"/>
        <v>0.38993263522397309</v>
      </c>
      <c r="O366" s="22">
        <f t="shared" si="89"/>
        <v>0.38227219443770111</v>
      </c>
      <c r="P366" s="22">
        <f t="shared" si="89"/>
        <v>0.37238723301511378</v>
      </c>
      <c r="Q366" s="22">
        <f t="shared" si="89"/>
        <v>0.36459067483623875</v>
      </c>
      <c r="R366" s="22">
        <f t="shared" si="89"/>
        <v>0.3572142444544395</v>
      </c>
      <c r="S366" s="22">
        <f t="shared" si="89"/>
        <v>0.31703545795580812</v>
      </c>
      <c r="T366" s="22">
        <f t="shared" si="89"/>
        <v>0.32309971218055339</v>
      </c>
      <c r="U366" s="22">
        <f t="shared" si="89"/>
        <v>0.32634203711003062</v>
      </c>
      <c r="V366" s="22">
        <f t="shared" si="89"/>
        <v>0.32883794885575124</v>
      </c>
      <c r="W366" s="22">
        <f t="shared" si="89"/>
        <v>0.33244914541099557</v>
      </c>
      <c r="X366" s="22">
        <f t="shared" si="89"/>
        <v>0.33537982425623064</v>
      </c>
      <c r="Y366" s="22">
        <f t="shared" si="89"/>
        <v>0.33726910277056216</v>
      </c>
      <c r="Z366" s="22">
        <f t="shared" si="89"/>
        <v>0.33873976472971684</v>
      </c>
      <c r="AA366" s="22">
        <f t="shared" si="89"/>
        <v>0.3396512538265225</v>
      </c>
      <c r="AB366" s="22">
        <f t="shared" si="89"/>
        <v>0.34234961980351264</v>
      </c>
      <c r="AC366" s="22">
        <f t="shared" si="89"/>
        <v>0.34477749763229165</v>
      </c>
      <c r="AD366" s="22">
        <f t="shared" si="89"/>
        <v>0.34490271847402698</v>
      </c>
      <c r="AE366" s="22">
        <f t="shared" si="89"/>
        <v>0.34652917307942177</v>
      </c>
      <c r="AF366" s="22">
        <f t="shared" si="89"/>
        <v>0.34867994569293842</v>
      </c>
      <c r="AG366" s="22">
        <f t="shared" si="89"/>
        <v>0.35229087700726325</v>
      </c>
      <c r="AH366" s="22">
        <f t="shared" si="89"/>
        <v>0.35286760038592668</v>
      </c>
      <c r="AI366" s="22">
        <f t="shared" si="89"/>
        <v>0.35280706113320703</v>
      </c>
      <c r="AJ366" s="22">
        <f t="shared" si="89"/>
        <v>0.35333685278149574</v>
      </c>
      <c r="AK366" s="22">
        <f t="shared" si="89"/>
        <v>0.35323906806904226</v>
      </c>
      <c r="AL366" s="22">
        <f t="shared" si="89"/>
        <v>0.35331388529093138</v>
      </c>
      <c r="AM366" s="22">
        <f t="shared" si="89"/>
        <v>0.35314408948749232</v>
      </c>
      <c r="AN366" s="22">
        <f t="shared" si="89"/>
        <v>0.35567872633842856</v>
      </c>
      <c r="AO366" s="22">
        <f t="shared" si="89"/>
        <v>0.35753295708802146</v>
      </c>
      <c r="AP366" s="22">
        <f t="shared" si="89"/>
        <v>0.35928020343080169</v>
      </c>
      <c r="AQ366" s="22">
        <f t="shared" si="89"/>
        <v>0.36105415112579775</v>
      </c>
      <c r="AR366" s="22">
        <f t="shared" si="89"/>
        <v>0.36289326988326759</v>
      </c>
      <c r="AS366" s="22">
        <f t="shared" si="89"/>
        <v>0.36577537997432297</v>
      </c>
      <c r="AT366" s="22">
        <f t="shared" si="89"/>
        <v>0.36496360671057504</v>
      </c>
      <c r="AU366" s="22">
        <f t="shared" si="89"/>
        <v>0.36374650903258482</v>
      </c>
      <c r="AV366" s="22">
        <f t="shared" si="89"/>
        <v>0.36248592595380585</v>
      </c>
      <c r="AW366" s="22">
        <f t="shared" si="89"/>
        <v>0.36103102436723483</v>
      </c>
      <c r="AY366" s="79"/>
    </row>
    <row r="367" spans="1:51" x14ac:dyDescent="0.2">
      <c r="A367" s="95" t="str">
        <f t="shared" si="71"/>
        <v>GS Organic</v>
      </c>
      <c r="B367" s="95" t="s">
        <v>1021</v>
      </c>
      <c r="C367" s="95" t="s">
        <v>1127</v>
      </c>
      <c r="D367" t="s">
        <v>369</v>
      </c>
      <c r="E367" t="s">
        <v>55</v>
      </c>
      <c r="F367" t="s">
        <v>421</v>
      </c>
      <c r="G367" t="s">
        <v>1160</v>
      </c>
      <c r="H367" t="s">
        <v>1161</v>
      </c>
      <c r="I367" t="s">
        <v>139</v>
      </c>
      <c r="J367" t="s">
        <v>287</v>
      </c>
      <c r="K367" s="22">
        <f t="shared" si="90"/>
        <v>2.6602988559851246</v>
      </c>
      <c r="L367" s="22">
        <f t="shared" si="89"/>
        <v>2.6372269335947092</v>
      </c>
      <c r="M367" s="22">
        <f t="shared" si="89"/>
        <v>2.6284441511866339</v>
      </c>
      <c r="N367" s="22">
        <f t="shared" si="89"/>
        <v>2.5933447201068058</v>
      </c>
      <c r="O367" s="22">
        <f t="shared" si="89"/>
        <v>2.5423970387070205</v>
      </c>
      <c r="P367" s="22">
        <f t="shared" ref="L367:AW373" si="91">P1470</f>
        <v>2.4766546252796311</v>
      </c>
      <c r="Q367" s="22">
        <f t="shared" si="91"/>
        <v>2.4248016610449818</v>
      </c>
      <c r="R367" s="22">
        <f t="shared" si="91"/>
        <v>2.3757428620222045</v>
      </c>
      <c r="S367" s="22">
        <f t="shared" si="91"/>
        <v>2.1085237723282266</v>
      </c>
      <c r="T367" s="22">
        <f t="shared" si="91"/>
        <v>2.1488556149453371</v>
      </c>
      <c r="U367" s="22">
        <f t="shared" si="91"/>
        <v>2.1704195095188212</v>
      </c>
      <c r="V367" s="22">
        <f t="shared" si="91"/>
        <v>2.1870191961387908</v>
      </c>
      <c r="W367" s="22">
        <f t="shared" si="91"/>
        <v>2.211036363910428</v>
      </c>
      <c r="X367" s="22">
        <f t="shared" si="91"/>
        <v>2.2305275780922154</v>
      </c>
      <c r="Y367" s="22">
        <f t="shared" si="91"/>
        <v>2.2430926983652055</v>
      </c>
      <c r="Z367" s="22">
        <f t="shared" si="91"/>
        <v>2.252873704319335</v>
      </c>
      <c r="AA367" s="22">
        <f t="shared" si="91"/>
        <v>2.2589357910058689</v>
      </c>
      <c r="AB367" s="22">
        <f t="shared" si="91"/>
        <v>2.2768819502323812</v>
      </c>
      <c r="AC367" s="22">
        <f t="shared" si="91"/>
        <v>2.2930291602362631</v>
      </c>
      <c r="AD367" s="22">
        <f t="shared" si="91"/>
        <v>2.2938619728285596</v>
      </c>
      <c r="AE367" s="22">
        <f t="shared" si="91"/>
        <v>2.3046791168231131</v>
      </c>
      <c r="AF367" s="22">
        <f t="shared" si="91"/>
        <v>2.3189833691414923</v>
      </c>
      <c r="AG367" s="22">
        <f t="shared" si="91"/>
        <v>2.3429987728619159</v>
      </c>
      <c r="AH367" s="22">
        <f t="shared" si="91"/>
        <v>2.346834416236983</v>
      </c>
      <c r="AI367" s="22">
        <f t="shared" si="91"/>
        <v>2.3464317847637033</v>
      </c>
      <c r="AJ367" s="22">
        <f t="shared" si="91"/>
        <v>2.3499552969033255</v>
      </c>
      <c r="AK367" s="22">
        <f t="shared" si="91"/>
        <v>2.3493049551651861</v>
      </c>
      <c r="AL367" s="22">
        <f t="shared" si="91"/>
        <v>2.3498025458509408</v>
      </c>
      <c r="AM367" s="22">
        <f t="shared" si="91"/>
        <v>2.3486732763039284</v>
      </c>
      <c r="AN367" s="22">
        <f t="shared" si="91"/>
        <v>2.3655305139418807</v>
      </c>
      <c r="AO367" s="22">
        <f t="shared" si="91"/>
        <v>2.3778625402713889</v>
      </c>
      <c r="AP367" s="22">
        <f t="shared" si="91"/>
        <v>2.3894830399896865</v>
      </c>
      <c r="AQ367" s="22">
        <f t="shared" si="91"/>
        <v>2.4012811237431047</v>
      </c>
      <c r="AR367" s="22">
        <f t="shared" si="91"/>
        <v>2.413512643981452</v>
      </c>
      <c r="AS367" s="22">
        <f t="shared" si="91"/>
        <v>2.4326808394906876</v>
      </c>
      <c r="AT367" s="22">
        <f t="shared" si="91"/>
        <v>2.4272819379438721</v>
      </c>
      <c r="AU367" s="22">
        <f t="shared" si="91"/>
        <v>2.4191873247929188</v>
      </c>
      <c r="AV367" s="22">
        <f t="shared" si="91"/>
        <v>2.4108035010851898</v>
      </c>
      <c r="AW367" s="22">
        <f t="shared" si="91"/>
        <v>2.4011273134389794</v>
      </c>
      <c r="AY367" s="79"/>
    </row>
    <row r="368" spans="1:51" x14ac:dyDescent="0.2">
      <c r="A368" s="95" t="str">
        <f t="shared" si="71"/>
        <v>GS Organic</v>
      </c>
      <c r="B368" s="95" t="s">
        <v>1021</v>
      </c>
      <c r="C368" s="95" t="s">
        <v>1127</v>
      </c>
      <c r="D368" t="s">
        <v>369</v>
      </c>
      <c r="E368" t="s">
        <v>55</v>
      </c>
      <c r="F368" t="s">
        <v>421</v>
      </c>
      <c r="G368" t="s">
        <v>1162</v>
      </c>
      <c r="H368" t="s">
        <v>1163</v>
      </c>
      <c r="I368" t="s">
        <v>139</v>
      </c>
      <c r="J368" t="s">
        <v>287</v>
      </c>
      <c r="K368" s="22">
        <f t="shared" si="90"/>
        <v>0.34358078636628736</v>
      </c>
      <c r="L368" s="22">
        <f t="shared" si="91"/>
        <v>0.35516571939691516</v>
      </c>
      <c r="M368" s="22">
        <f t="shared" si="91"/>
        <v>0.36891582276573964</v>
      </c>
      <c r="N368" s="22">
        <f t="shared" si="91"/>
        <v>0.37917034791782095</v>
      </c>
      <c r="O368" s="22">
        <f t="shared" si="91"/>
        <v>0.38707850955818868</v>
      </c>
      <c r="P368" s="22">
        <f t="shared" si="91"/>
        <v>0.39252728601928993</v>
      </c>
      <c r="Q368" s="22">
        <f t="shared" si="91"/>
        <v>0.39996713645364929</v>
      </c>
      <c r="R368" s="22">
        <f t="shared" si="91"/>
        <v>0.40776627193753145</v>
      </c>
      <c r="S368" s="22">
        <f t="shared" si="91"/>
        <v>0.37652794837094722</v>
      </c>
      <c r="T368" s="22">
        <f t="shared" si="91"/>
        <v>0.39297526852441034</v>
      </c>
      <c r="U368" s="22">
        <f t="shared" si="91"/>
        <v>0.40635032563114942</v>
      </c>
      <c r="V368" s="22">
        <f t="shared" si="91"/>
        <v>0.41906397887076929</v>
      </c>
      <c r="W368" s="22">
        <f t="shared" si="91"/>
        <v>0.4334881601814114</v>
      </c>
      <c r="X368" s="22">
        <f t="shared" si="91"/>
        <v>0.44733744019305588</v>
      </c>
      <c r="Y368" s="22">
        <f t="shared" si="91"/>
        <v>0.46006881076150558</v>
      </c>
      <c r="Z368" s="22">
        <f t="shared" si="91"/>
        <v>0.47246549989332448</v>
      </c>
      <c r="AA368" s="22">
        <f t="shared" si="91"/>
        <v>0.4842972828341911</v>
      </c>
      <c r="AB368" s="22">
        <f t="shared" si="91"/>
        <v>0.49893915197034427</v>
      </c>
      <c r="AC368" s="22">
        <f t="shared" si="91"/>
        <v>0.51350643977275245</v>
      </c>
      <c r="AD368" s="22">
        <f t="shared" si="91"/>
        <v>0.53072839151044782</v>
      </c>
      <c r="AE368" s="22">
        <f t="shared" si="91"/>
        <v>0.55094843194330412</v>
      </c>
      <c r="AF368" s="22">
        <f t="shared" si="91"/>
        <v>0.57283458620168215</v>
      </c>
      <c r="AG368" s="22">
        <f t="shared" si="91"/>
        <v>0.59810752351139296</v>
      </c>
      <c r="AH368" s="22">
        <f t="shared" si="91"/>
        <v>0.61918227343437504</v>
      </c>
      <c r="AI368" s="22">
        <f t="shared" si="91"/>
        <v>0.63993352160681027</v>
      </c>
      <c r="AJ368" s="22">
        <f t="shared" si="91"/>
        <v>0.66259501614961847</v>
      </c>
      <c r="AK368" s="22">
        <f t="shared" si="91"/>
        <v>0.68496632766069843</v>
      </c>
      <c r="AL368" s="22">
        <f t="shared" si="91"/>
        <v>0.70858354272657831</v>
      </c>
      <c r="AM368" s="22">
        <f t="shared" si="91"/>
        <v>0.73267251576118442</v>
      </c>
      <c r="AN368" s="22">
        <f t="shared" si="91"/>
        <v>0.75875206021259933</v>
      </c>
      <c r="AO368" s="22">
        <f t="shared" si="91"/>
        <v>0.78430196742523084</v>
      </c>
      <c r="AP368" s="22">
        <f t="shared" si="91"/>
        <v>0.81053600981631879</v>
      </c>
      <c r="AQ368" s="22">
        <f t="shared" si="91"/>
        <v>0.83778993006127533</v>
      </c>
      <c r="AR368" s="22">
        <f t="shared" si="91"/>
        <v>0.86620935276117805</v>
      </c>
      <c r="AS368" s="22">
        <f t="shared" si="91"/>
        <v>0.89826083748814867</v>
      </c>
      <c r="AT368" s="22">
        <f t="shared" si="91"/>
        <v>0.9222529178926514</v>
      </c>
      <c r="AU368" s="22">
        <f t="shared" si="91"/>
        <v>0.94598858331962243</v>
      </c>
      <c r="AV368" s="22">
        <f t="shared" si="91"/>
        <v>0.9703863283837505</v>
      </c>
      <c r="AW368" s="22">
        <f t="shared" si="91"/>
        <v>0.99506234412260963</v>
      </c>
      <c r="AY368" s="79"/>
    </row>
    <row r="369" spans="1:51" x14ac:dyDescent="0.2">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5.9536061137450337E-2</v>
      </c>
      <c r="T369" s="22">
        <f t="shared" si="91"/>
        <v>5.9626729725854671E-2</v>
      </c>
      <c r="U369" s="22">
        <f t="shared" si="91"/>
        <v>5.9729206929355502E-2</v>
      </c>
      <c r="V369" s="22">
        <f t="shared" si="91"/>
        <v>5.9844810274995809E-2</v>
      </c>
      <c r="W369" s="22">
        <f t="shared" si="91"/>
        <v>5.9974855541164628E-2</v>
      </c>
      <c r="X369" s="22">
        <f t="shared" si="91"/>
        <v>6.0116631008549089E-2</v>
      </c>
      <c r="Y369" s="22">
        <f t="shared" si="91"/>
        <v>6.0202857685321479E-2</v>
      </c>
      <c r="Z369" s="22">
        <f t="shared" si="91"/>
        <v>6.0299167924469661E-2</v>
      </c>
      <c r="AA369" s="22">
        <f t="shared" si="91"/>
        <v>6.0404855231945616E-2</v>
      </c>
      <c r="AB369" s="22">
        <f t="shared" si="91"/>
        <v>6.052231244286084E-2</v>
      </c>
      <c r="AC369" s="22">
        <f t="shared" si="91"/>
        <v>6.064865362872638E-2</v>
      </c>
      <c r="AD369" s="22">
        <f t="shared" si="91"/>
        <v>6.0731208862415634E-2</v>
      </c>
      <c r="AE369" s="22">
        <f t="shared" si="91"/>
        <v>6.0823877481192126E-2</v>
      </c>
      <c r="AF369" s="22">
        <f t="shared" si="91"/>
        <v>6.0925179087084252E-2</v>
      </c>
      <c r="AG369" s="22">
        <f t="shared" si="91"/>
        <v>6.1036165719670403E-2</v>
      </c>
      <c r="AH369" s="22">
        <f t="shared" si="91"/>
        <v>6.1150437256879263E-2</v>
      </c>
      <c r="AI369" s="22">
        <f t="shared" si="91"/>
        <v>6.1220471443741167E-2</v>
      </c>
      <c r="AJ369" s="22">
        <f t="shared" si="91"/>
        <v>6.1297838147090833E-2</v>
      </c>
      <c r="AK369" s="22">
        <f t="shared" si="91"/>
        <v>6.1380565224491167E-2</v>
      </c>
      <c r="AL369" s="22">
        <f t="shared" si="91"/>
        <v>6.1469636895764942E-2</v>
      </c>
      <c r="AM369" s="22">
        <f t="shared" si="91"/>
        <v>6.1564248264751806E-2</v>
      </c>
      <c r="AN369" s="22">
        <f t="shared" si="91"/>
        <v>6.1619115142281453E-2</v>
      </c>
      <c r="AO369" s="22">
        <f t="shared" si="91"/>
        <v>6.1678131563041472E-2</v>
      </c>
      <c r="AP369" s="22">
        <f t="shared" si="91"/>
        <v>6.1742051762293963E-2</v>
      </c>
      <c r="AQ369" s="22">
        <f t="shared" si="91"/>
        <v>6.1810963980968171E-2</v>
      </c>
      <c r="AR369" s="22">
        <f t="shared" si="91"/>
        <v>6.1884820045811577E-2</v>
      </c>
      <c r="AS369" s="22">
        <f t="shared" si="91"/>
        <v>6.1917844796297146E-2</v>
      </c>
      <c r="AT369" s="22">
        <f t="shared" si="91"/>
        <v>6.1948582957053369E-2</v>
      </c>
      <c r="AU369" s="22">
        <f t="shared" si="91"/>
        <v>6.1982659332367518E-2</v>
      </c>
      <c r="AV369" s="22">
        <f t="shared" si="91"/>
        <v>6.2020620133408491E-2</v>
      </c>
      <c r="AW369" s="22">
        <f t="shared" si="91"/>
        <v>6.2062074580344864E-2</v>
      </c>
      <c r="AY369" s="79"/>
    </row>
    <row r="370" spans="1:51" x14ac:dyDescent="0.2">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4.8454260958953527E-2</v>
      </c>
      <c r="T370" s="22">
        <f t="shared" si="91"/>
        <v>4.8528052865226608E-2</v>
      </c>
      <c r="U370" s="22">
        <f t="shared" si="91"/>
        <v>4.8611455379029278E-2</v>
      </c>
      <c r="V370" s="22">
        <f t="shared" si="91"/>
        <v>4.8705540788281515E-2</v>
      </c>
      <c r="W370" s="22">
        <f t="shared" si="91"/>
        <v>4.8811379957736697E-2</v>
      </c>
      <c r="X370" s="22">
        <f t="shared" si="91"/>
        <v>4.8926765916481318E-2</v>
      </c>
      <c r="Y370" s="22">
        <f t="shared" si="91"/>
        <v>4.8996942710480308E-2</v>
      </c>
      <c r="Z370" s="22">
        <f t="shared" si="91"/>
        <v>4.9075326153582635E-2</v>
      </c>
      <c r="AA370" s="22">
        <f t="shared" si="91"/>
        <v>4.9161341255667866E-2</v>
      </c>
      <c r="AB370" s="22">
        <f t="shared" si="91"/>
        <v>4.9256935459255795E-2</v>
      </c>
      <c r="AC370" s="22">
        <f t="shared" si="91"/>
        <v>4.9359760010844099E-2</v>
      </c>
      <c r="AD370" s="22">
        <f t="shared" si="91"/>
        <v>4.9426948749236969E-2</v>
      </c>
      <c r="AE370" s="22">
        <f t="shared" si="91"/>
        <v>4.9502368408366512E-2</v>
      </c>
      <c r="AF370" s="22">
        <f t="shared" si="91"/>
        <v>4.9584814145516069E-2</v>
      </c>
      <c r="AG370" s="22">
        <f t="shared" si="91"/>
        <v>4.967514217789748E-2</v>
      </c>
      <c r="AH370" s="22">
        <f t="shared" si="91"/>
        <v>4.9768143676120806E-2</v>
      </c>
      <c r="AI370" s="22">
        <f t="shared" si="91"/>
        <v>4.9825141984396873E-2</v>
      </c>
      <c r="AJ370" s="22">
        <f t="shared" si="91"/>
        <v>4.9888107964376358E-2</v>
      </c>
      <c r="AK370" s="22">
        <f t="shared" si="91"/>
        <v>4.9955436560191149E-2</v>
      </c>
      <c r="AL370" s="22">
        <f t="shared" si="91"/>
        <v>5.0027928792990776E-2</v>
      </c>
      <c r="AM370" s="22">
        <f t="shared" si="91"/>
        <v>5.0104929586711242E-2</v>
      </c>
      <c r="AN370" s="22">
        <f t="shared" si="91"/>
        <v>5.0149583766901075E-2</v>
      </c>
      <c r="AO370" s="22">
        <f t="shared" si="91"/>
        <v>5.0197615111228118E-2</v>
      </c>
      <c r="AP370" s="22">
        <f t="shared" si="91"/>
        <v>5.0249637464671662E-2</v>
      </c>
      <c r="AQ370" s="22">
        <f t="shared" si="91"/>
        <v>5.0305722643353402E-2</v>
      </c>
      <c r="AR370" s="22">
        <f t="shared" si="91"/>
        <v>5.0365831440794026E-2</v>
      </c>
      <c r="AS370" s="22">
        <f t="shared" si="91"/>
        <v>5.0392709098596028E-2</v>
      </c>
      <c r="AT370" s="22">
        <f t="shared" si="91"/>
        <v>5.0417725783177193E-2</v>
      </c>
      <c r="AU370" s="22">
        <f t="shared" si="91"/>
        <v>5.0445459320641074E-2</v>
      </c>
      <c r="AV370" s="22">
        <f t="shared" si="91"/>
        <v>5.0476354252632014E-2</v>
      </c>
      <c r="AW370" s="22">
        <f t="shared" si="91"/>
        <v>5.0510092537486409E-2</v>
      </c>
      <c r="AY370" s="79"/>
    </row>
    <row r="371" spans="1:51" x14ac:dyDescent="0.2">
      <c r="A371" s="95" t="str">
        <f t="shared" si="71"/>
        <v>GS Organic</v>
      </c>
      <c r="B371" s="95" t="s">
        <v>1021</v>
      </c>
      <c r="C371" s="95" t="s">
        <v>1127</v>
      </c>
      <c r="D371" t="s">
        <v>369</v>
      </c>
      <c r="E371" t="s">
        <v>55</v>
      </c>
      <c r="F371" t="s">
        <v>421</v>
      </c>
      <c r="G371" t="s">
        <v>1168</v>
      </c>
      <c r="H371" t="s">
        <v>1169</v>
      </c>
      <c r="I371" t="s">
        <v>139</v>
      </c>
      <c r="J371" t="s">
        <v>287</v>
      </c>
      <c r="K371" s="22">
        <f t="shared" si="90"/>
        <v>7.2140927380493743E-3</v>
      </c>
      <c r="L371" s="22">
        <f t="shared" si="91"/>
        <v>7.2328458969643655E-3</v>
      </c>
      <c r="M371" s="22">
        <f t="shared" si="91"/>
        <v>7.2587152169743185E-3</v>
      </c>
      <c r="N371" s="22">
        <f t="shared" si="91"/>
        <v>7.2902308808567339E-3</v>
      </c>
      <c r="O371" s="22">
        <f t="shared" si="91"/>
        <v>7.3273479389297461E-3</v>
      </c>
      <c r="P371" s="22">
        <f t="shared" si="91"/>
        <v>7.3698404773103405E-3</v>
      </c>
      <c r="Q371" s="22">
        <f t="shared" si="91"/>
        <v>7.4155715935563127E-3</v>
      </c>
      <c r="R371" s="22">
        <f t="shared" si="91"/>
        <v>7.4643602602570466E-3</v>
      </c>
      <c r="S371" s="22">
        <f t="shared" si="91"/>
        <v>7.5091824622274591E-3</v>
      </c>
      <c r="T371" s="22">
        <f t="shared" si="91"/>
        <v>7.5310026575768785E-3</v>
      </c>
      <c r="U371" s="22">
        <f t="shared" si="91"/>
        <v>7.5544556894728667E-3</v>
      </c>
      <c r="V371" s="22">
        <f t="shared" si="91"/>
        <v>7.5798283677162839E-3</v>
      </c>
      <c r="W371" s="22">
        <f t="shared" si="91"/>
        <v>7.6073992773568969E-3</v>
      </c>
      <c r="X371" s="22">
        <f t="shared" si="91"/>
        <v>7.6366778381520258E-3</v>
      </c>
      <c r="Y371" s="22">
        <f t="shared" si="91"/>
        <v>7.6549815598218112E-3</v>
      </c>
      <c r="Z371" s="22">
        <f t="shared" si="91"/>
        <v>7.6747813396639188E-3</v>
      </c>
      <c r="AA371" s="22">
        <f t="shared" si="91"/>
        <v>7.695960726553556E-3</v>
      </c>
      <c r="AB371" s="22">
        <f t="shared" si="91"/>
        <v>7.7189834484336205E-3</v>
      </c>
      <c r="AC371" s="22">
        <f t="shared" si="91"/>
        <v>7.7433191534407569E-3</v>
      </c>
      <c r="AD371" s="22">
        <f t="shared" si="91"/>
        <v>7.7591399700901245E-3</v>
      </c>
      <c r="AE371" s="22">
        <f t="shared" si="91"/>
        <v>7.7765645193301983E-3</v>
      </c>
      <c r="AF371" s="22">
        <f t="shared" si="91"/>
        <v>7.7953233528318755E-3</v>
      </c>
      <c r="AG371" s="22">
        <f t="shared" si="91"/>
        <v>7.8156183452166659E-3</v>
      </c>
      <c r="AH371" s="22">
        <f t="shared" si="91"/>
        <v>7.8362676853213336E-3</v>
      </c>
      <c r="AI371" s="22">
        <f t="shared" si="91"/>
        <v>7.8484908167339423E-3</v>
      </c>
      <c r="AJ371" s="22">
        <f t="shared" si="91"/>
        <v>7.8618680880810435E-3</v>
      </c>
      <c r="AK371" s="22">
        <f t="shared" si="91"/>
        <v>7.8760394561635683E-3</v>
      </c>
      <c r="AL371" s="22">
        <f t="shared" si="91"/>
        <v>7.8911907673676705E-3</v>
      </c>
      <c r="AM371" s="22">
        <f t="shared" si="91"/>
        <v>7.9071774267792192E-3</v>
      </c>
      <c r="AN371" s="22">
        <f t="shared" si="91"/>
        <v>7.9157019513346714E-3</v>
      </c>
      <c r="AO371" s="22">
        <f t="shared" si="91"/>
        <v>7.9248428379220318E-3</v>
      </c>
      <c r="AP371" s="22">
        <f t="shared" si="91"/>
        <v>7.9347410994360257E-3</v>
      </c>
      <c r="AQ371" s="22">
        <f t="shared" si="91"/>
        <v>7.9454149669416808E-3</v>
      </c>
      <c r="AR371" s="22">
        <f t="shared" si="91"/>
        <v>7.9568573935750887E-3</v>
      </c>
      <c r="AS371" s="22">
        <f t="shared" si="91"/>
        <v>7.9607498372215833E-3</v>
      </c>
      <c r="AT371" s="22">
        <f t="shared" si="91"/>
        <v>7.9641286536339551E-3</v>
      </c>
      <c r="AU371" s="22">
        <f t="shared" si="91"/>
        <v>7.9680196395720947E-3</v>
      </c>
      <c r="AV371" s="22">
        <f t="shared" si="91"/>
        <v>7.9725231105734155E-3</v>
      </c>
      <c r="AW371" s="22">
        <f t="shared" si="91"/>
        <v>7.9775693338345506E-3</v>
      </c>
      <c r="AY371" s="79"/>
    </row>
    <row r="372" spans="1:51" x14ac:dyDescent="0.2">
      <c r="A372" s="95" t="str">
        <f t="shared" si="71"/>
        <v>GS Organic</v>
      </c>
      <c r="B372" s="95" t="s">
        <v>1021</v>
      </c>
      <c r="C372" s="95" t="s">
        <v>1127</v>
      </c>
      <c r="D372" t="s">
        <v>369</v>
      </c>
      <c r="E372" t="s">
        <v>55</v>
      </c>
      <c r="F372" t="s">
        <v>421</v>
      </c>
      <c r="G372" t="s">
        <v>1170</v>
      </c>
      <c r="H372" t="s">
        <v>1171</v>
      </c>
      <c r="I372" t="s">
        <v>139</v>
      </c>
      <c r="J372" t="s">
        <v>287</v>
      </c>
      <c r="K372" s="22">
        <f t="shared" si="90"/>
        <v>8.7045671471293523E-2</v>
      </c>
      <c r="L372" s="22">
        <f t="shared" si="91"/>
        <v>8.7271948200639354E-2</v>
      </c>
      <c r="M372" s="22">
        <f t="shared" si="91"/>
        <v>8.7584088952434122E-2</v>
      </c>
      <c r="N372" s="22">
        <f t="shared" si="91"/>
        <v>8.7964358824768801E-2</v>
      </c>
      <c r="O372" s="22">
        <f t="shared" si="91"/>
        <v>8.8412215452112072E-2</v>
      </c>
      <c r="P372" s="22">
        <f t="shared" si="91"/>
        <v>8.8924932944132923E-2</v>
      </c>
      <c r="Q372" s="22">
        <f t="shared" si="91"/>
        <v>8.9476727309038565E-2</v>
      </c>
      <c r="R372" s="22">
        <f t="shared" si="91"/>
        <v>9.0065414259340087E-2</v>
      </c>
      <c r="S372" s="22">
        <f t="shared" si="91"/>
        <v>9.0606241610610233E-2</v>
      </c>
      <c r="T372" s="22">
        <f t="shared" si="91"/>
        <v>9.0869525383745986E-2</v>
      </c>
      <c r="U372" s="22">
        <f t="shared" si="91"/>
        <v>9.1152511059637925E-2</v>
      </c>
      <c r="V372" s="22">
        <f t="shared" si="91"/>
        <v>9.14586593023788E-2</v>
      </c>
      <c r="W372" s="22">
        <f t="shared" si="91"/>
        <v>9.1791331535726078E-2</v>
      </c>
      <c r="X372" s="22">
        <f t="shared" si="91"/>
        <v>9.2144608389332791E-2</v>
      </c>
      <c r="Y372" s="22">
        <f t="shared" si="91"/>
        <v>9.2365462182182861E-2</v>
      </c>
      <c r="Z372" s="22">
        <f t="shared" si="91"/>
        <v>9.2604367501801177E-2</v>
      </c>
      <c r="AA372" s="22">
        <f t="shared" si="91"/>
        <v>9.2859919241999239E-2</v>
      </c>
      <c r="AB372" s="22">
        <f t="shared" si="91"/>
        <v>9.3137712771680009E-2</v>
      </c>
      <c r="AC372" s="22">
        <f t="shared" si="91"/>
        <v>9.3431348833759018E-2</v>
      </c>
      <c r="AD372" s="22">
        <f t="shared" si="91"/>
        <v>9.3622243747156081E-2</v>
      </c>
      <c r="AE372" s="22">
        <f t="shared" si="91"/>
        <v>9.3832489393249188E-2</v>
      </c>
      <c r="AF372" s="22">
        <f t="shared" si="91"/>
        <v>9.4058834592495047E-2</v>
      </c>
      <c r="AG372" s="22">
        <f t="shared" si="91"/>
        <v>9.4303715176067421E-2</v>
      </c>
      <c r="AH372" s="22">
        <f t="shared" si="91"/>
        <v>9.4552871340274972E-2</v>
      </c>
      <c r="AI372" s="22">
        <f t="shared" si="91"/>
        <v>9.4700356369914307E-2</v>
      </c>
      <c r="AJ372" s="22">
        <f t="shared" si="91"/>
        <v>9.4861767320555526E-2</v>
      </c>
      <c r="AK372" s="22">
        <f t="shared" si="91"/>
        <v>9.5032759889573118E-2</v>
      </c>
      <c r="AL372" s="22">
        <f t="shared" si="91"/>
        <v>9.5215576510501124E-2</v>
      </c>
      <c r="AM372" s="22">
        <f t="shared" si="91"/>
        <v>9.5408472492517202E-2</v>
      </c>
      <c r="AN372" s="22">
        <f t="shared" si="91"/>
        <v>9.5511329912132736E-2</v>
      </c>
      <c r="AO372" s="22">
        <f t="shared" si="91"/>
        <v>9.5621624392635218E-2</v>
      </c>
      <c r="AP372" s="22">
        <f t="shared" si="91"/>
        <v>9.5741057403988084E-2</v>
      </c>
      <c r="AQ372" s="22">
        <f t="shared" si="91"/>
        <v>9.5869848923304843E-2</v>
      </c>
      <c r="AR372" s="22">
        <f t="shared" si="91"/>
        <v>9.6007913922706994E-2</v>
      </c>
      <c r="AS372" s="22">
        <f t="shared" si="91"/>
        <v>9.6054880378944288E-2</v>
      </c>
      <c r="AT372" s="22">
        <f t="shared" si="91"/>
        <v>9.6095649378466819E-2</v>
      </c>
      <c r="AU372" s="22">
        <f t="shared" si="91"/>
        <v>9.6142598245908498E-2</v>
      </c>
      <c r="AV372" s="22">
        <f t="shared" si="91"/>
        <v>9.6196937394502191E-2</v>
      </c>
      <c r="AW372" s="22">
        <f t="shared" si="91"/>
        <v>9.6257825424100524E-2</v>
      </c>
      <c r="AY372" s="79"/>
    </row>
    <row r="373" spans="1:51" x14ac:dyDescent="0.2">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2">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2">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0.12395129293471778</v>
      </c>
      <c r="M375" s="22">
        <f t="shared" si="92"/>
        <v>0.12400689511310996</v>
      </c>
      <c r="N375" s="22">
        <f t="shared" si="92"/>
        <v>0.12286841678965586</v>
      </c>
      <c r="O375" s="22">
        <f t="shared" si="92"/>
        <v>0.12100901910045005</v>
      </c>
      <c r="P375" s="22">
        <f t="shared" si="92"/>
        <v>0.11845842648899832</v>
      </c>
      <c r="Q375" s="22">
        <f t="shared" si="92"/>
        <v>0.11660641339960408</v>
      </c>
      <c r="R375" s="22">
        <f t="shared" si="92"/>
        <v>0.11491827863139022</v>
      </c>
      <c r="S375" s="22">
        <f t="shared" si="92"/>
        <v>0.10239148734853588</v>
      </c>
      <c r="T375" s="22">
        <f t="shared" si="92"/>
        <v>0.10399015001119098</v>
      </c>
      <c r="U375" s="22">
        <f t="shared" si="92"/>
        <v>0.10466911672478917</v>
      </c>
      <c r="V375" s="22">
        <f t="shared" si="92"/>
        <v>0.10511626718572097</v>
      </c>
      <c r="W375" s="22">
        <f t="shared" si="92"/>
        <v>0.10594424528482288</v>
      </c>
      <c r="X375" s="22">
        <f t="shared" si="92"/>
        <v>0.10656092894002199</v>
      </c>
      <c r="Y375" s="22">
        <f t="shared" si="92"/>
        <v>0.10688440239408244</v>
      </c>
      <c r="Z375" s="22">
        <f t="shared" si="92"/>
        <v>0.10708259276512562</v>
      </c>
      <c r="AA375" s="22">
        <f t="shared" si="92"/>
        <v>0.10710947754337903</v>
      </c>
      <c r="AB375" s="22">
        <f t="shared" si="92"/>
        <v>0.1077314601885206</v>
      </c>
      <c r="AC375" s="22">
        <f t="shared" si="92"/>
        <v>0.10827475819020069</v>
      </c>
      <c r="AD375" s="22">
        <f t="shared" si="92"/>
        <v>0.1090564650607147</v>
      </c>
      <c r="AE375" s="22">
        <f t="shared" si="92"/>
        <v>0.11037691569913123</v>
      </c>
      <c r="AF375" s="22">
        <f t="shared" si="92"/>
        <v>0.11192323685515045</v>
      </c>
      <c r="AG375" s="22">
        <f t="shared" si="92"/>
        <v>0.1140168304907534</v>
      </c>
      <c r="AH375" s="22">
        <f t="shared" si="92"/>
        <v>0.11514704328773583</v>
      </c>
      <c r="AI375" s="22">
        <f t="shared" si="92"/>
        <v>0.11613416972234052</v>
      </c>
      <c r="AJ375" s="22">
        <f t="shared" si="92"/>
        <v>0.1173747047819844</v>
      </c>
      <c r="AK375" s="22">
        <f t="shared" si="92"/>
        <v>0.11845175629546961</v>
      </c>
      <c r="AL375" s="22">
        <f t="shared" si="92"/>
        <v>0.11964350265273288</v>
      </c>
      <c r="AM375" s="22">
        <f t="shared" si="92"/>
        <v>0.12080595767564568</v>
      </c>
      <c r="AN375" s="22">
        <f t="shared" si="92"/>
        <v>0.12237101221025357</v>
      </c>
      <c r="AO375" s="22">
        <f t="shared" si="92"/>
        <v>0.12373005325826542</v>
      </c>
      <c r="AP375" s="22">
        <f t="shared" si="92"/>
        <v>0.12508788651498504</v>
      </c>
      <c r="AQ375" s="22">
        <f t="shared" si="92"/>
        <v>0.12649394429591121</v>
      </c>
      <c r="AR375" s="22">
        <f t="shared" si="92"/>
        <v>0.12796403206190518</v>
      </c>
      <c r="AS375" s="22">
        <f t="shared" si="92"/>
        <v>0.12987984628529636</v>
      </c>
      <c r="AT375" s="22">
        <f t="shared" si="92"/>
        <v>0.13047315773125404</v>
      </c>
      <c r="AU375" s="22">
        <f t="shared" si="92"/>
        <v>0.13094704432863591</v>
      </c>
      <c r="AV375" s="22">
        <f t="shared" si="92"/>
        <v>0.13143575870732388</v>
      </c>
      <c r="AW375" s="22">
        <f t="shared" si="92"/>
        <v>0.13188303608420418</v>
      </c>
      <c r="AY375" s="79"/>
    </row>
    <row r="376" spans="1:51" x14ac:dyDescent="0.2">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3.1446916354757506E-2</v>
      </c>
      <c r="M376" s="22">
        <f t="shared" si="92"/>
        <v>3.1461022839745632E-2</v>
      </c>
      <c r="N376" s="22">
        <f t="shared" si="92"/>
        <v>3.1172186541537576E-2</v>
      </c>
      <c r="O376" s="22">
        <f t="shared" si="92"/>
        <v>3.0700450247237842E-2</v>
      </c>
      <c r="P376" s="22">
        <f t="shared" si="92"/>
        <v>3.0053355161673644E-2</v>
      </c>
      <c r="Q376" s="22">
        <f t="shared" si="92"/>
        <v>2.9583492368545926E-2</v>
      </c>
      <c r="R376" s="22">
        <f t="shared" si="92"/>
        <v>2.9155206131309681E-2</v>
      </c>
      <c r="S376" s="22">
        <f t="shared" si="92"/>
        <v>2.5977111346345238E-2</v>
      </c>
      <c r="T376" s="22">
        <f t="shared" si="92"/>
        <v>2.6382698168730914E-2</v>
      </c>
      <c r="U376" s="22">
        <f t="shared" si="92"/>
        <v>2.6554954616765158E-2</v>
      </c>
      <c r="V376" s="22">
        <f t="shared" si="92"/>
        <v>2.6668398396252971E-2</v>
      </c>
      <c r="W376" s="22">
        <f t="shared" si="92"/>
        <v>2.6878459601824591E-2</v>
      </c>
      <c r="X376" s="22">
        <f t="shared" si="92"/>
        <v>2.7034914600100463E-2</v>
      </c>
      <c r="Y376" s="22">
        <f t="shared" si="92"/>
        <v>2.7116981050655197E-2</v>
      </c>
      <c r="Z376" s="22">
        <f t="shared" si="92"/>
        <v>2.7167262704625481E-2</v>
      </c>
      <c r="AA376" s="22">
        <f t="shared" si="92"/>
        <v>2.7174083475534235E-2</v>
      </c>
      <c r="AB376" s="22">
        <f t="shared" si="92"/>
        <v>2.7331882847793948E-2</v>
      </c>
      <c r="AC376" s="22">
        <f t="shared" si="92"/>
        <v>2.7469719625531634E-2</v>
      </c>
      <c r="AD376" s="22">
        <f t="shared" si="92"/>
        <v>2.7668041643712917E-2</v>
      </c>
      <c r="AE376" s="22">
        <f t="shared" si="92"/>
        <v>2.8003045013131105E-2</v>
      </c>
      <c r="AF376" s="22">
        <f t="shared" si="92"/>
        <v>2.8395352595404884E-2</v>
      </c>
      <c r="AG376" s="22">
        <f t="shared" si="92"/>
        <v>2.8926505295637978E-2</v>
      </c>
      <c r="AH376" s="22">
        <f t="shared" si="92"/>
        <v>2.9213244598216302E-2</v>
      </c>
      <c r="AI376" s="22">
        <f t="shared" si="92"/>
        <v>2.9463682344250404E-2</v>
      </c>
      <c r="AJ376" s="22">
        <f t="shared" si="92"/>
        <v>2.9778410826157509E-2</v>
      </c>
      <c r="AK376" s="22">
        <f t="shared" si="92"/>
        <v>3.0051662908103689E-2</v>
      </c>
      <c r="AL376" s="22">
        <f t="shared" si="92"/>
        <v>3.0354013509905672E-2</v>
      </c>
      <c r="AM376" s="22">
        <f t="shared" si="92"/>
        <v>3.0648932788327074E-2</v>
      </c>
      <c r="AN376" s="22">
        <f t="shared" si="92"/>
        <v>3.1045993100286617E-2</v>
      </c>
      <c r="AO376" s="22">
        <f t="shared" si="92"/>
        <v>3.1390787003985711E-2</v>
      </c>
      <c r="AP376" s="22">
        <f t="shared" si="92"/>
        <v>3.1735274486421723E-2</v>
      </c>
      <c r="AQ376" s="22">
        <f t="shared" si="92"/>
        <v>3.2091996714805643E-2</v>
      </c>
      <c r="AR376" s="22">
        <f t="shared" si="92"/>
        <v>3.2464963594914874E-2</v>
      </c>
      <c r="AS376" s="22">
        <f t="shared" si="92"/>
        <v>3.2951012979377248E-2</v>
      </c>
      <c r="AT376" s="22">
        <f t="shared" si="92"/>
        <v>3.3101538358916271E-2</v>
      </c>
      <c r="AU376" s="22">
        <f t="shared" si="92"/>
        <v>3.3221765198319694E-2</v>
      </c>
      <c r="AV376" s="22">
        <f t="shared" si="92"/>
        <v>3.3345753902463859E-2</v>
      </c>
      <c r="AW376" s="22">
        <f t="shared" si="92"/>
        <v>3.3459229881012437E-2</v>
      </c>
      <c r="AY376" s="79"/>
    </row>
    <row r="377" spans="1:51" x14ac:dyDescent="0.2">
      <c r="A377" s="95" t="str">
        <f t="shared" si="93"/>
        <v>GS Organic</v>
      </c>
      <c r="B377" s="95" t="s">
        <v>1021</v>
      </c>
      <c r="C377" s="95" t="s">
        <v>1127</v>
      </c>
      <c r="D377" t="s">
        <v>369</v>
      </c>
      <c r="E377" t="s">
        <v>55</v>
      </c>
      <c r="F377" t="s">
        <v>421</v>
      </c>
      <c r="G377" t="s">
        <v>1180</v>
      </c>
      <c r="H377" t="s">
        <v>1181</v>
      </c>
      <c r="I377" t="s">
        <v>139</v>
      </c>
      <c r="J377" t="s">
        <v>287</v>
      </c>
      <c r="K377" s="22">
        <f t="shared" si="90"/>
        <v>0.15700744358616764</v>
      </c>
      <c r="L377" s="22">
        <f t="shared" si="92"/>
        <v>0.16019971617730661</v>
      </c>
      <c r="M377" s="22">
        <f t="shared" si="92"/>
        <v>0.16393118028621728</v>
      </c>
      <c r="N377" s="22">
        <f t="shared" si="92"/>
        <v>0.1667959170810015</v>
      </c>
      <c r="O377" s="22">
        <f t="shared" si="92"/>
        <v>0.16909558154641688</v>
      </c>
      <c r="P377" s="22">
        <f t="shared" si="92"/>
        <v>0.1708164974258628</v>
      </c>
      <c r="Q377" s="22">
        <f t="shared" si="92"/>
        <v>0.17302318661183388</v>
      </c>
      <c r="R377" s="22">
        <f t="shared" si="92"/>
        <v>0.17531753251219051</v>
      </c>
      <c r="S377" s="22">
        <f t="shared" si="92"/>
        <v>0.16830476873000083</v>
      </c>
      <c r="T377" s="22">
        <f t="shared" si="92"/>
        <v>0.17276871314198702</v>
      </c>
      <c r="U377" s="22">
        <f t="shared" si="92"/>
        <v>0.1764934307199863</v>
      </c>
      <c r="V377" s="22">
        <f t="shared" si="92"/>
        <v>0.18005524898156572</v>
      </c>
      <c r="W377" s="22">
        <f t="shared" si="92"/>
        <v>0.1840152127784149</v>
      </c>
      <c r="X377" s="22">
        <f t="shared" si="92"/>
        <v>0.18783261457873554</v>
      </c>
      <c r="Y377" s="22">
        <f t="shared" si="92"/>
        <v>0.1912601747651877</v>
      </c>
      <c r="Z377" s="22">
        <f t="shared" si="92"/>
        <v>0.19460208719398481</v>
      </c>
      <c r="AA377" s="22">
        <f t="shared" si="92"/>
        <v>0.1978054102854529</v>
      </c>
      <c r="AB377" s="22">
        <f t="shared" si="92"/>
        <v>0.20165714923615963</v>
      </c>
      <c r="AC377" s="22">
        <f t="shared" si="92"/>
        <v>0.2054824805874291</v>
      </c>
      <c r="AD377" s="22">
        <f t="shared" si="92"/>
        <v>0.20949194963752207</v>
      </c>
      <c r="AE377" s="22">
        <f t="shared" si="92"/>
        <v>0.21416106283362638</v>
      </c>
      <c r="AF377" s="22">
        <f t="shared" si="92"/>
        <v>0.21917521895804776</v>
      </c>
      <c r="AG377" s="22">
        <f t="shared" si="92"/>
        <v>0.2249205996408121</v>
      </c>
      <c r="AH377" s="22">
        <f t="shared" si="92"/>
        <v>0.22966975525024821</v>
      </c>
      <c r="AI377" s="22">
        <f t="shared" si="92"/>
        <v>0.23421374773731693</v>
      </c>
      <c r="AJ377" s="22">
        <f t="shared" si="92"/>
        <v>0.23914977762419984</v>
      </c>
      <c r="AK377" s="22">
        <f t="shared" si="92"/>
        <v>0.24398161276357982</v>
      </c>
      <c r="AL377" s="22">
        <f t="shared" si="92"/>
        <v>0.24905154645514979</v>
      </c>
      <c r="AM377" s="22">
        <f t="shared" si="92"/>
        <v>0.25418530178524701</v>
      </c>
      <c r="AN377" s="22">
        <f t="shared" si="92"/>
        <v>0.25983124395687562</v>
      </c>
      <c r="AO377" s="22">
        <f t="shared" si="92"/>
        <v>0.26532627660152752</v>
      </c>
      <c r="AP377" s="22">
        <f t="shared" si="92"/>
        <v>0.27093697485535539</v>
      </c>
      <c r="AQ377" s="22">
        <f t="shared" si="92"/>
        <v>0.27673510691469561</v>
      </c>
      <c r="AR377" s="22">
        <f t="shared" si="92"/>
        <v>0.28275020857350047</v>
      </c>
      <c r="AS377" s="22">
        <f t="shared" si="92"/>
        <v>0.28941803313014858</v>
      </c>
      <c r="AT377" s="22">
        <f t="shared" si="92"/>
        <v>0.29430967875904612</v>
      </c>
      <c r="AU377" s="22">
        <f t="shared" si="92"/>
        <v>0.29911626555567689</v>
      </c>
      <c r="AV377" s="22">
        <f t="shared" si="92"/>
        <v>0.30403482357185191</v>
      </c>
      <c r="AW377" s="22">
        <f t="shared" si="92"/>
        <v>0.30898254148510845</v>
      </c>
      <c r="AY377" s="79"/>
    </row>
    <row r="378" spans="1:51" x14ac:dyDescent="0.2">
      <c r="A378" s="95" t="str">
        <f t="shared" si="93"/>
        <v>GS Organic</v>
      </c>
      <c r="B378" s="95" t="s">
        <v>1021</v>
      </c>
      <c r="C378" s="95" t="s">
        <v>1127</v>
      </c>
      <c r="D378" t="s">
        <v>369</v>
      </c>
      <c r="E378" t="s">
        <v>55</v>
      </c>
      <c r="F378" t="s">
        <v>421</v>
      </c>
      <c r="G378" t="s">
        <v>1182</v>
      </c>
      <c r="H378" t="s">
        <v>1183</v>
      </c>
      <c r="I378" t="s">
        <v>139</v>
      </c>
      <c r="J378" t="s">
        <v>287</v>
      </c>
      <c r="K378" s="22">
        <f t="shared" si="90"/>
        <v>0.78620275218739033</v>
      </c>
      <c r="L378" s="22">
        <f t="shared" si="92"/>
        <v>0.7965556372017637</v>
      </c>
      <c r="M378" s="22">
        <f t="shared" si="92"/>
        <v>0.8131853402467214</v>
      </c>
      <c r="N378" s="22">
        <f t="shared" si="92"/>
        <v>0.81796021384654038</v>
      </c>
      <c r="O378" s="22">
        <f t="shared" si="92"/>
        <v>0.81503229757580642</v>
      </c>
      <c r="P378" s="22">
        <f t="shared" si="92"/>
        <v>0.80443274266431908</v>
      </c>
      <c r="Q378" s="22">
        <f t="shared" si="92"/>
        <v>0.79997057217510736</v>
      </c>
      <c r="R378" s="22">
        <f t="shared" si="92"/>
        <v>0.79652072541357799</v>
      </c>
      <c r="S378" s="22">
        <f t="shared" si="92"/>
        <v>0.68093953459407419</v>
      </c>
      <c r="T378" s="22">
        <f t="shared" si="92"/>
        <v>0.71095217743742134</v>
      </c>
      <c r="U378" s="22">
        <f t="shared" si="92"/>
        <v>0.73163451860770856</v>
      </c>
      <c r="V378" s="22">
        <f t="shared" si="92"/>
        <v>0.74998966017271962</v>
      </c>
      <c r="W378" s="22">
        <f t="shared" si="92"/>
        <v>0.77258910732812447</v>
      </c>
      <c r="X378" s="22">
        <f t="shared" si="92"/>
        <v>0.79310210321227914</v>
      </c>
      <c r="Y378" s="22">
        <f t="shared" si="92"/>
        <v>0.81120771116014501</v>
      </c>
      <c r="Z378" s="22">
        <f t="shared" si="92"/>
        <v>0.82802988036578451</v>
      </c>
      <c r="AA378" s="22">
        <f t="shared" si="92"/>
        <v>0.84300341806804124</v>
      </c>
      <c r="AB378" s="22">
        <f t="shared" si="92"/>
        <v>0.86494223642860679</v>
      </c>
      <c r="AC378" s="22">
        <f t="shared" si="92"/>
        <v>0.88622290534488479</v>
      </c>
      <c r="AD378" s="22">
        <f t="shared" si="92"/>
        <v>0.91112086440699802</v>
      </c>
      <c r="AE378" s="22">
        <f t="shared" si="92"/>
        <v>0.94284673608655079</v>
      </c>
      <c r="AF378" s="22">
        <f t="shared" si="92"/>
        <v>0.97785291166286403</v>
      </c>
      <c r="AG378" s="22">
        <f t="shared" si="92"/>
        <v>1.0202297421822766</v>
      </c>
      <c r="AH378" s="22">
        <f t="shared" si="92"/>
        <v>1.0513780855146408</v>
      </c>
      <c r="AI378" s="22">
        <f t="shared" si="92"/>
        <v>1.0817366322153388</v>
      </c>
      <c r="AJ378" s="22">
        <f t="shared" si="92"/>
        <v>1.1158458345440128</v>
      </c>
      <c r="AK378" s="22">
        <f t="shared" si="92"/>
        <v>1.1484374065317347</v>
      </c>
      <c r="AL378" s="22">
        <f t="shared" si="92"/>
        <v>1.1831076882134564</v>
      </c>
      <c r="AM378" s="22">
        <f t="shared" si="92"/>
        <v>1.2180177066709783</v>
      </c>
      <c r="AN378" s="22">
        <f t="shared" si="92"/>
        <v>1.2594503323832682</v>
      </c>
      <c r="AO378" s="22">
        <f t="shared" si="92"/>
        <v>1.298872537028497</v>
      </c>
      <c r="AP378" s="22">
        <f t="shared" si="92"/>
        <v>1.3390342962428967</v>
      </c>
      <c r="AQ378" s="22">
        <f t="shared" si="92"/>
        <v>1.3806522745115721</v>
      </c>
      <c r="AR378" s="22">
        <f t="shared" si="92"/>
        <v>1.4240025047133247</v>
      </c>
      <c r="AS378" s="22">
        <f t="shared" si="92"/>
        <v>1.4750856789053959</v>
      </c>
      <c r="AT378" s="22">
        <f t="shared" si="92"/>
        <v>1.5079842325146011</v>
      </c>
      <c r="AU378" s="22">
        <f t="shared" si="92"/>
        <v>1.5397226946349756</v>
      </c>
      <c r="AV378" s="22">
        <f t="shared" si="92"/>
        <v>1.5722599858562425</v>
      </c>
      <c r="AW378" s="22">
        <f t="shared" si="92"/>
        <v>1.6047748091186307</v>
      </c>
      <c r="AY378" s="79"/>
    </row>
    <row r="379" spans="1:51" x14ac:dyDescent="0.2">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2">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1.0836040032789309</v>
      </c>
      <c r="M380" s="22">
        <f t="shared" si="92"/>
        <v>1.0921513426512339</v>
      </c>
      <c r="N380" s="22">
        <f t="shared" si="92"/>
        <v>1.0976439186771809</v>
      </c>
      <c r="O380" s="22">
        <f t="shared" si="92"/>
        <v>1.1012937605673541</v>
      </c>
      <c r="P380" s="22">
        <f t="shared" si="92"/>
        <v>1.1030649457277464</v>
      </c>
      <c r="Q380" s="22">
        <f t="shared" si="92"/>
        <v>1.1069781529146336</v>
      </c>
      <c r="R380" s="22">
        <f t="shared" si="92"/>
        <v>1.1114672588381171</v>
      </c>
      <c r="S380" s="22">
        <f t="shared" si="92"/>
        <v>1.0810406006779549</v>
      </c>
      <c r="T380" s="22">
        <f t="shared" si="92"/>
        <v>1.0934641088719885</v>
      </c>
      <c r="U380" s="22">
        <f t="shared" si="92"/>
        <v>1.1031992381450169</v>
      </c>
      <c r="V380" s="22">
        <f t="shared" si="92"/>
        <v>1.1124222034300566</v>
      </c>
      <c r="W380" s="22">
        <f t="shared" si="92"/>
        <v>1.123204750861388</v>
      </c>
      <c r="X380" s="22">
        <f t="shared" si="92"/>
        <v>1.1335309064238068</v>
      </c>
      <c r="Y380" s="22">
        <f t="shared" si="92"/>
        <v>1.1421913822066523</v>
      </c>
      <c r="Z380" s="22">
        <f t="shared" si="92"/>
        <v>1.1506113165744176</v>
      </c>
      <c r="AA380" s="22">
        <f t="shared" si="92"/>
        <v>1.1585977369609775</v>
      </c>
      <c r="AB380" s="22">
        <f t="shared" si="92"/>
        <v>1.1689866502425044</v>
      </c>
      <c r="AC380" s="22">
        <f t="shared" si="92"/>
        <v>1.179322142127879</v>
      </c>
      <c r="AD380" s="22">
        <f t="shared" si="92"/>
        <v>1.1901050491082561</v>
      </c>
      <c r="AE380" s="22">
        <f t="shared" si="92"/>
        <v>1.2032599534885204</v>
      </c>
      <c r="AF380" s="22">
        <f t="shared" ref="L380:AW387" si="94">AF1483</f>
        <v>1.2176412709045177</v>
      </c>
      <c r="AG380" s="22">
        <f t="shared" si="94"/>
        <v>1.2345938865918005</v>
      </c>
      <c r="AH380" s="22">
        <f t="shared" si="94"/>
        <v>1.2480204008779516</v>
      </c>
      <c r="AI380" s="22">
        <f t="shared" si="94"/>
        <v>1.2604934871451285</v>
      </c>
      <c r="AJ380" s="22">
        <f t="shared" si="94"/>
        <v>1.2743340482246315</v>
      </c>
      <c r="AK380" s="22">
        <f t="shared" si="94"/>
        <v>1.2878029781490608</v>
      </c>
      <c r="AL380" s="22">
        <f t="shared" si="94"/>
        <v>1.302087430895273</v>
      </c>
      <c r="AM380" s="22">
        <f t="shared" si="94"/>
        <v>1.3165772246053524</v>
      </c>
      <c r="AN380" s="22">
        <f t="shared" si="94"/>
        <v>1.3325905811769112</v>
      </c>
      <c r="AO380" s="22">
        <f t="shared" si="94"/>
        <v>1.3480569944390275</v>
      </c>
      <c r="AP380" s="22">
        <f t="shared" si="94"/>
        <v>1.3638910811882956</v>
      </c>
      <c r="AQ380" s="22">
        <f t="shared" si="94"/>
        <v>1.3803329285303612</v>
      </c>
      <c r="AR380" s="22">
        <f t="shared" si="94"/>
        <v>1.3974765343324473</v>
      </c>
      <c r="AS380" s="22">
        <f t="shared" si="94"/>
        <v>1.4165658117844762</v>
      </c>
      <c r="AT380" s="22">
        <f t="shared" si="94"/>
        <v>1.4296216900778926</v>
      </c>
      <c r="AU380" s="22">
        <f t="shared" si="94"/>
        <v>1.4423773000489271</v>
      </c>
      <c r="AV380" s="22">
        <f t="shared" si="94"/>
        <v>1.4554943578736881</v>
      </c>
      <c r="AW380" s="22">
        <f t="shared" si="94"/>
        <v>1.468692881818767</v>
      </c>
      <c r="AY380" s="79"/>
    </row>
    <row r="381" spans="1:51" x14ac:dyDescent="0.2">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0.73794174034663862</v>
      </c>
      <c r="M381" s="22">
        <f t="shared" si="94"/>
        <v>0.74376253694082328</v>
      </c>
      <c r="N381" s="22">
        <f t="shared" si="94"/>
        <v>0.74750301879518044</v>
      </c>
      <c r="O381" s="22">
        <f t="shared" si="94"/>
        <v>0.74998858609492669</v>
      </c>
      <c r="P381" s="22">
        <f t="shared" si="94"/>
        <v>0.75119477530775824</v>
      </c>
      <c r="Q381" s="22">
        <f t="shared" si="94"/>
        <v>0.7538596961765357</v>
      </c>
      <c r="R381" s="22">
        <f t="shared" si="94"/>
        <v>0.75691680802528427</v>
      </c>
      <c r="S381" s="22">
        <f t="shared" si="94"/>
        <v>0.73619604563634833</v>
      </c>
      <c r="T381" s="22">
        <f t="shared" si="94"/>
        <v>0.74465653971921864</v>
      </c>
      <c r="U381" s="22">
        <f t="shared" si="94"/>
        <v>0.75128622936275991</v>
      </c>
      <c r="V381" s="22">
        <f t="shared" si="94"/>
        <v>0.75756713182620983</v>
      </c>
      <c r="W381" s="22">
        <f t="shared" si="94"/>
        <v>0.76491012040208251</v>
      </c>
      <c r="X381" s="22">
        <f t="shared" si="94"/>
        <v>0.77194230299255218</v>
      </c>
      <c r="Y381" s="22">
        <f t="shared" si="94"/>
        <v>0.77784014625640541</v>
      </c>
      <c r="Z381" s="22">
        <f t="shared" si="94"/>
        <v>0.78357417917078342</v>
      </c>
      <c r="AA381" s="22">
        <f t="shared" si="94"/>
        <v>0.78901298609781978</v>
      </c>
      <c r="AB381" s="22">
        <f t="shared" si="94"/>
        <v>0.79608790712439581</v>
      </c>
      <c r="AC381" s="22">
        <f t="shared" si="94"/>
        <v>0.80312644781467857</v>
      </c>
      <c r="AD381" s="22">
        <f t="shared" si="94"/>
        <v>0.81046968124591112</v>
      </c>
      <c r="AE381" s="22">
        <f t="shared" si="94"/>
        <v>0.81942826113588163</v>
      </c>
      <c r="AF381" s="22">
        <f t="shared" si="94"/>
        <v>0.8292220366944113</v>
      </c>
      <c r="AG381" s="22">
        <f t="shared" si="94"/>
        <v>0.84076688396873545</v>
      </c>
      <c r="AH381" s="22">
        <f t="shared" si="94"/>
        <v>0.84991043206299322</v>
      </c>
      <c r="AI381" s="22">
        <f t="shared" si="94"/>
        <v>0.85840468915289159</v>
      </c>
      <c r="AJ381" s="22">
        <f t="shared" si="94"/>
        <v>0.86783020594636673</v>
      </c>
      <c r="AK381" s="22">
        <f t="shared" si="94"/>
        <v>0.87700263938050371</v>
      </c>
      <c r="AL381" s="22">
        <f t="shared" si="94"/>
        <v>0.8867304494361532</v>
      </c>
      <c r="AM381" s="22">
        <f t="shared" si="94"/>
        <v>0.89659809809315782</v>
      </c>
      <c r="AN381" s="22">
        <f t="shared" si="94"/>
        <v>0.90750330348317998</v>
      </c>
      <c r="AO381" s="22">
        <f t="shared" si="94"/>
        <v>0.91803603673723821</v>
      </c>
      <c r="AP381" s="22">
        <f t="shared" si="94"/>
        <v>0.92881915815170113</v>
      </c>
      <c r="AQ381" s="22">
        <f t="shared" si="94"/>
        <v>0.94001616868821003</v>
      </c>
      <c r="AR381" s="22">
        <f t="shared" si="94"/>
        <v>0.95169108153748594</v>
      </c>
      <c r="AS381" s="22">
        <f t="shared" si="94"/>
        <v>0.9646910100928292</v>
      </c>
      <c r="AT381" s="22">
        <f t="shared" si="94"/>
        <v>0.97358215254011127</v>
      </c>
      <c r="AU381" s="22">
        <f t="shared" si="94"/>
        <v>0.98226881020538814</v>
      </c>
      <c r="AV381" s="22">
        <f t="shared" si="94"/>
        <v>0.99120161633211146</v>
      </c>
      <c r="AW381" s="22">
        <f t="shared" si="94"/>
        <v>1.0001899014441695</v>
      </c>
      <c r="AY381" s="79"/>
    </row>
    <row r="382" spans="1:51" x14ac:dyDescent="0.2">
      <c r="A382" s="95" t="str">
        <f t="shared" si="93"/>
        <v>GS U&amp;D</v>
      </c>
      <c r="B382" s="95" t="s">
        <v>1021</v>
      </c>
      <c r="C382" s="95" t="s">
        <v>1336</v>
      </c>
      <c r="D382" t="s">
        <v>369</v>
      </c>
      <c r="E382" t="s">
        <v>55</v>
      </c>
      <c r="F382" t="s">
        <v>422</v>
      </c>
      <c r="G382" t="s">
        <v>1158</v>
      </c>
      <c r="H382" t="s">
        <v>1243</v>
      </c>
      <c r="I382" t="s">
        <v>139</v>
      </c>
      <c r="J382" t="s">
        <v>287</v>
      </c>
      <c r="K382" s="22">
        <f t="shared" si="90"/>
        <v>15.353527292296844</v>
      </c>
      <c r="L382" s="22">
        <f t="shared" si="94"/>
        <v>15.220371053361493</v>
      </c>
      <c r="M382" s="22">
        <f t="shared" si="94"/>
        <v>15.169682504177887</v>
      </c>
      <c r="N382" s="22">
        <f t="shared" si="94"/>
        <v>14.967111251021189</v>
      </c>
      <c r="O382" s="22">
        <f t="shared" si="94"/>
        <v>14.673074129931962</v>
      </c>
      <c r="P382" s="22">
        <f t="shared" si="94"/>
        <v>14.293651368256896</v>
      </c>
      <c r="Q382" s="22">
        <f t="shared" si="94"/>
        <v>13.994389539168758</v>
      </c>
      <c r="R382" s="22">
        <f t="shared" si="94"/>
        <v>13.711253827544139</v>
      </c>
      <c r="S382" s="22">
        <f t="shared" si="94"/>
        <v>12.169037780121926</v>
      </c>
      <c r="T382" s="22">
        <f t="shared" si="94"/>
        <v>12.401807134203059</v>
      </c>
      <c r="U382" s="22">
        <f t="shared" si="94"/>
        <v>12.526260010284002</v>
      </c>
      <c r="V382" s="22">
        <f t="shared" si="94"/>
        <v>12.622062683352066</v>
      </c>
      <c r="W382" s="22">
        <f t="shared" si="94"/>
        <v>12.760674268300837</v>
      </c>
      <c r="X382" s="22">
        <f t="shared" si="94"/>
        <v>12.873164971451276</v>
      </c>
      <c r="Y382" s="22">
        <f t="shared" si="94"/>
        <v>12.945682732607438</v>
      </c>
      <c r="Z382" s="22">
        <f t="shared" si="94"/>
        <v>13.002132383564884</v>
      </c>
      <c r="AA382" s="22">
        <f t="shared" si="94"/>
        <v>13.037118833745307</v>
      </c>
      <c r="AB382" s="22">
        <f t="shared" si="94"/>
        <v>13.140692477306542</v>
      </c>
      <c r="AC382" s="22">
        <f t="shared" si="94"/>
        <v>13.233883747502103</v>
      </c>
      <c r="AD382" s="22">
        <f t="shared" si="94"/>
        <v>13.23869020405356</v>
      </c>
      <c r="AE382" s="22">
        <f t="shared" si="94"/>
        <v>13.301119774765679</v>
      </c>
      <c r="AF382" s="22">
        <f t="shared" si="94"/>
        <v>13.383674683163292</v>
      </c>
      <c r="AG382" s="22">
        <f t="shared" si="94"/>
        <v>13.522276087147475</v>
      </c>
      <c r="AH382" s="22">
        <f t="shared" si="94"/>
        <v>13.544412944106279</v>
      </c>
      <c r="AI382" s="22">
        <f t="shared" si="94"/>
        <v>13.542089215214004</v>
      </c>
      <c r="AJ382" s="22">
        <f t="shared" si="94"/>
        <v>13.562424652219031</v>
      </c>
      <c r="AK382" s="22">
        <f t="shared" si="94"/>
        <v>13.558671299619801</v>
      </c>
      <c r="AL382" s="22">
        <f t="shared" si="94"/>
        <v>13.561543071773121</v>
      </c>
      <c r="AM382" s="22">
        <f t="shared" si="94"/>
        <v>13.555025657095664</v>
      </c>
      <c r="AN382" s="22">
        <f t="shared" si="94"/>
        <v>13.65231474834372</v>
      </c>
      <c r="AO382" s="22">
        <f t="shared" si="94"/>
        <v>13.72348724176244</v>
      </c>
      <c r="AP382" s="22">
        <f t="shared" si="94"/>
        <v>13.790553263000465</v>
      </c>
      <c r="AQ382" s="22">
        <f t="shared" si="94"/>
        <v>13.858644184626581</v>
      </c>
      <c r="AR382" s="22">
        <f t="shared" si="94"/>
        <v>13.929236621781989</v>
      </c>
      <c r="AS382" s="22">
        <f t="shared" si="94"/>
        <v>14.039863069721484</v>
      </c>
      <c r="AT382" s="22">
        <f t="shared" si="94"/>
        <v>14.008704095961466</v>
      </c>
      <c r="AU382" s="22">
        <f t="shared" si="94"/>
        <v>13.961987215392144</v>
      </c>
      <c r="AV382" s="22">
        <f t="shared" si="94"/>
        <v>13.913601198226885</v>
      </c>
      <c r="AW382" s="22">
        <f t="shared" si="94"/>
        <v>13.857756490863558</v>
      </c>
      <c r="AY382" s="79"/>
    </row>
    <row r="383" spans="1:51" x14ac:dyDescent="0.2">
      <c r="A383" s="95" t="str">
        <f t="shared" si="93"/>
        <v>GS U&amp;D</v>
      </c>
      <c r="B383" s="95" t="s">
        <v>1021</v>
      </c>
      <c r="C383" s="95" t="s">
        <v>1336</v>
      </c>
      <c r="D383" t="s">
        <v>369</v>
      </c>
      <c r="E383" t="s">
        <v>55</v>
      </c>
      <c r="F383" t="s">
        <v>422</v>
      </c>
      <c r="G383" t="s">
        <v>1160</v>
      </c>
      <c r="H383" t="s">
        <v>1244</v>
      </c>
      <c r="I383" t="s">
        <v>139</v>
      </c>
      <c r="J383" t="s">
        <v>287</v>
      </c>
      <c r="K383" s="22">
        <f t="shared" si="90"/>
        <v>9.6543103644621464</v>
      </c>
      <c r="L383" s="22">
        <f t="shared" si="94"/>
        <v>9.5705816138517683</v>
      </c>
      <c r="M383" s="22">
        <f t="shared" si="94"/>
        <v>9.5387086131773007</v>
      </c>
      <c r="N383" s="22">
        <f t="shared" si="94"/>
        <v>9.4113316455488931</v>
      </c>
      <c r="O383" s="22">
        <f t="shared" si="94"/>
        <v>9.22644086627548</v>
      </c>
      <c r="P383" s="22">
        <f t="shared" si="94"/>
        <v>8.9878595272244652</v>
      </c>
      <c r="Q383" s="22">
        <f t="shared" si="94"/>
        <v>8.7996834473406587</v>
      </c>
      <c r="R383" s="22">
        <f t="shared" si="94"/>
        <v>8.6216474831450967</v>
      </c>
      <c r="S383" s="22">
        <f t="shared" si="94"/>
        <v>7.6519007866750153</v>
      </c>
      <c r="T383" s="22">
        <f t="shared" si="94"/>
        <v>7.79826634455969</v>
      </c>
      <c r="U383" s="22">
        <f t="shared" si="94"/>
        <v>7.8765224135763656</v>
      </c>
      <c r="V383" s="22">
        <f t="shared" si="94"/>
        <v>7.9367632117940001</v>
      </c>
      <c r="W383" s="22">
        <f t="shared" si="94"/>
        <v>8.0239222883846164</v>
      </c>
      <c r="X383" s="22">
        <f t="shared" si="94"/>
        <v>8.0946565333991707</v>
      </c>
      <c r="Y383" s="22">
        <f t="shared" si="94"/>
        <v>8.1402557601963093</v>
      </c>
      <c r="Z383" s="22">
        <f t="shared" si="94"/>
        <v>8.175751346320169</v>
      </c>
      <c r="AA383" s="22">
        <f t="shared" si="94"/>
        <v>8.1977508544567819</v>
      </c>
      <c r="AB383" s="22">
        <f t="shared" si="94"/>
        <v>8.2628780451981587</v>
      </c>
      <c r="AC383" s="22">
        <f t="shared" si="94"/>
        <v>8.3214767911799861</v>
      </c>
      <c r="AD383" s="22">
        <f t="shared" si="94"/>
        <v>8.3244990949423538</v>
      </c>
      <c r="AE383" s="22">
        <f t="shared" si="94"/>
        <v>8.3637548594387177</v>
      </c>
      <c r="AF383" s="22">
        <f t="shared" si="94"/>
        <v>8.4156654525296073</v>
      </c>
      <c r="AG383" s="22">
        <f t="shared" si="94"/>
        <v>8.5028181273214702</v>
      </c>
      <c r="AH383" s="22">
        <f t="shared" si="94"/>
        <v>8.5167378008600192</v>
      </c>
      <c r="AI383" s="22">
        <f t="shared" si="94"/>
        <v>8.515276638255374</v>
      </c>
      <c r="AJ383" s="22">
        <f t="shared" si="94"/>
        <v>8.5280635774717464</v>
      </c>
      <c r="AK383" s="22">
        <f t="shared" si="94"/>
        <v>8.5257034663252735</v>
      </c>
      <c r="AL383" s="22">
        <f t="shared" si="94"/>
        <v>8.5275092389751901</v>
      </c>
      <c r="AM383" s="22">
        <f t="shared" si="94"/>
        <v>8.5234110833610295</v>
      </c>
      <c r="AN383" s="22">
        <f t="shared" si="94"/>
        <v>8.5845865425310173</v>
      </c>
      <c r="AO383" s="22">
        <f t="shared" si="94"/>
        <v>8.6293398638881058</v>
      </c>
      <c r="AP383" s="22">
        <f t="shared" si="94"/>
        <v>8.6715110322206357</v>
      </c>
      <c r="AQ383" s="22">
        <f t="shared" si="94"/>
        <v>8.7143266587451382</v>
      </c>
      <c r="AR383" s="22">
        <f t="shared" si="94"/>
        <v>8.7587152402552686</v>
      </c>
      <c r="AS383" s="22">
        <f t="shared" si="94"/>
        <v>8.8282772400871714</v>
      </c>
      <c r="AT383" s="22">
        <f t="shared" si="94"/>
        <v>8.8086844522156653</v>
      </c>
      <c r="AU383" s="22">
        <f t="shared" si="94"/>
        <v>8.7793088399743002</v>
      </c>
      <c r="AV383" s="22">
        <f t="shared" si="94"/>
        <v>8.7488836732930295</v>
      </c>
      <c r="AW383" s="22">
        <f t="shared" si="94"/>
        <v>8.7137684761898431</v>
      </c>
      <c r="AY383" s="79"/>
    </row>
    <row r="384" spans="1:51" x14ac:dyDescent="0.2">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2">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5.9177410166742819</v>
      </c>
      <c r="T385" s="22">
        <f t="shared" si="94"/>
        <v>5.9267532558831455</v>
      </c>
      <c r="U385" s="22">
        <f t="shared" si="94"/>
        <v>5.9369392429781076</v>
      </c>
      <c r="V385" s="22">
        <f t="shared" si="94"/>
        <v>5.9484299369724756</v>
      </c>
      <c r="W385" s="22">
        <f t="shared" si="94"/>
        <v>5.9613561230675689</v>
      </c>
      <c r="X385" s="22">
        <f t="shared" si="94"/>
        <v>5.9754482628979506</v>
      </c>
      <c r="Y385" s="22">
        <f t="shared" si="94"/>
        <v>5.9840189867940028</v>
      </c>
      <c r="Z385" s="22">
        <f t="shared" si="94"/>
        <v>5.9935919924924663</v>
      </c>
      <c r="AA385" s="22">
        <f t="shared" si="94"/>
        <v>6.0040970561873648</v>
      </c>
      <c r="AB385" s="22">
        <f t="shared" si="94"/>
        <v>6.015772019922915</v>
      </c>
      <c r="AC385" s="22">
        <f t="shared" si="94"/>
        <v>6.0283300293613564</v>
      </c>
      <c r="AD385" s="22">
        <f t="shared" si="94"/>
        <v>6.0365358206617943</v>
      </c>
      <c r="AE385" s="22">
        <f t="shared" si="94"/>
        <v>6.0457468580703022</v>
      </c>
      <c r="AF385" s="22">
        <f t="shared" si="94"/>
        <v>6.0558159935957239</v>
      </c>
      <c r="AG385" s="22">
        <f t="shared" si="94"/>
        <v>6.0668477974371191</v>
      </c>
      <c r="AH385" s="22">
        <f t="shared" si="94"/>
        <v>6.0782061128825768</v>
      </c>
      <c r="AI385" s="22">
        <f t="shared" si="94"/>
        <v>6.0851673422995747</v>
      </c>
      <c r="AJ385" s="22">
        <f t="shared" si="94"/>
        <v>6.0928574061867389</v>
      </c>
      <c r="AK385" s="22">
        <f t="shared" si="94"/>
        <v>6.1010802783379781</v>
      </c>
      <c r="AL385" s="22">
        <f t="shared" si="94"/>
        <v>6.1099337878320572</v>
      </c>
      <c r="AM385" s="22">
        <f t="shared" si="94"/>
        <v>6.1193379299301505</v>
      </c>
      <c r="AN385" s="22">
        <f t="shared" si="94"/>
        <v>6.1247915653472518</v>
      </c>
      <c r="AO385" s="22">
        <f t="shared" si="94"/>
        <v>6.1306576553625556</v>
      </c>
      <c r="AP385" s="22">
        <f t="shared" si="94"/>
        <v>6.1370111691436762</v>
      </c>
      <c r="AQ385" s="22">
        <f t="shared" si="94"/>
        <v>6.1438608776263539</v>
      </c>
      <c r="AR385" s="22">
        <f t="shared" si="94"/>
        <v>6.1512019925053671</v>
      </c>
      <c r="AS385" s="22">
        <f t="shared" si="94"/>
        <v>6.1544845731259219</v>
      </c>
      <c r="AT385" s="22">
        <f t="shared" si="94"/>
        <v>6.1575398722372316</v>
      </c>
      <c r="AU385" s="22">
        <f t="shared" si="94"/>
        <v>6.1609269818317118</v>
      </c>
      <c r="AV385" s="22">
        <f t="shared" si="94"/>
        <v>6.1647001939833732</v>
      </c>
      <c r="AW385" s="22">
        <f t="shared" si="94"/>
        <v>6.1688206661186156</v>
      </c>
      <c r="AY385" s="79"/>
    </row>
    <row r="386" spans="1:51" x14ac:dyDescent="0.2">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0.66059463009348052</v>
      </c>
      <c r="T386" s="22">
        <f t="shared" si="94"/>
        <v>0.66160066209280566</v>
      </c>
      <c r="U386" s="22">
        <f t="shared" si="94"/>
        <v>0.66273771901337264</v>
      </c>
      <c r="V386" s="22">
        <f t="shared" si="94"/>
        <v>0.66402041974788251</v>
      </c>
      <c r="W386" s="22">
        <f t="shared" si="94"/>
        <v>0.66546336378648574</v>
      </c>
      <c r="X386" s="22">
        <f t="shared" si="94"/>
        <v>0.66703646268896311</v>
      </c>
      <c r="Y386" s="22">
        <f t="shared" si="94"/>
        <v>0.66799320854279376</v>
      </c>
      <c r="Z386" s="22">
        <f t="shared" si="94"/>
        <v>0.66906183864006219</v>
      </c>
      <c r="AA386" s="22">
        <f t="shared" si="94"/>
        <v>0.67023451393053002</v>
      </c>
      <c r="AB386" s="22">
        <f t="shared" si="94"/>
        <v>0.67153778460907243</v>
      </c>
      <c r="AC386" s="22">
        <f t="shared" si="94"/>
        <v>0.67293962926167272</v>
      </c>
      <c r="AD386" s="22">
        <f t="shared" si="94"/>
        <v>0.67385563786249902</v>
      </c>
      <c r="AE386" s="22">
        <f t="shared" si="94"/>
        <v>0.67488386161080183</v>
      </c>
      <c r="AF386" s="22">
        <f t="shared" si="94"/>
        <v>0.67600787444594213</v>
      </c>
      <c r="AG386" s="22">
        <f t="shared" si="94"/>
        <v>0.67723934948976972</v>
      </c>
      <c r="AH386" s="22">
        <f t="shared" si="94"/>
        <v>0.6785072728694912</v>
      </c>
      <c r="AI386" s="22">
        <f t="shared" si="94"/>
        <v>0.67928435161605349</v>
      </c>
      <c r="AJ386" s="22">
        <f t="shared" si="94"/>
        <v>0.68014278980971932</v>
      </c>
      <c r="AK386" s="22">
        <f t="shared" si="94"/>
        <v>0.68106070513784001</v>
      </c>
      <c r="AL386" s="22">
        <f t="shared" si="94"/>
        <v>0.68204901821419661</v>
      </c>
      <c r="AM386" s="22">
        <f t="shared" si="94"/>
        <v>0.68309879814764285</v>
      </c>
      <c r="AN386" s="22">
        <f t="shared" si="94"/>
        <v>0.68370758488921768</v>
      </c>
      <c r="AO386" s="22">
        <f t="shared" si="94"/>
        <v>0.68436241374246343</v>
      </c>
      <c r="AP386" s="22">
        <f t="shared" si="94"/>
        <v>0.68507165348009424</v>
      </c>
      <c r="AQ386" s="22">
        <f t="shared" si="94"/>
        <v>0.68583628319751733</v>
      </c>
      <c r="AR386" s="22">
        <f t="shared" si="94"/>
        <v>0.68665576837848608</v>
      </c>
      <c r="AS386" s="22">
        <f t="shared" si="94"/>
        <v>0.68702220130021696</v>
      </c>
      <c r="AT386" s="22">
        <f t="shared" si="94"/>
        <v>0.68736326289459471</v>
      </c>
      <c r="AU386" s="22">
        <f t="shared" si="94"/>
        <v>0.6877413643362339</v>
      </c>
      <c r="AV386" s="22">
        <f t="shared" si="94"/>
        <v>0.68816256622367178</v>
      </c>
      <c r="AW386" s="22">
        <f t="shared" si="94"/>
        <v>0.68862253257879269</v>
      </c>
      <c r="AY386" s="79"/>
    </row>
    <row r="387" spans="1:51" x14ac:dyDescent="0.2">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0.72463138273575967</v>
      </c>
      <c r="O387" s="22">
        <f t="shared" si="94"/>
        <v>0.72832072886952293</v>
      </c>
      <c r="P387" s="22">
        <f t="shared" si="94"/>
        <v>0.7325443847928953</v>
      </c>
      <c r="Q387" s="22">
        <f t="shared" si="94"/>
        <v>0.73708994755228407</v>
      </c>
      <c r="R387" s="22">
        <f t="shared" si="94"/>
        <v>0.74193942345928476</v>
      </c>
      <c r="S387" s="22">
        <f t="shared" si="94"/>
        <v>0.74639464232983788</v>
      </c>
      <c r="T387" s="22">
        <f t="shared" si="94"/>
        <v>0.74856351716878611</v>
      </c>
      <c r="U387" s="22">
        <f t="shared" ref="L387:AW393" si="95">U1490</f>
        <v>0.7508946920259173</v>
      </c>
      <c r="V387" s="22">
        <f t="shared" si="95"/>
        <v>0.75341667510432941</v>
      </c>
      <c r="W387" s="22">
        <f t="shared" si="95"/>
        <v>0.75615715708667941</v>
      </c>
      <c r="X387" s="22">
        <f t="shared" si="95"/>
        <v>0.75906737547896641</v>
      </c>
      <c r="Y387" s="22">
        <f t="shared" si="95"/>
        <v>0.76088672130758961</v>
      </c>
      <c r="Z387" s="22">
        <f t="shared" si="95"/>
        <v>0.76285477171358229</v>
      </c>
      <c r="AA387" s="22">
        <f t="shared" si="95"/>
        <v>0.76495995173574494</v>
      </c>
      <c r="AB387" s="22">
        <f t="shared" si="95"/>
        <v>0.76724835481418519</v>
      </c>
      <c r="AC387" s="22">
        <f t="shared" si="95"/>
        <v>0.76966726525164153</v>
      </c>
      <c r="AD387" s="22">
        <f t="shared" si="95"/>
        <v>0.77123981630413885</v>
      </c>
      <c r="AE387" s="22">
        <f t="shared" si="95"/>
        <v>0.7729717745117366</v>
      </c>
      <c r="AF387" s="22">
        <f t="shared" si="95"/>
        <v>0.77483635735979484</v>
      </c>
      <c r="AG387" s="22">
        <f t="shared" si="95"/>
        <v>0.77685363069924696</v>
      </c>
      <c r="AH387" s="22">
        <f t="shared" si="95"/>
        <v>0.7789061253482048</v>
      </c>
      <c r="AI387" s="22">
        <f t="shared" si="95"/>
        <v>0.78012107515728923</v>
      </c>
      <c r="AJ387" s="22">
        <f t="shared" si="95"/>
        <v>0.78145074369480261</v>
      </c>
      <c r="AK387" s="22">
        <f t="shared" si="95"/>
        <v>0.7828593435343304</v>
      </c>
      <c r="AL387" s="22">
        <f t="shared" si="95"/>
        <v>0.78436534735883467</v>
      </c>
      <c r="AM387" s="22">
        <f t="shared" si="95"/>
        <v>0.78595438278227181</v>
      </c>
      <c r="AN387" s="22">
        <f t="shared" si="95"/>
        <v>0.78680169998206073</v>
      </c>
      <c r="AO387" s="22">
        <f t="shared" si="95"/>
        <v>0.78771028208261162</v>
      </c>
      <c r="AP387" s="22">
        <f t="shared" si="95"/>
        <v>0.78869414542587013</v>
      </c>
      <c r="AQ387" s="22">
        <f t="shared" si="95"/>
        <v>0.78975510213576938</v>
      </c>
      <c r="AR387" s="22">
        <f t="shared" si="95"/>
        <v>0.79089245177101786</v>
      </c>
      <c r="AS387" s="22">
        <f t="shared" si="95"/>
        <v>0.79127935129009708</v>
      </c>
      <c r="AT387" s="22">
        <f t="shared" si="95"/>
        <v>0.7916151974997605</v>
      </c>
      <c r="AU387" s="22">
        <f t="shared" si="95"/>
        <v>0.79200195212614188</v>
      </c>
      <c r="AV387" s="22">
        <f t="shared" si="95"/>
        <v>0.79244958629193585</v>
      </c>
      <c r="AW387" s="22">
        <f t="shared" si="95"/>
        <v>0.79295116872451854</v>
      </c>
      <c r="AY387" s="79"/>
    </row>
    <row r="388" spans="1:51" x14ac:dyDescent="0.2">
      <c r="A388" s="95" t="str">
        <f t="shared" si="93"/>
        <v>GS U&amp;D</v>
      </c>
      <c r="B388" s="95" t="s">
        <v>1021</v>
      </c>
      <c r="C388" s="95" t="s">
        <v>1336</v>
      </c>
      <c r="D388" t="s">
        <v>369</v>
      </c>
      <c r="E388" t="s">
        <v>55</v>
      </c>
      <c r="F388" t="s">
        <v>422</v>
      </c>
      <c r="G388" t="s">
        <v>1170</v>
      </c>
      <c r="H388" t="s">
        <v>1249</v>
      </c>
      <c r="I388" t="s">
        <v>139</v>
      </c>
      <c r="J388" t="s">
        <v>287</v>
      </c>
      <c r="K388" s="22">
        <f t="shared" si="90"/>
        <v>1.1867254191644501</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1.2198688909683482</v>
      </c>
      <c r="R388" s="22">
        <f t="shared" si="95"/>
        <v>1.2278946750888551</v>
      </c>
      <c r="S388" s="22">
        <f t="shared" si="95"/>
        <v>1.2352679718224364</v>
      </c>
      <c r="T388" s="22">
        <f t="shared" si="95"/>
        <v>1.2388574156253576</v>
      </c>
      <c r="U388" s="22">
        <f t="shared" si="95"/>
        <v>1.2427154626616324</v>
      </c>
      <c r="V388" s="22">
        <f t="shared" si="95"/>
        <v>1.2468892934283116</v>
      </c>
      <c r="W388" s="22">
        <f t="shared" si="95"/>
        <v>1.2514247354427215</v>
      </c>
      <c r="X388" s="22">
        <f t="shared" si="95"/>
        <v>1.2562410877677852</v>
      </c>
      <c r="Y388" s="22">
        <f t="shared" si="95"/>
        <v>1.2592520681584702</v>
      </c>
      <c r="Z388" s="22">
        <f t="shared" si="95"/>
        <v>1.2625091516041205</v>
      </c>
      <c r="AA388" s="22">
        <f t="shared" si="95"/>
        <v>1.2659931817790702</v>
      </c>
      <c r="AB388" s="22">
        <f t="shared" si="95"/>
        <v>1.2697804423904187</v>
      </c>
      <c r="AC388" s="22">
        <f t="shared" si="95"/>
        <v>1.2737836900299913</v>
      </c>
      <c r="AD388" s="22">
        <f t="shared" si="95"/>
        <v>1.2763862300792366</v>
      </c>
      <c r="AE388" s="22">
        <f t="shared" si="95"/>
        <v>1.2792525857321959</v>
      </c>
      <c r="AF388" s="22">
        <f t="shared" si="95"/>
        <v>1.2823384324711629</v>
      </c>
      <c r="AG388" s="22">
        <f t="shared" si="95"/>
        <v>1.2856769788718418</v>
      </c>
      <c r="AH388" s="22">
        <f t="shared" si="95"/>
        <v>1.2890738158243156</v>
      </c>
      <c r="AI388" s="22">
        <f t="shared" si="95"/>
        <v>1.2910845330795322</v>
      </c>
      <c r="AJ388" s="22">
        <f t="shared" si="95"/>
        <v>1.2932851075000604</v>
      </c>
      <c r="AK388" s="22">
        <f t="shared" si="95"/>
        <v>1.2956163116221209</v>
      </c>
      <c r="AL388" s="22">
        <f t="shared" si="95"/>
        <v>1.2981087173607861</v>
      </c>
      <c r="AM388" s="22">
        <f t="shared" si="95"/>
        <v>1.3007385387090959</v>
      </c>
      <c r="AN388" s="22">
        <f t="shared" si="95"/>
        <v>1.3021408314635115</v>
      </c>
      <c r="AO388" s="22">
        <f t="shared" si="95"/>
        <v>1.303644516384237</v>
      </c>
      <c r="AP388" s="22">
        <f t="shared" si="95"/>
        <v>1.3052727902324839</v>
      </c>
      <c r="AQ388" s="22">
        <f t="shared" si="95"/>
        <v>1.3070286520365533</v>
      </c>
      <c r="AR388" s="22">
        <f t="shared" si="95"/>
        <v>1.308910942580334</v>
      </c>
      <c r="AS388" s="22">
        <f t="shared" si="95"/>
        <v>1.3095512534254661</v>
      </c>
      <c r="AT388" s="22">
        <f t="shared" si="95"/>
        <v>1.3101070720805417</v>
      </c>
      <c r="AU388" s="22">
        <f t="shared" si="95"/>
        <v>1.310747143131201</v>
      </c>
      <c r="AV388" s="22">
        <f t="shared" si="95"/>
        <v>1.3114879685829661</v>
      </c>
      <c r="AW388" s="22">
        <f t="shared" si="95"/>
        <v>1.312318077320435</v>
      </c>
      <c r="AY388" s="79"/>
    </row>
    <row r="389" spans="1:51" x14ac:dyDescent="0.2">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0.19368291106027899</v>
      </c>
      <c r="P389" s="22">
        <f t="shared" si="95"/>
        <v>0.19253602379697463</v>
      </c>
      <c r="Q389" s="22">
        <f t="shared" si="95"/>
        <v>0.19190012409058904</v>
      </c>
      <c r="R389" s="22">
        <f t="shared" si="95"/>
        <v>0.19132863754616405</v>
      </c>
      <c r="S389" s="22">
        <f t="shared" si="95"/>
        <v>0.18119977029128689</v>
      </c>
      <c r="T389" s="22">
        <f t="shared" si="95"/>
        <v>0.18372263045933149</v>
      </c>
      <c r="U389" s="22">
        <f t="shared" si="95"/>
        <v>0.18542569851972082</v>
      </c>
      <c r="V389" s="22">
        <f t="shared" si="95"/>
        <v>0.18690586811212617</v>
      </c>
      <c r="W389" s="22">
        <f t="shared" si="95"/>
        <v>0.18871846813186952</v>
      </c>
      <c r="X389" s="22">
        <f t="shared" si="95"/>
        <v>0.19032856308746704</v>
      </c>
      <c r="Y389" s="22">
        <f t="shared" si="95"/>
        <v>0.19181155412665482</v>
      </c>
      <c r="Z389" s="22">
        <f t="shared" si="95"/>
        <v>0.19316694252651395</v>
      </c>
      <c r="AA389" s="22">
        <f t="shared" si="95"/>
        <v>0.19434817692528195</v>
      </c>
      <c r="AB389" s="22">
        <f t="shared" si="95"/>
        <v>0.19609130445368728</v>
      </c>
      <c r="AC389" s="22">
        <f t="shared" si="95"/>
        <v>0.19775823400143536</v>
      </c>
      <c r="AD389" s="22">
        <f t="shared" si="95"/>
        <v>0.19979376823512379</v>
      </c>
      <c r="AE389" s="22">
        <f t="shared" si="95"/>
        <v>0.2023779928594536</v>
      </c>
      <c r="AF389" s="22">
        <f t="shared" si="95"/>
        <v>0.20521413875451175</v>
      </c>
      <c r="AG389" s="22">
        <f t="shared" si="95"/>
        <v>0.20863865671050874</v>
      </c>
      <c r="AH389" s="22">
        <f t="shared" si="95"/>
        <v>0.21111219620408483</v>
      </c>
      <c r="AI389" s="22">
        <f t="shared" si="95"/>
        <v>0.21359919528074695</v>
      </c>
      <c r="AJ389" s="22">
        <f t="shared" si="95"/>
        <v>0.21637994777249434</v>
      </c>
      <c r="AK389" s="22">
        <f t="shared" si="95"/>
        <v>0.21901936705190489</v>
      </c>
      <c r="AL389" s="22">
        <f t="shared" si="95"/>
        <v>0.22181322909338433</v>
      </c>
      <c r="AM389" s="22">
        <f t="shared" si="95"/>
        <v>0.22460946011468219</v>
      </c>
      <c r="AN389" s="22">
        <f t="shared" si="95"/>
        <v>0.22803030127957039</v>
      </c>
      <c r="AO389" s="22">
        <f t="shared" si="95"/>
        <v>0.23127378160095582</v>
      </c>
      <c r="AP389" s="22">
        <f t="shared" si="95"/>
        <v>0.23456525375289961</v>
      </c>
      <c r="AQ389" s="22">
        <f t="shared" si="95"/>
        <v>0.23796293573474386</v>
      </c>
      <c r="AR389" s="22">
        <f t="shared" si="95"/>
        <v>0.24148877503172564</v>
      </c>
      <c r="AS389" s="22">
        <f t="shared" si="95"/>
        <v>0.24576012405635958</v>
      </c>
      <c r="AT389" s="22">
        <f t="shared" si="95"/>
        <v>0.24853256796744563</v>
      </c>
      <c r="AU389" s="22">
        <f t="shared" si="95"/>
        <v>0.25120157665253162</v>
      </c>
      <c r="AV389" s="22">
        <f t="shared" si="95"/>
        <v>0.25392762754999298</v>
      </c>
      <c r="AW389" s="22">
        <f t="shared" si="95"/>
        <v>0.25664306300563272</v>
      </c>
      <c r="AY389" s="79"/>
    </row>
    <row r="390" spans="1:51" x14ac:dyDescent="0.2">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2">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2">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2">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2">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2">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2">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2">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2">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2">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2">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2">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2">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2">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2">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2">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2">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2">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0.66038869625937391</v>
      </c>
      <c r="U407" s="22">
        <f t="shared" si="97"/>
        <v>0.66020342469478921</v>
      </c>
      <c r="V407" s="22">
        <f t="shared" si="97"/>
        <v>0.66005840725031206</v>
      </c>
      <c r="W407" s="22">
        <f t="shared" si="97"/>
        <v>0.65992416571177226</v>
      </c>
      <c r="X407" s="22">
        <f t="shared" si="97"/>
        <v>0.65977411232427086</v>
      </c>
      <c r="Y407" s="22">
        <f t="shared" si="97"/>
        <v>0.65963380636148372</v>
      </c>
      <c r="Z407" s="22">
        <f t="shared" ref="L407:AW414" si="98">Z1510</f>
        <v>0.65950885900535394</v>
      </c>
      <c r="AA407" s="22">
        <f t="shared" si="98"/>
        <v>0.65938996649107751</v>
      </c>
      <c r="AB407" s="22">
        <f t="shared" si="98"/>
        <v>0.65927919026350434</v>
      </c>
      <c r="AC407" s="22">
        <f t="shared" si="98"/>
        <v>0.65914248070564796</v>
      </c>
      <c r="AD407" s="22">
        <f t="shared" si="98"/>
        <v>0.65900953819081531</v>
      </c>
      <c r="AE407" s="22">
        <f t="shared" si="98"/>
        <v>0.65886770470789013</v>
      </c>
      <c r="AF407" s="22">
        <f t="shared" si="98"/>
        <v>0.65870194021035933</v>
      </c>
      <c r="AG407" s="22">
        <f t="shared" si="98"/>
        <v>0.65852622329414567</v>
      </c>
      <c r="AH407" s="22">
        <f t="shared" si="98"/>
        <v>0.65832642389355089</v>
      </c>
      <c r="AI407" s="22">
        <f t="shared" si="98"/>
        <v>0.6581693318477011</v>
      </c>
      <c r="AJ407" s="22">
        <f t="shared" si="98"/>
        <v>0.65801985919199812</v>
      </c>
      <c r="AK407" s="22">
        <f t="shared" si="98"/>
        <v>0.65785915117586091</v>
      </c>
      <c r="AL407" s="22">
        <f t="shared" si="98"/>
        <v>0.65770555695996225</v>
      </c>
      <c r="AM407" s="22">
        <f t="shared" si="98"/>
        <v>0.65754680730045456</v>
      </c>
      <c r="AN407" s="22">
        <f t="shared" si="98"/>
        <v>0.65738921443316178</v>
      </c>
      <c r="AO407" s="22">
        <f t="shared" si="98"/>
        <v>0.65721499435540864</v>
      </c>
      <c r="AP407" s="22">
        <f t="shared" si="98"/>
        <v>0.65704963238558323</v>
      </c>
      <c r="AQ407" s="22">
        <f t="shared" si="98"/>
        <v>0.65688413494168396</v>
      </c>
      <c r="AR407" s="22">
        <f t="shared" si="98"/>
        <v>0.65671634182939487</v>
      </c>
      <c r="AS407" s="22">
        <f t="shared" si="98"/>
        <v>0.65654557216665388</v>
      </c>
      <c r="AT407" s="22">
        <f t="shared" si="98"/>
        <v>0.65635649622881898</v>
      </c>
      <c r="AU407" s="22">
        <f t="shared" si="98"/>
        <v>0.65622389108641888</v>
      </c>
      <c r="AV407" s="22">
        <f t="shared" si="98"/>
        <v>0.65609603440705455</v>
      </c>
      <c r="AW407" s="22">
        <f t="shared" si="98"/>
        <v>0.65596714127254918</v>
      </c>
      <c r="AY407" s="79"/>
    </row>
    <row r="408" spans="1:51" x14ac:dyDescent="0.2">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8.7171307906237401E-3</v>
      </c>
      <c r="U408" s="22">
        <f t="shared" si="98"/>
        <v>8.714685205971219E-3</v>
      </c>
      <c r="V408" s="22">
        <f t="shared" si="98"/>
        <v>8.7127709757041216E-3</v>
      </c>
      <c r="W408" s="22">
        <f t="shared" si="98"/>
        <v>8.7109989873953957E-3</v>
      </c>
      <c r="X408" s="22">
        <f t="shared" si="98"/>
        <v>8.7090182826803763E-3</v>
      </c>
      <c r="Y408" s="22">
        <f t="shared" si="98"/>
        <v>8.7071662439715883E-3</v>
      </c>
      <c r="Z408" s="22">
        <f t="shared" si="98"/>
        <v>8.7055169388706739E-3</v>
      </c>
      <c r="AA408" s="22">
        <f t="shared" si="98"/>
        <v>8.7039475576822217E-3</v>
      </c>
      <c r="AB408" s="22">
        <f t="shared" si="98"/>
        <v>8.7024853114782592E-3</v>
      </c>
      <c r="AC408" s="22">
        <f t="shared" si="98"/>
        <v>8.7006807453145554E-3</v>
      </c>
      <c r="AD408" s="22">
        <f t="shared" si="98"/>
        <v>8.6989259041187622E-3</v>
      </c>
      <c r="AE408" s="22">
        <f t="shared" si="98"/>
        <v>8.6970537021441498E-3</v>
      </c>
      <c r="AF408" s="22">
        <f t="shared" si="98"/>
        <v>8.6948656107767464E-3</v>
      </c>
      <c r="AG408" s="22">
        <f t="shared" si="98"/>
        <v>8.6925461474827246E-3</v>
      </c>
      <c r="AH408" s="22">
        <f t="shared" si="98"/>
        <v>8.6899087953948712E-3</v>
      </c>
      <c r="AI408" s="22">
        <f t="shared" si="98"/>
        <v>8.6878351803896525E-3</v>
      </c>
      <c r="AJ408" s="22">
        <f t="shared" si="98"/>
        <v>8.685862141334379E-3</v>
      </c>
      <c r="AK408" s="22">
        <f t="shared" si="98"/>
        <v>8.6837407955213629E-3</v>
      </c>
      <c r="AL408" s="22">
        <f t="shared" si="98"/>
        <v>8.681713351871503E-3</v>
      </c>
      <c r="AM408" s="22">
        <f t="shared" si="98"/>
        <v>8.679617856366003E-3</v>
      </c>
      <c r="AN408" s="22">
        <f t="shared" si="98"/>
        <v>8.677537630517736E-3</v>
      </c>
      <c r="AO408" s="22">
        <f t="shared" si="98"/>
        <v>8.6752379254913976E-3</v>
      </c>
      <c r="AP408" s="22">
        <f t="shared" si="98"/>
        <v>8.6730551474897017E-3</v>
      </c>
      <c r="AQ408" s="22">
        <f t="shared" si="98"/>
        <v>8.6708705812302295E-3</v>
      </c>
      <c r="AR408" s="22">
        <f t="shared" si="98"/>
        <v>8.6686557121480167E-3</v>
      </c>
      <c r="AS408" s="22">
        <f t="shared" si="98"/>
        <v>8.6664015525998329E-3</v>
      </c>
      <c r="AT408" s="22">
        <f t="shared" si="98"/>
        <v>8.6639057502204114E-3</v>
      </c>
      <c r="AU408" s="22">
        <f t="shared" si="98"/>
        <v>8.6621553623407298E-3</v>
      </c>
      <c r="AV408" s="22">
        <f t="shared" si="98"/>
        <v>8.66046765417312E-3</v>
      </c>
      <c r="AW408" s="22">
        <f t="shared" si="98"/>
        <v>8.6587662647976526E-3</v>
      </c>
      <c r="AY408" s="79"/>
    </row>
    <row r="409" spans="1:51" x14ac:dyDescent="0.2">
      <c r="A409" s="95" t="str">
        <f t="shared" si="93"/>
        <v>GS Volatilisation</v>
      </c>
      <c r="B409" s="95" t="s">
        <v>1021</v>
      </c>
      <c r="C409" s="95" t="s">
        <v>62</v>
      </c>
      <c r="D409" t="s">
        <v>369</v>
      </c>
      <c r="E409" t="s">
        <v>61</v>
      </c>
      <c r="F409" t="s">
        <v>62</v>
      </c>
      <c r="G409" t="s">
        <v>437</v>
      </c>
      <c r="H409" t="s">
        <v>1186</v>
      </c>
      <c r="I409" t="s">
        <v>139</v>
      </c>
      <c r="J409" t="s">
        <v>287</v>
      </c>
      <c r="K409" s="22">
        <f t="shared" si="90"/>
        <v>1.2008407282256135</v>
      </c>
      <c r="L409" s="22">
        <f t="shared" si="98"/>
        <v>1.2019035107607596</v>
      </c>
      <c r="M409" s="22">
        <f t="shared" si="98"/>
        <v>1.2088775122881088</v>
      </c>
      <c r="N409" s="22">
        <f t="shared" si="98"/>
        <v>1.2055442230548155</v>
      </c>
      <c r="O409" s="22">
        <f t="shared" si="98"/>
        <v>1.1958435838326282</v>
      </c>
      <c r="P409" s="22">
        <f t="shared" si="98"/>
        <v>1.1799964998501222</v>
      </c>
      <c r="Q409" s="22">
        <f t="shared" si="98"/>
        <v>1.169776622170569</v>
      </c>
      <c r="R409" s="22">
        <f t="shared" si="98"/>
        <v>1.1606871439933113</v>
      </c>
      <c r="S409" s="22">
        <f t="shared" si="98"/>
        <v>1.0581466820913914</v>
      </c>
      <c r="T409" s="22">
        <f t="shared" si="98"/>
        <v>1.0811007370653605</v>
      </c>
      <c r="U409" s="22">
        <f t="shared" si="98"/>
        <v>1.0962373736212656</v>
      </c>
      <c r="V409" s="22">
        <f t="shared" si="98"/>
        <v>1.1094295908986627</v>
      </c>
      <c r="W409" s="22">
        <f t="shared" si="98"/>
        <v>1.1260819451253103</v>
      </c>
      <c r="X409" s="22">
        <f t="shared" si="98"/>
        <v>1.1409777774824073</v>
      </c>
      <c r="Y409" s="22">
        <f t="shared" si="98"/>
        <v>1.1529726027889684</v>
      </c>
      <c r="Z409" s="22">
        <f t="shared" si="98"/>
        <v>1.1639042106537316</v>
      </c>
      <c r="AA409" s="22">
        <f t="shared" si="98"/>
        <v>1.1733291691179792</v>
      </c>
      <c r="AB409" s="22">
        <f t="shared" si="98"/>
        <v>1.1883113875074136</v>
      </c>
      <c r="AC409" s="22">
        <f t="shared" si="98"/>
        <v>1.2027019182394856</v>
      </c>
      <c r="AD409" s="22">
        <f t="shared" si="98"/>
        <v>1.2149899149490335</v>
      </c>
      <c r="AE409" s="22">
        <f t="shared" si="98"/>
        <v>1.2323877476985694</v>
      </c>
      <c r="AF409" s="22">
        <f t="shared" si="98"/>
        <v>1.2520054927946573</v>
      </c>
      <c r="AG409" s="22">
        <f t="shared" si="98"/>
        <v>1.2769207481959246</v>
      </c>
      <c r="AH409" s="22">
        <f t="shared" si="98"/>
        <v>1.2928179151571899</v>
      </c>
      <c r="AI409" s="22">
        <f t="shared" si="98"/>
        <v>1.3071721599558817</v>
      </c>
      <c r="AJ409" s="22">
        <f t="shared" si="98"/>
        <v>1.3240396401072183</v>
      </c>
      <c r="AK409" s="22">
        <f t="shared" si="98"/>
        <v>1.3394377409062461</v>
      </c>
      <c r="AL409" s="22">
        <f t="shared" si="98"/>
        <v>1.3560429960988876</v>
      </c>
      <c r="AM409" s="22">
        <f t="shared" si="98"/>
        <v>1.3724754415260532</v>
      </c>
      <c r="AN409" s="22">
        <f t="shared" si="98"/>
        <v>1.3952859972976908</v>
      </c>
      <c r="AO409" s="22">
        <f t="shared" si="98"/>
        <v>1.4163366526625445</v>
      </c>
      <c r="AP409" s="22">
        <f t="shared" si="98"/>
        <v>1.4376236961609334</v>
      </c>
      <c r="AQ409" s="22">
        <f t="shared" si="98"/>
        <v>1.4596469584782656</v>
      </c>
      <c r="AR409" s="22">
        <f t="shared" si="98"/>
        <v>1.4825821629092799</v>
      </c>
      <c r="AS409" s="22">
        <f t="shared" si="98"/>
        <v>1.5100637913409878</v>
      </c>
      <c r="AT409" s="22">
        <f t="shared" si="98"/>
        <v>1.5244988187348365</v>
      </c>
      <c r="AU409" s="22">
        <f t="shared" si="98"/>
        <v>1.5379134396371121</v>
      </c>
      <c r="AV409" s="22">
        <f t="shared" si="98"/>
        <v>1.5516700859590873</v>
      </c>
      <c r="AW409" s="22">
        <f t="shared" si="98"/>
        <v>1.5651983516984527</v>
      </c>
      <c r="AY409" s="79"/>
    </row>
    <row r="410" spans="1:51" x14ac:dyDescent="0.2">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4.3473821211305586</v>
      </c>
      <c r="O410" s="22">
        <f t="shared" si="98"/>
        <v>4.3052096453824609</v>
      </c>
      <c r="P410" s="22">
        <f t="shared" si="98"/>
        <v>4.2496956169043703</v>
      </c>
      <c r="Q410" s="22">
        <f t="shared" si="98"/>
        <v>4.2083609134426787</v>
      </c>
      <c r="R410" s="22">
        <f t="shared" si="98"/>
        <v>4.1703852155628214</v>
      </c>
      <c r="S410" s="22">
        <f t="shared" si="98"/>
        <v>3.918985241839104</v>
      </c>
      <c r="T410" s="22">
        <f t="shared" si="98"/>
        <v>3.962647023266995</v>
      </c>
      <c r="U410" s="22">
        <f t="shared" si="98"/>
        <v>3.988397466462279</v>
      </c>
      <c r="V410" s="22">
        <f t="shared" si="98"/>
        <v>4.0097420759989726</v>
      </c>
      <c r="W410" s="22">
        <f t="shared" si="98"/>
        <v>4.0388232265836717</v>
      </c>
      <c r="X410" s="22">
        <f t="shared" si="98"/>
        <v>4.063881936096621</v>
      </c>
      <c r="Y410" s="22">
        <f t="shared" si="98"/>
        <v>4.0803176241982966</v>
      </c>
      <c r="Z410" s="22">
        <f t="shared" si="98"/>
        <v>4.0943719762440898</v>
      </c>
      <c r="AA410" s="22">
        <f t="shared" si="98"/>
        <v>4.1051027315234014</v>
      </c>
      <c r="AB410" s="22">
        <f t="shared" si="98"/>
        <v>4.1278786035109292</v>
      </c>
      <c r="AC410" s="22">
        <f t="shared" si="98"/>
        <v>4.149204796729399</v>
      </c>
      <c r="AD410" s="22">
        <f t="shared" si="98"/>
        <v>4.1548667718492807</v>
      </c>
      <c r="AE410" s="22">
        <f t="shared" si="98"/>
        <v>4.1707310137254909</v>
      </c>
      <c r="AF410" s="22">
        <f t="shared" si="98"/>
        <v>4.1903910179403239</v>
      </c>
      <c r="AG410" s="22">
        <f t="shared" si="98"/>
        <v>4.2200248954303605</v>
      </c>
      <c r="AH410" s="22">
        <f t="shared" si="98"/>
        <v>4.2299973767021726</v>
      </c>
      <c r="AI410" s="22">
        <f t="shared" si="98"/>
        <v>4.2344058167490939</v>
      </c>
      <c r="AJ410" s="22">
        <f t="shared" si="98"/>
        <v>4.2430165616646569</v>
      </c>
      <c r="AK410" s="22">
        <f t="shared" si="98"/>
        <v>4.2477733537700137</v>
      </c>
      <c r="AL410" s="22">
        <f t="shared" si="98"/>
        <v>4.2539691533655395</v>
      </c>
      <c r="AM410" s="22">
        <f t="shared" si="98"/>
        <v>4.2588371425380025</v>
      </c>
      <c r="AN410" s="22">
        <f t="shared" si="98"/>
        <v>4.2797220284315198</v>
      </c>
      <c r="AO410" s="22">
        <f t="shared" si="98"/>
        <v>4.2963498578029604</v>
      </c>
      <c r="AP410" s="22">
        <f t="shared" si="98"/>
        <v>4.3125285701488281</v>
      </c>
      <c r="AQ410" s="22">
        <f t="shared" si="98"/>
        <v>4.3291488784909324</v>
      </c>
      <c r="AR410" s="22">
        <f t="shared" si="98"/>
        <v>4.3464700481298193</v>
      </c>
      <c r="AS410" s="22">
        <f t="shared" si="98"/>
        <v>4.3694873280939213</v>
      </c>
      <c r="AT410" s="22">
        <f t="shared" si="98"/>
        <v>4.3680189479011426</v>
      </c>
      <c r="AU410" s="22">
        <f t="shared" si="98"/>
        <v>4.3640461344633534</v>
      </c>
      <c r="AV410" s="22">
        <f t="shared" si="98"/>
        <v>4.3599917873846739</v>
      </c>
      <c r="AW410" s="22">
        <f t="shared" si="98"/>
        <v>4.3548399908669477</v>
      </c>
      <c r="AY410" s="79"/>
    </row>
    <row r="411" spans="1:51" x14ac:dyDescent="0.2">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2.27834100209484E-4</v>
      </c>
      <c r="U411" s="22">
        <f t="shared" si="98"/>
        <v>2.2777018151970223E-4</v>
      </c>
      <c r="V411" s="22">
        <f t="shared" si="98"/>
        <v>2.2772015050135763E-4</v>
      </c>
      <c r="W411" s="22">
        <f t="shared" si="98"/>
        <v>2.276738371705614E-4</v>
      </c>
      <c r="X411" s="22">
        <f t="shared" si="98"/>
        <v>2.2762206875187344E-4</v>
      </c>
      <c r="Y411" s="22">
        <f t="shared" si="98"/>
        <v>2.2757366319471181E-4</v>
      </c>
      <c r="Z411" s="22">
        <f t="shared" si="98"/>
        <v>2.2753055635684708E-4</v>
      </c>
      <c r="AA411" s="22">
        <f t="shared" si="98"/>
        <v>2.2748953843942165E-4</v>
      </c>
      <c r="AB411" s="22">
        <f t="shared" si="98"/>
        <v>2.2745132064090905E-4</v>
      </c>
      <c r="AC411" s="22">
        <f t="shared" si="98"/>
        <v>2.2740415584344853E-4</v>
      </c>
      <c r="AD411" s="22">
        <f t="shared" si="98"/>
        <v>2.2735829067583124E-4</v>
      </c>
      <c r="AE411" s="22">
        <f t="shared" si="98"/>
        <v>2.2730935812422204E-4</v>
      </c>
      <c r="AF411" s="22">
        <f t="shared" si="98"/>
        <v>2.2725216937257396E-4</v>
      </c>
      <c r="AG411" s="22">
        <f t="shared" si="98"/>
        <v>2.2719154703648017E-4</v>
      </c>
      <c r="AH411" s="22">
        <f t="shared" si="98"/>
        <v>2.2712261624327501E-4</v>
      </c>
      <c r="AI411" s="22">
        <f t="shared" si="98"/>
        <v>2.2706841948745679E-4</v>
      </c>
      <c r="AJ411" s="22">
        <f t="shared" si="98"/>
        <v>2.2701685142123931E-4</v>
      </c>
      <c r="AK411" s="22">
        <f t="shared" si="98"/>
        <v>2.26961407155672E-4</v>
      </c>
      <c r="AL411" s="22">
        <f t="shared" si="98"/>
        <v>2.2690841715118691E-4</v>
      </c>
      <c r="AM411" s="22">
        <f t="shared" si="98"/>
        <v>2.268536485186568E-4</v>
      </c>
      <c r="AN411" s="22">
        <f t="shared" si="98"/>
        <v>2.267992789794407E-4</v>
      </c>
      <c r="AO411" s="22">
        <f t="shared" si="98"/>
        <v>2.2673917305261599E-4</v>
      </c>
      <c r="AP411" s="22">
        <f t="shared" si="98"/>
        <v>2.2668212317302622E-4</v>
      </c>
      <c r="AQ411" s="22">
        <f t="shared" si="98"/>
        <v>2.2662502655488093E-4</v>
      </c>
      <c r="AR411" s="22">
        <f t="shared" si="98"/>
        <v>2.2656713793114123E-4</v>
      </c>
      <c r="AS411" s="22">
        <f t="shared" si="98"/>
        <v>2.2650822239749554E-4</v>
      </c>
      <c r="AT411" s="22">
        <f t="shared" si="98"/>
        <v>2.2644299119894249E-4</v>
      </c>
      <c r="AU411" s="22">
        <f t="shared" si="98"/>
        <v>2.2639724242481442E-4</v>
      </c>
      <c r="AV411" s="22">
        <f t="shared" si="98"/>
        <v>2.2635313187043375E-4</v>
      </c>
      <c r="AW411" s="22">
        <f t="shared" si="98"/>
        <v>2.2630866373902947E-4</v>
      </c>
      <c r="AY411" s="79"/>
    </row>
    <row r="412" spans="1:51" x14ac:dyDescent="0.2">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1.5037050613825948E-6</v>
      </c>
      <c r="U412" s="22">
        <f t="shared" si="98"/>
        <v>1.5032831980300348E-6</v>
      </c>
      <c r="V412" s="22">
        <f t="shared" si="98"/>
        <v>1.5029529933089607E-6</v>
      </c>
      <c r="W412" s="22">
        <f t="shared" si="98"/>
        <v>1.5026473253257052E-6</v>
      </c>
      <c r="X412" s="22">
        <f t="shared" si="98"/>
        <v>1.5023056537623651E-6</v>
      </c>
      <c r="Y412" s="22">
        <f t="shared" si="98"/>
        <v>1.5019861770850986E-6</v>
      </c>
      <c r="Z412" s="22">
        <f t="shared" si="98"/>
        <v>1.501701671955191E-6</v>
      </c>
      <c r="AA412" s="22">
        <f t="shared" si="98"/>
        <v>1.5014309537001836E-6</v>
      </c>
      <c r="AB412" s="22">
        <f t="shared" si="98"/>
        <v>1.5011787162299995E-6</v>
      </c>
      <c r="AC412" s="22">
        <f t="shared" si="98"/>
        <v>1.5008674285667609E-6</v>
      </c>
      <c r="AD412" s="22">
        <f t="shared" si="98"/>
        <v>1.5005647184604863E-6</v>
      </c>
      <c r="AE412" s="22">
        <f t="shared" si="98"/>
        <v>1.5002417636198659E-6</v>
      </c>
      <c r="AF412" s="22">
        <f t="shared" si="98"/>
        <v>1.4998643178589887E-6</v>
      </c>
      <c r="AG412" s="22">
        <f t="shared" si="98"/>
        <v>1.4994642104407695E-6</v>
      </c>
      <c r="AH412" s="22">
        <f t="shared" si="98"/>
        <v>1.4990092672056151E-6</v>
      </c>
      <c r="AI412" s="22">
        <f t="shared" si="98"/>
        <v>1.4986515686172149E-6</v>
      </c>
      <c r="AJ412" s="22">
        <f t="shared" si="98"/>
        <v>1.49831121938018E-6</v>
      </c>
      <c r="AK412" s="22">
        <f t="shared" si="98"/>
        <v>1.4979452872274355E-6</v>
      </c>
      <c r="AL412" s="22">
        <f t="shared" si="98"/>
        <v>1.497595553197834E-6</v>
      </c>
      <c r="AM412" s="22">
        <f t="shared" si="98"/>
        <v>1.4972340802231352E-6</v>
      </c>
      <c r="AN412" s="22">
        <f t="shared" si="98"/>
        <v>1.4968752412643093E-6</v>
      </c>
      <c r="AO412" s="22">
        <f t="shared" si="98"/>
        <v>1.4964785421472656E-6</v>
      </c>
      <c r="AP412" s="22">
        <f t="shared" si="98"/>
        <v>1.4961020129419735E-6</v>
      </c>
      <c r="AQ412" s="22">
        <f t="shared" si="98"/>
        <v>1.4957251752622144E-6</v>
      </c>
      <c r="AR412" s="22">
        <f t="shared" si="98"/>
        <v>1.4953431103455323E-6</v>
      </c>
      <c r="AS412" s="22">
        <f t="shared" si="98"/>
        <v>1.4949542678234709E-6</v>
      </c>
      <c r="AT412" s="22">
        <f t="shared" si="98"/>
        <v>1.4945237419130207E-6</v>
      </c>
      <c r="AU412" s="22">
        <f t="shared" si="98"/>
        <v>1.4942218000037758E-6</v>
      </c>
      <c r="AV412" s="22">
        <f t="shared" si="98"/>
        <v>1.4939306703448634E-6</v>
      </c>
      <c r="AW412" s="22">
        <f t="shared" si="98"/>
        <v>1.4936371806775946E-6</v>
      </c>
      <c r="AY412" s="79"/>
    </row>
    <row r="413" spans="1:51" x14ac:dyDescent="0.2">
      <c r="A413" s="95" t="str">
        <f t="shared" si="93"/>
        <v>GS Leaching</v>
      </c>
      <c r="B413" s="95" t="s">
        <v>1021</v>
      </c>
      <c r="C413" s="95" t="s">
        <v>1190</v>
      </c>
      <c r="D413" t="s">
        <v>369</v>
      </c>
      <c r="E413" t="s">
        <v>61</v>
      </c>
      <c r="F413" t="s">
        <v>63</v>
      </c>
      <c r="G413" t="s">
        <v>437</v>
      </c>
      <c r="H413" t="s">
        <v>1189</v>
      </c>
      <c r="I413" t="s">
        <v>139</v>
      </c>
      <c r="J413" t="s">
        <v>287</v>
      </c>
      <c r="K413" s="22">
        <f t="shared" si="90"/>
        <v>0.20714502561891829</v>
      </c>
      <c r="L413" s="22">
        <f t="shared" si="98"/>
        <v>0.20732835560623103</v>
      </c>
      <c r="M413" s="22">
        <f t="shared" si="98"/>
        <v>0.20853137086969875</v>
      </c>
      <c r="N413" s="22">
        <f t="shared" si="98"/>
        <v>0.20795637847695567</v>
      </c>
      <c r="O413" s="22">
        <f t="shared" si="98"/>
        <v>0.20628301821112838</v>
      </c>
      <c r="P413" s="22">
        <f t="shared" si="98"/>
        <v>0.20354939622414608</v>
      </c>
      <c r="Q413" s="22">
        <f t="shared" si="98"/>
        <v>0.20178646732442315</v>
      </c>
      <c r="R413" s="22">
        <f t="shared" si="98"/>
        <v>0.20021853233884618</v>
      </c>
      <c r="S413" s="22">
        <f t="shared" si="98"/>
        <v>0.182530302660765</v>
      </c>
      <c r="T413" s="22">
        <f t="shared" si="98"/>
        <v>0.18648987714377463</v>
      </c>
      <c r="U413" s="22">
        <f t="shared" si="98"/>
        <v>0.18910094694966831</v>
      </c>
      <c r="V413" s="22">
        <f t="shared" si="98"/>
        <v>0.19137660443001928</v>
      </c>
      <c r="W413" s="22">
        <f t="shared" si="98"/>
        <v>0.19424913553411605</v>
      </c>
      <c r="X413" s="22">
        <f t="shared" si="98"/>
        <v>0.19681866661571523</v>
      </c>
      <c r="Y413" s="22">
        <f t="shared" si="98"/>
        <v>0.198887773981097</v>
      </c>
      <c r="Z413" s="22">
        <f t="shared" si="98"/>
        <v>0.20077347633776868</v>
      </c>
      <c r="AA413" s="22">
        <f t="shared" si="98"/>
        <v>0.20239928167285137</v>
      </c>
      <c r="AB413" s="22">
        <f t="shared" si="98"/>
        <v>0.20498371434502882</v>
      </c>
      <c r="AC413" s="22">
        <f t="shared" si="98"/>
        <v>0.20746608089631127</v>
      </c>
      <c r="AD413" s="22">
        <f t="shared" si="98"/>
        <v>0.20958576032870826</v>
      </c>
      <c r="AE413" s="22">
        <f t="shared" si="98"/>
        <v>0.2125868864780032</v>
      </c>
      <c r="AF413" s="22">
        <f t="shared" si="98"/>
        <v>0.21597094750707838</v>
      </c>
      <c r="AG413" s="22">
        <f t="shared" si="98"/>
        <v>0.22026882906379694</v>
      </c>
      <c r="AH413" s="22">
        <f t="shared" si="98"/>
        <v>0.22301109036461528</v>
      </c>
      <c r="AI413" s="22">
        <f t="shared" si="98"/>
        <v>0.2254871975923895</v>
      </c>
      <c r="AJ413" s="22">
        <f t="shared" si="98"/>
        <v>0.22839683791849513</v>
      </c>
      <c r="AK413" s="22">
        <f t="shared" si="98"/>
        <v>0.23105301030632744</v>
      </c>
      <c r="AL413" s="22">
        <f t="shared" si="98"/>
        <v>0.23391741682705808</v>
      </c>
      <c r="AM413" s="22">
        <f t="shared" si="98"/>
        <v>0.23675201366324419</v>
      </c>
      <c r="AN413" s="22">
        <f t="shared" si="98"/>
        <v>0.24068683453385165</v>
      </c>
      <c r="AO413" s="22">
        <f t="shared" si="98"/>
        <v>0.24431807258428889</v>
      </c>
      <c r="AP413" s="22">
        <f t="shared" si="98"/>
        <v>0.247990087587761</v>
      </c>
      <c r="AQ413" s="22">
        <f t="shared" si="98"/>
        <v>0.25178910033750079</v>
      </c>
      <c r="AR413" s="22">
        <f t="shared" si="98"/>
        <v>0.25574542310185078</v>
      </c>
      <c r="AS413" s="22">
        <f t="shared" si="98"/>
        <v>0.26048600400632033</v>
      </c>
      <c r="AT413" s="22">
        <f t="shared" si="98"/>
        <v>0.2629760462317593</v>
      </c>
      <c r="AU413" s="22">
        <f t="shared" si="98"/>
        <v>0.26529006833740182</v>
      </c>
      <c r="AV413" s="22">
        <f t="shared" si="98"/>
        <v>0.26766308982794251</v>
      </c>
      <c r="AW413" s="22">
        <f t="shared" si="98"/>
        <v>0.26999671566798311</v>
      </c>
      <c r="AY413" s="79"/>
    </row>
    <row r="414" spans="1:51" x14ac:dyDescent="0.2">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2">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0.10241934435921343</v>
      </c>
      <c r="U415" s="22">
        <f t="shared" si="99"/>
        <v>0.10289653491421205</v>
      </c>
      <c r="V415" s="22">
        <f t="shared" si="99"/>
        <v>0.10327004584650011</v>
      </c>
      <c r="W415" s="22">
        <f t="shared" si="99"/>
        <v>0.10361580205805489</v>
      </c>
      <c r="X415" s="22">
        <f t="shared" si="99"/>
        <v>0.10400228370418145</v>
      </c>
      <c r="Y415" s="22">
        <f t="shared" si="99"/>
        <v>0.10436365961419813</v>
      </c>
      <c r="Z415" s="22">
        <f t="shared" si="99"/>
        <v>0.10468547747303018</v>
      </c>
      <c r="AA415" s="22">
        <f t="shared" si="99"/>
        <v>0.10499170031407964</v>
      </c>
      <c r="AB415" s="22">
        <f t="shared" si="99"/>
        <v>0.10527701862309623</v>
      </c>
      <c r="AC415" s="22">
        <f t="shared" si="99"/>
        <v>0.1056291315333171</v>
      </c>
      <c r="AD415" s="22">
        <f t="shared" si="99"/>
        <v>0.10597154194356044</v>
      </c>
      <c r="AE415" s="22">
        <f t="shared" si="99"/>
        <v>0.10633685217660206</v>
      </c>
      <c r="AF415" s="22">
        <f t="shared" si="99"/>
        <v>0.10676379979132655</v>
      </c>
      <c r="AG415" s="22">
        <f t="shared" si="99"/>
        <v>0.10721638113028523</v>
      </c>
      <c r="AH415" s="22">
        <f t="shared" si="99"/>
        <v>0.10773098998066055</v>
      </c>
      <c r="AI415" s="22">
        <f t="shared" si="99"/>
        <v>0.10813560058948724</v>
      </c>
      <c r="AJ415" s="22">
        <f t="shared" si="99"/>
        <v>0.10852058648676627</v>
      </c>
      <c r="AK415" s="22">
        <f t="shared" si="99"/>
        <v>0.10893451048846137</v>
      </c>
      <c r="AL415" s="22">
        <f t="shared" si="99"/>
        <v>0.10933011198993048</v>
      </c>
      <c r="AM415" s="22">
        <f t="shared" si="99"/>
        <v>0.10973899199424218</v>
      </c>
      <c r="AN415" s="22">
        <f t="shared" si="99"/>
        <v>0.11014489253259981</v>
      </c>
      <c r="AO415" s="22">
        <f t="shared" si="99"/>
        <v>0.11059361857310758</v>
      </c>
      <c r="AP415" s="22">
        <f t="shared" si="99"/>
        <v>0.11101952942636521</v>
      </c>
      <c r="AQ415" s="22">
        <f t="shared" si="99"/>
        <v>0.11144578921038648</v>
      </c>
      <c r="AR415" s="22">
        <f t="shared" si="99"/>
        <v>0.11187796178126933</v>
      </c>
      <c r="AS415" s="22">
        <f t="shared" si="99"/>
        <v>0.11231780083764567</v>
      </c>
      <c r="AT415" s="22">
        <f t="shared" si="99"/>
        <v>0.1128047900413833</v>
      </c>
      <c r="AU415" s="22">
        <f t="shared" si="99"/>
        <v>0.11314633150587833</v>
      </c>
      <c r="AV415" s="22">
        <f t="shared" si="99"/>
        <v>0.11347564269792666</v>
      </c>
      <c r="AW415" s="22">
        <f t="shared" si="99"/>
        <v>0.1138076234124414</v>
      </c>
      <c r="AY415" s="79"/>
    </row>
    <row r="416" spans="1:51" x14ac:dyDescent="0.2">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2">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2">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2">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2">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2">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2">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2">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2">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2">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2">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2">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2">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0.39831175345583053</v>
      </c>
      <c r="M428" s="22">
        <f t="shared" si="102"/>
        <v>0.40145358914715529</v>
      </c>
      <c r="N428" s="22">
        <f t="shared" si="102"/>
        <v>0.40347255325329029</v>
      </c>
      <c r="O428" s="22">
        <f t="shared" si="102"/>
        <v>0.40481416413578281</v>
      </c>
      <c r="P428" s="22">
        <f t="shared" si="102"/>
        <v>0.40546521734783814</v>
      </c>
      <c r="Q428" s="22">
        <f t="shared" si="102"/>
        <v>0.40690363619044922</v>
      </c>
      <c r="R428" s="22">
        <f t="shared" si="102"/>
        <v>0.40855374420631185</v>
      </c>
      <c r="S428" s="22">
        <f t="shared" si="102"/>
        <v>0.39736949652274572</v>
      </c>
      <c r="T428" s="22">
        <f t="shared" si="102"/>
        <v>0.40193613647411602</v>
      </c>
      <c r="U428" s="22">
        <f t="shared" si="102"/>
        <v>0.40551458062818502</v>
      </c>
      <c r="V428" s="22">
        <f t="shared" si="102"/>
        <v>0.40890476326282849</v>
      </c>
      <c r="W428" s="22">
        <f t="shared" si="102"/>
        <v>0.41286821795762335</v>
      </c>
      <c r="X428" s="22">
        <f t="shared" si="102"/>
        <v>0.4166639118790918</v>
      </c>
      <c r="Y428" s="22">
        <f t="shared" si="102"/>
        <v>0.4198473343142145</v>
      </c>
      <c r="Z428" s="22">
        <f t="shared" si="102"/>
        <v>0.42294233840413964</v>
      </c>
      <c r="AA428" s="22">
        <f t="shared" si="102"/>
        <v>0.42587799118724151</v>
      </c>
      <c r="AB428" s="22">
        <f t="shared" si="102"/>
        <v>0.42969675362549747</v>
      </c>
      <c r="AC428" s="22">
        <f t="shared" si="102"/>
        <v>0.43349587939767537</v>
      </c>
      <c r="AD428" s="22">
        <f t="shared" si="102"/>
        <v>0.43745946625570531</v>
      </c>
      <c r="AE428" s="22">
        <f t="shared" si="102"/>
        <v>0.44229495321809359</v>
      </c>
      <c r="AF428" s="22">
        <f t="shared" si="102"/>
        <v>0.44758124575636155</v>
      </c>
      <c r="AG428" s="22">
        <f t="shared" si="102"/>
        <v>0.45381269752253439</v>
      </c>
      <c r="AH428" s="22">
        <f t="shared" si="102"/>
        <v>0.45874802300299961</v>
      </c>
      <c r="AI428" s="22">
        <f t="shared" si="102"/>
        <v>0.46333288688967006</v>
      </c>
      <c r="AJ428" s="22">
        <f t="shared" si="102"/>
        <v>0.46842040791737738</v>
      </c>
      <c r="AK428" s="22">
        <f t="shared" si="102"/>
        <v>0.47337132456140918</v>
      </c>
      <c r="AL428" s="22">
        <f t="shared" si="102"/>
        <v>0.47862201153126527</v>
      </c>
      <c r="AM428" s="22">
        <f t="shared" si="102"/>
        <v>0.48394817784516875</v>
      </c>
      <c r="AN428" s="22">
        <f t="shared" si="102"/>
        <v>0.48983437623076936</v>
      </c>
      <c r="AO428" s="22">
        <f t="shared" si="102"/>
        <v>0.49551952889490208</v>
      </c>
      <c r="AP428" s="22">
        <f t="shared" si="102"/>
        <v>0.50133983118096659</v>
      </c>
      <c r="AQ428" s="22">
        <f t="shared" si="102"/>
        <v>0.50738353443884876</v>
      </c>
      <c r="AR428" s="22">
        <f t="shared" si="102"/>
        <v>0.51368519045610384</v>
      </c>
      <c r="AS428" s="22">
        <f t="shared" si="102"/>
        <v>0.52070203752488053</v>
      </c>
      <c r="AT428" s="22">
        <f t="shared" si="102"/>
        <v>0.52550112442398844</v>
      </c>
      <c r="AU428" s="22">
        <f t="shared" si="102"/>
        <v>0.53018983852857582</v>
      </c>
      <c r="AV428" s="22">
        <f t="shared" si="102"/>
        <v>0.53501141383334805</v>
      </c>
      <c r="AW428" s="22">
        <f t="shared" si="102"/>
        <v>0.53986293449927925</v>
      </c>
      <c r="AY428" s="79"/>
    </row>
    <row r="429" spans="1:51" x14ac:dyDescent="0.2">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3.1424516095088999E-2</v>
      </c>
      <c r="M429" s="22">
        <f t="shared" si="102"/>
        <v>3.1672388936885787E-2</v>
      </c>
      <c r="N429" s="22">
        <f t="shared" si="102"/>
        <v>3.1831673641638247E-2</v>
      </c>
      <c r="O429" s="22">
        <f t="shared" si="102"/>
        <v>3.1937519056453263E-2</v>
      </c>
      <c r="P429" s="22">
        <f t="shared" si="102"/>
        <v>3.198888342610464E-2</v>
      </c>
      <c r="Q429" s="22">
        <f t="shared" si="102"/>
        <v>3.2102366434524382E-2</v>
      </c>
      <c r="R429" s="22">
        <f t="shared" si="102"/>
        <v>3.2232550506305392E-2</v>
      </c>
      <c r="S429" s="22">
        <f t="shared" si="102"/>
        <v>3.1350177419660695E-2</v>
      </c>
      <c r="T429" s="22">
        <f t="shared" si="102"/>
        <v>3.1710459157287665E-2</v>
      </c>
      <c r="U429" s="22">
        <f t="shared" si="102"/>
        <v>3.19927779062055E-2</v>
      </c>
      <c r="V429" s="22">
        <f t="shared" si="102"/>
        <v>3.2260243899471644E-2</v>
      </c>
      <c r="W429" s="22">
        <f t="shared" si="102"/>
        <v>3.2572937774980257E-2</v>
      </c>
      <c r="X429" s="22">
        <f t="shared" si="102"/>
        <v>3.2872396286290406E-2</v>
      </c>
      <c r="Y429" s="22">
        <f t="shared" si="102"/>
        <v>3.3123550083992911E-2</v>
      </c>
      <c r="Z429" s="22">
        <f t="shared" si="102"/>
        <v>3.336772818065812E-2</v>
      </c>
      <c r="AA429" s="22">
        <f t="shared" si="102"/>
        <v>3.3599334371868343E-2</v>
      </c>
      <c r="AB429" s="22">
        <f t="shared" si="102"/>
        <v>3.3900612857032622E-2</v>
      </c>
      <c r="AC429" s="22">
        <f t="shared" si="102"/>
        <v>3.4200342121708499E-2</v>
      </c>
      <c r="AD429" s="22">
        <f t="shared" si="102"/>
        <v>3.4513046424139431E-2</v>
      </c>
      <c r="AE429" s="22">
        <f t="shared" si="102"/>
        <v>3.4894538651167102E-2</v>
      </c>
      <c r="AF429" s="22">
        <f t="shared" si="102"/>
        <v>3.5311596856231003E-2</v>
      </c>
      <c r="AG429" s="22">
        <f t="shared" si="102"/>
        <v>3.5803222711162215E-2</v>
      </c>
      <c r="AH429" s="22">
        <f t="shared" si="102"/>
        <v>3.6192591625460596E-2</v>
      </c>
      <c r="AI429" s="22">
        <f t="shared" si="102"/>
        <v>3.6554311127208743E-2</v>
      </c>
      <c r="AJ429" s="22">
        <f t="shared" si="102"/>
        <v>3.6955687398514313E-2</v>
      </c>
      <c r="AK429" s="22">
        <f t="shared" si="102"/>
        <v>3.7346286366322763E-2</v>
      </c>
      <c r="AL429" s="22">
        <f t="shared" si="102"/>
        <v>3.7760535495962914E-2</v>
      </c>
      <c r="AM429" s="22">
        <f t="shared" si="102"/>
        <v>3.8180739513555217E-2</v>
      </c>
      <c r="AN429" s="22">
        <f t="shared" si="102"/>
        <v>3.8645126854130414E-2</v>
      </c>
      <c r="AO429" s="22">
        <f t="shared" si="102"/>
        <v>3.9093652838731792E-2</v>
      </c>
      <c r="AP429" s="22">
        <f t="shared" si="102"/>
        <v>3.9552841354460577E-2</v>
      </c>
      <c r="AQ429" s="22">
        <f t="shared" si="102"/>
        <v>4.0029654927380476E-2</v>
      </c>
      <c r="AR429" s="22">
        <f t="shared" si="102"/>
        <v>4.0526819495640978E-2</v>
      </c>
      <c r="AS429" s="22">
        <f t="shared" si="102"/>
        <v>4.1080408541749817E-2</v>
      </c>
      <c r="AT429" s="22">
        <f t="shared" si="102"/>
        <v>4.145902901225889E-2</v>
      </c>
      <c r="AU429" s="22">
        <f t="shared" si="102"/>
        <v>4.1828941701418883E-2</v>
      </c>
      <c r="AV429" s="22">
        <f t="shared" si="102"/>
        <v>4.2209336378336959E-2</v>
      </c>
      <c r="AW429" s="22">
        <f t="shared" si="102"/>
        <v>4.2592093572744245E-2</v>
      </c>
      <c r="AY429" s="79"/>
    </row>
    <row r="430" spans="1:51" x14ac:dyDescent="0.2">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2.9129279224209421E-4</v>
      </c>
      <c r="M430" s="22">
        <f t="shared" si="102"/>
        <v>2.9359047510821973E-4</v>
      </c>
      <c r="N430" s="22">
        <f t="shared" si="102"/>
        <v>2.9506698110336069E-4</v>
      </c>
      <c r="O430" s="22">
        <f t="shared" si="102"/>
        <v>2.960481260901027E-4</v>
      </c>
      <c r="P430" s="22">
        <f t="shared" si="102"/>
        <v>2.9652425341095714E-4</v>
      </c>
      <c r="Q430" s="22">
        <f t="shared" si="102"/>
        <v>2.9757619585915883E-4</v>
      </c>
      <c r="R430" s="22">
        <f t="shared" si="102"/>
        <v>2.9878295053629647E-4</v>
      </c>
      <c r="S430" s="22">
        <f t="shared" si="102"/>
        <v>2.906037022248744E-4</v>
      </c>
      <c r="T430" s="22">
        <f t="shared" si="102"/>
        <v>2.9394337094179688E-4</v>
      </c>
      <c r="U430" s="22">
        <f t="shared" si="102"/>
        <v>2.9656035369582628E-4</v>
      </c>
      <c r="V430" s="22">
        <f t="shared" si="102"/>
        <v>2.9903965729981968E-4</v>
      </c>
      <c r="W430" s="22">
        <f t="shared" si="102"/>
        <v>3.0193820542187468E-4</v>
      </c>
      <c r="X430" s="22">
        <f t="shared" si="102"/>
        <v>3.0471406697074431E-4</v>
      </c>
      <c r="Y430" s="22">
        <f t="shared" si="102"/>
        <v>3.0704216299594947E-4</v>
      </c>
      <c r="Z430" s="22">
        <f t="shared" si="102"/>
        <v>3.093055970410988E-4</v>
      </c>
      <c r="AA430" s="22">
        <f t="shared" si="102"/>
        <v>3.1145249451229731E-4</v>
      </c>
      <c r="AB430" s="22">
        <f t="shared" si="102"/>
        <v>3.1424522649647207E-4</v>
      </c>
      <c r="AC430" s="22">
        <f t="shared" si="102"/>
        <v>3.1702359782158373E-4</v>
      </c>
      <c r="AD430" s="22">
        <f t="shared" si="102"/>
        <v>3.1992224259707024E-4</v>
      </c>
      <c r="AE430" s="22">
        <f t="shared" si="102"/>
        <v>3.2345852413258482E-4</v>
      </c>
      <c r="AF430" s="22">
        <f t="shared" si="102"/>
        <v>3.2732448816884659E-4</v>
      </c>
      <c r="AG430" s="22">
        <f t="shared" si="102"/>
        <v>3.3188166472450077E-4</v>
      </c>
      <c r="AH430" s="22">
        <f t="shared" si="102"/>
        <v>3.3549096002486584E-4</v>
      </c>
      <c r="AI430" s="22">
        <f t="shared" si="102"/>
        <v>3.3884395624456256E-4</v>
      </c>
      <c r="AJ430" s="22">
        <f t="shared" si="102"/>
        <v>3.4256455497882901E-4</v>
      </c>
      <c r="AK430" s="22">
        <f t="shared" si="102"/>
        <v>3.4618525238704095E-4</v>
      </c>
      <c r="AL430" s="22">
        <f t="shared" si="102"/>
        <v>3.5002517740900785E-4</v>
      </c>
      <c r="AM430" s="22">
        <f t="shared" si="102"/>
        <v>3.539203018788781E-4</v>
      </c>
      <c r="AN430" s="22">
        <f t="shared" si="102"/>
        <v>3.5822498821704474E-4</v>
      </c>
      <c r="AO430" s="22">
        <f t="shared" si="102"/>
        <v>3.6238264608048877E-4</v>
      </c>
      <c r="AP430" s="22">
        <f t="shared" si="102"/>
        <v>3.6663914137567152E-4</v>
      </c>
      <c r="AQ430" s="22">
        <f t="shared" si="102"/>
        <v>3.7105901395587245E-4</v>
      </c>
      <c r="AR430" s="22">
        <f t="shared" si="102"/>
        <v>3.756675321858498E-4</v>
      </c>
      <c r="AS430" s="22">
        <f t="shared" si="102"/>
        <v>3.8079908293137994E-4</v>
      </c>
      <c r="AT430" s="22">
        <f t="shared" si="102"/>
        <v>3.8430874442372815E-4</v>
      </c>
      <c r="AU430" s="22">
        <f t="shared" si="102"/>
        <v>3.877376882389691E-4</v>
      </c>
      <c r="AV430" s="22">
        <f t="shared" si="102"/>
        <v>3.9126379592057032E-4</v>
      </c>
      <c r="AW430" s="22">
        <f t="shared" si="102"/>
        <v>3.9481180320164583E-4</v>
      </c>
      <c r="AY430" s="79"/>
    </row>
    <row r="431" spans="1:51" x14ac:dyDescent="0.2">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3.2323215352203891E-3</v>
      </c>
      <c r="L431" s="22">
        <f t="shared" si="102"/>
        <v>3.2042886428129457E-3</v>
      </c>
      <c r="M431" s="22">
        <f t="shared" si="102"/>
        <v>3.193617369300608E-3</v>
      </c>
      <c r="N431" s="22">
        <f t="shared" si="102"/>
        <v>3.150970789688672E-3</v>
      </c>
      <c r="O431" s="22">
        <f t="shared" si="102"/>
        <v>3.0890682378804132E-3</v>
      </c>
      <c r="P431" s="22">
        <f t="shared" si="102"/>
        <v>3.0091897617382942E-3</v>
      </c>
      <c r="Q431" s="22">
        <f t="shared" si="102"/>
        <v>2.9461872714039495E-3</v>
      </c>
      <c r="R431" s="22">
        <f t="shared" si="102"/>
        <v>2.8865797531671877E-3</v>
      </c>
      <c r="S431" s="22">
        <f t="shared" si="102"/>
        <v>2.561902690551985E-3</v>
      </c>
      <c r="T431" s="22">
        <f t="shared" si="102"/>
        <v>2.6109067650953812E-3</v>
      </c>
      <c r="U431" s="22">
        <f t="shared" si="102"/>
        <v>2.6371073705861066E-3</v>
      </c>
      <c r="V431" s="22">
        <f t="shared" si="102"/>
        <v>2.6572763543899086E-3</v>
      </c>
      <c r="W431" s="22">
        <f t="shared" si="102"/>
        <v>2.6864577406949136E-3</v>
      </c>
      <c r="X431" s="22">
        <f t="shared" si="102"/>
        <v>2.7101399939897432E-3</v>
      </c>
      <c r="Y431" s="22">
        <f t="shared" si="102"/>
        <v>2.7254068910752506E-3</v>
      </c>
      <c r="Z431" s="22">
        <f t="shared" si="102"/>
        <v>2.7372910281189241E-3</v>
      </c>
      <c r="AA431" s="22">
        <f t="shared" si="102"/>
        <v>2.7446565965779596E-3</v>
      </c>
      <c r="AB431" s="22">
        <f t="shared" si="102"/>
        <v>2.766461574169799E-3</v>
      </c>
      <c r="AC431" s="22">
        <f t="shared" si="102"/>
        <v>2.7860807889478114E-3</v>
      </c>
      <c r="AD431" s="22">
        <f t="shared" si="102"/>
        <v>2.7870926745375917E-3</v>
      </c>
      <c r="AE431" s="22">
        <f t="shared" si="102"/>
        <v>2.8002357420559331E-3</v>
      </c>
      <c r="AF431" s="22">
        <f t="shared" si="102"/>
        <v>2.8176157227712195E-3</v>
      </c>
      <c r="AG431" s="22">
        <f t="shared" si="102"/>
        <v>2.8467949657152583E-3</v>
      </c>
      <c r="AH431" s="22">
        <f t="shared" si="102"/>
        <v>2.8514553566539535E-3</v>
      </c>
      <c r="AI431" s="22">
        <f t="shared" si="102"/>
        <v>2.8509661505713695E-3</v>
      </c>
      <c r="AJ431" s="22">
        <f t="shared" si="102"/>
        <v>2.8552472952040066E-3</v>
      </c>
      <c r="AK431" s="22">
        <f t="shared" si="102"/>
        <v>2.8544571157094324E-3</v>
      </c>
      <c r="AL431" s="22">
        <f t="shared" si="102"/>
        <v>2.8550616993206577E-3</v>
      </c>
      <c r="AM431" s="22">
        <f t="shared" si="102"/>
        <v>2.8536896120201398E-3</v>
      </c>
      <c r="AN431" s="22">
        <f t="shared" si="102"/>
        <v>2.8741715259670993E-3</v>
      </c>
      <c r="AO431" s="22">
        <f t="shared" si="102"/>
        <v>2.8891552087920934E-3</v>
      </c>
      <c r="AP431" s="22">
        <f t="shared" si="102"/>
        <v>2.9032743711579932E-3</v>
      </c>
      <c r="AQ431" s="22">
        <f t="shared" si="102"/>
        <v>2.9176093020266492E-3</v>
      </c>
      <c r="AR431" s="22">
        <f t="shared" si="102"/>
        <v>2.9324708677435766E-3</v>
      </c>
      <c r="AS431" s="22">
        <f t="shared" si="102"/>
        <v>2.955760646257155E-3</v>
      </c>
      <c r="AT431" s="22">
        <f t="shared" si="102"/>
        <v>2.949200862307677E-3</v>
      </c>
      <c r="AU431" s="22">
        <f t="shared" si="102"/>
        <v>2.9393657295562411E-3</v>
      </c>
      <c r="AV431" s="22">
        <f t="shared" si="102"/>
        <v>2.9291791996267137E-3</v>
      </c>
      <c r="AW431" s="22">
        <f t="shared" si="102"/>
        <v>2.9174224191291709E-3</v>
      </c>
      <c r="AY431" s="79"/>
    </row>
    <row r="432" spans="1:51" x14ac:dyDescent="0.2">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1.6090517274103575E-2</v>
      </c>
      <c r="L432" s="22">
        <f t="shared" si="102"/>
        <v>1.5950969356419611E-2</v>
      </c>
      <c r="M432" s="22">
        <f t="shared" si="102"/>
        <v>1.5897847688628834E-2</v>
      </c>
      <c r="N432" s="22">
        <f t="shared" si="102"/>
        <v>1.5685552742581484E-2</v>
      </c>
      <c r="O432" s="22">
        <f t="shared" si="102"/>
        <v>1.5377401443792467E-2</v>
      </c>
      <c r="P432" s="22">
        <f t="shared" si="102"/>
        <v>1.4979765878707444E-2</v>
      </c>
      <c r="Q432" s="22">
        <f t="shared" si="102"/>
        <v>1.4666139078901097E-2</v>
      </c>
      <c r="R432" s="22">
        <f t="shared" si="102"/>
        <v>1.4369412471908495E-2</v>
      </c>
      <c r="S432" s="22">
        <f t="shared" si="102"/>
        <v>1.2753167977791692E-2</v>
      </c>
      <c r="T432" s="22">
        <f t="shared" si="102"/>
        <v>1.2997110574266151E-2</v>
      </c>
      <c r="U432" s="22">
        <f t="shared" si="102"/>
        <v>1.312753735596061E-2</v>
      </c>
      <c r="V432" s="22">
        <f t="shared" si="102"/>
        <v>1.3227938686323331E-2</v>
      </c>
      <c r="W432" s="22">
        <f t="shared" si="102"/>
        <v>1.337320381397436E-2</v>
      </c>
      <c r="X432" s="22">
        <f t="shared" si="102"/>
        <v>1.349109422233195E-2</v>
      </c>
      <c r="Y432" s="22">
        <f t="shared" si="102"/>
        <v>1.3567092933660515E-2</v>
      </c>
      <c r="Z432" s="22">
        <f t="shared" si="102"/>
        <v>1.3626252243866949E-2</v>
      </c>
      <c r="AA432" s="22">
        <f t="shared" si="102"/>
        <v>1.3662918090761304E-2</v>
      </c>
      <c r="AB432" s="22">
        <f t="shared" si="102"/>
        <v>1.3771463408663595E-2</v>
      </c>
      <c r="AC432" s="22">
        <f t="shared" si="102"/>
        <v>1.3869127985299977E-2</v>
      </c>
      <c r="AD432" s="22">
        <f t="shared" si="102"/>
        <v>1.3874165158237254E-2</v>
      </c>
      <c r="AE432" s="22">
        <f t="shared" si="102"/>
        <v>1.3939591432397862E-2</v>
      </c>
      <c r="AF432" s="22">
        <f t="shared" si="102"/>
        <v>1.4026109087549346E-2</v>
      </c>
      <c r="AG432" s="22">
        <f t="shared" si="102"/>
        <v>1.4171363545535784E-2</v>
      </c>
      <c r="AH432" s="22">
        <f t="shared" si="102"/>
        <v>1.4194563001433364E-2</v>
      </c>
      <c r="AI432" s="22">
        <f t="shared" si="102"/>
        <v>1.4192127730425623E-2</v>
      </c>
      <c r="AJ432" s="22">
        <f t="shared" si="102"/>
        <v>1.4213439295786241E-2</v>
      </c>
      <c r="AK432" s="22">
        <f t="shared" si="102"/>
        <v>1.4209505777208791E-2</v>
      </c>
      <c r="AL432" s="22">
        <f t="shared" si="102"/>
        <v>1.4212515398291981E-2</v>
      </c>
      <c r="AM432" s="22">
        <f t="shared" si="102"/>
        <v>1.4205685138935052E-2</v>
      </c>
      <c r="AN432" s="22">
        <f t="shared" si="102"/>
        <v>1.4307644237551697E-2</v>
      </c>
      <c r="AO432" s="22">
        <f t="shared" si="102"/>
        <v>1.4382233106480177E-2</v>
      </c>
      <c r="AP432" s="22">
        <f t="shared" si="102"/>
        <v>1.4452518387034392E-2</v>
      </c>
      <c r="AQ432" s="22">
        <f t="shared" si="102"/>
        <v>1.4523877764575229E-2</v>
      </c>
      <c r="AR432" s="22">
        <f t="shared" si="102"/>
        <v>1.4597858733758781E-2</v>
      </c>
      <c r="AS432" s="22">
        <f t="shared" si="102"/>
        <v>1.4713795400145288E-2</v>
      </c>
      <c r="AT432" s="22">
        <f t="shared" si="102"/>
        <v>1.4681140753692774E-2</v>
      </c>
      <c r="AU432" s="22">
        <f t="shared" si="102"/>
        <v>1.4632181399957167E-2</v>
      </c>
      <c r="AV432" s="22">
        <f t="shared" si="102"/>
        <v>1.4581472788821714E-2</v>
      </c>
      <c r="AW432" s="22">
        <f t="shared" si="102"/>
        <v>1.4522947460316408E-2</v>
      </c>
      <c r="AY432" s="79"/>
    </row>
    <row r="433" spans="1:51" x14ac:dyDescent="0.2">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0.15836052531214873</v>
      </c>
      <c r="L433" s="22">
        <f t="shared" si="102"/>
        <v>0.16370016056893644</v>
      </c>
      <c r="M433" s="22">
        <f t="shared" si="102"/>
        <v>0.17003774892948584</v>
      </c>
      <c r="N433" s="22">
        <f t="shared" si="102"/>
        <v>0.17476418316081974</v>
      </c>
      <c r="O433" s="22">
        <f t="shared" si="102"/>
        <v>0.17840915017095665</v>
      </c>
      <c r="P433" s="22">
        <f t="shared" si="102"/>
        <v>0.18092055691117107</v>
      </c>
      <c r="Q433" s="22">
        <f t="shared" si="102"/>
        <v>0.18434967364231716</v>
      </c>
      <c r="R433" s="22">
        <f t="shared" si="102"/>
        <v>0.18794438918293385</v>
      </c>
      <c r="S433" s="22">
        <f t="shared" si="102"/>
        <v>0.17354626936315642</v>
      </c>
      <c r="T433" s="22">
        <f t="shared" si="102"/>
        <v>0.18112703744691877</v>
      </c>
      <c r="U433" s="22">
        <f t="shared" si="102"/>
        <v>0.18729176246517146</v>
      </c>
      <c r="V433" s="22">
        <f t="shared" si="102"/>
        <v>0.19315163846975197</v>
      </c>
      <c r="W433" s="22">
        <f t="shared" si="102"/>
        <v>0.1997999174777515</v>
      </c>
      <c r="X433" s="22">
        <f t="shared" si="102"/>
        <v>0.20618321754826516</v>
      </c>
      <c r="Y433" s="22">
        <f t="shared" si="102"/>
        <v>0.21205125968323466</v>
      </c>
      <c r="Z433" s="22">
        <f t="shared" si="102"/>
        <v>0.21776504311044109</v>
      </c>
      <c r="AA433" s="22">
        <f t="shared" si="102"/>
        <v>0.22321845446592189</v>
      </c>
      <c r="AB433" s="22">
        <f t="shared" si="102"/>
        <v>0.22996706841629874</v>
      </c>
      <c r="AC433" s="22">
        <f t="shared" si="102"/>
        <v>0.23668130693108949</v>
      </c>
      <c r="AD433" s="22">
        <f t="shared" si="102"/>
        <v>0.24461911204797512</v>
      </c>
      <c r="AE433" s="22">
        <f t="shared" si="102"/>
        <v>0.25393877237777696</v>
      </c>
      <c r="AF433" s="22">
        <f t="shared" si="102"/>
        <v>0.26402636464996099</v>
      </c>
      <c r="AG433" s="22">
        <f t="shared" si="102"/>
        <v>0.27567496604841074</v>
      </c>
      <c r="AH433" s="22">
        <f t="shared" si="102"/>
        <v>0.28538857228327053</v>
      </c>
      <c r="AI433" s="22">
        <f t="shared" si="102"/>
        <v>0.29495307266242238</v>
      </c>
      <c r="AJ433" s="22">
        <f t="shared" si="102"/>
        <v>0.3053980286161922</v>
      </c>
      <c r="AK433" s="22">
        <f t="shared" si="102"/>
        <v>0.3157092357133186</v>
      </c>
      <c r="AL433" s="22">
        <f t="shared" si="102"/>
        <v>0.32659469477462816</v>
      </c>
      <c r="AM433" s="22">
        <f t="shared" si="102"/>
        <v>0.33769759276940581</v>
      </c>
      <c r="AN433" s="22">
        <f t="shared" si="102"/>
        <v>0.34971796912079089</v>
      </c>
      <c r="AO433" s="22">
        <f t="shared" si="102"/>
        <v>0.36149422928557057</v>
      </c>
      <c r="AP433" s="22">
        <f t="shared" si="102"/>
        <v>0.3735858155993782</v>
      </c>
      <c r="AQ433" s="22">
        <f t="shared" si="102"/>
        <v>0.38614747590772142</v>
      </c>
      <c r="AR433" s="22">
        <f t="shared" si="102"/>
        <v>0.3992463303443215</v>
      </c>
      <c r="AS433" s="22">
        <f t="shared" si="102"/>
        <v>0.41401924594323458</v>
      </c>
      <c r="AT433" s="22">
        <f t="shared" si="102"/>
        <v>0.42507748495703629</v>
      </c>
      <c r="AU433" s="22">
        <f t="shared" si="102"/>
        <v>0.43601753921735037</v>
      </c>
      <c r="AV433" s="22">
        <f t="shared" si="102"/>
        <v>0.44726275396189152</v>
      </c>
      <c r="AW433" s="22">
        <f t="shared" si="102"/>
        <v>0.45863622701416706</v>
      </c>
      <c r="AY433" s="79"/>
    </row>
    <row r="434" spans="1:51" x14ac:dyDescent="0.2">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1.195503235691774E-4</v>
      </c>
      <c r="T434" s="22">
        <f t="shared" si="102"/>
        <v>1.1973238900774034E-4</v>
      </c>
      <c r="U434" s="22">
        <f t="shared" si="102"/>
        <v>1.1993816652481025E-4</v>
      </c>
      <c r="V434" s="22">
        <f t="shared" si="102"/>
        <v>1.2017030175701969E-4</v>
      </c>
      <c r="W434" s="22">
        <f t="shared" si="102"/>
        <v>1.2043143682964787E-4</v>
      </c>
      <c r="X434" s="22">
        <f t="shared" si="102"/>
        <v>1.2071612652319093E-4</v>
      </c>
      <c r="Y434" s="22">
        <f t="shared" si="102"/>
        <v>1.2088927246048491E-4</v>
      </c>
      <c r="Z434" s="22">
        <f t="shared" si="102"/>
        <v>1.2108266651499932E-4</v>
      </c>
      <c r="AA434" s="22">
        <f t="shared" si="102"/>
        <v>1.2129489002398719E-4</v>
      </c>
      <c r="AB434" s="22">
        <f t="shared" si="102"/>
        <v>1.2153074787723059E-4</v>
      </c>
      <c r="AC434" s="22">
        <f t="shared" si="102"/>
        <v>1.2178444503760319E-4</v>
      </c>
      <c r="AD434" s="22">
        <f t="shared" si="102"/>
        <v>1.2195021859922819E-4</v>
      </c>
      <c r="AE434" s="22">
        <f t="shared" si="102"/>
        <v>1.2213630016303642E-4</v>
      </c>
      <c r="AF434" s="22">
        <f t="shared" si="102"/>
        <v>1.2233971704233787E-4</v>
      </c>
      <c r="AG434" s="22">
        <f t="shared" si="102"/>
        <v>1.2256258176640642E-4</v>
      </c>
      <c r="AH434" s="22">
        <f t="shared" si="102"/>
        <v>1.2279204268449652E-4</v>
      </c>
      <c r="AI434" s="22">
        <f t="shared" ref="L434:AW441" si="103">AI1537</f>
        <v>1.2293267358180957E-4</v>
      </c>
      <c r="AJ434" s="22">
        <f t="shared" si="103"/>
        <v>1.230880284078129E-4</v>
      </c>
      <c r="AK434" s="22">
        <f t="shared" si="103"/>
        <v>1.2325414703713089E-4</v>
      </c>
      <c r="AL434" s="22">
        <f t="shared" si="103"/>
        <v>1.2343300581478905E-4</v>
      </c>
      <c r="AM434" s="22">
        <f t="shared" si="103"/>
        <v>1.2362298848343737E-4</v>
      </c>
      <c r="AN434" s="22">
        <f t="shared" si="103"/>
        <v>1.2373316293630814E-4</v>
      </c>
      <c r="AO434" s="22">
        <f t="shared" si="103"/>
        <v>1.2385166980530415E-4</v>
      </c>
      <c r="AP434" s="22">
        <f t="shared" si="103"/>
        <v>1.2398002361906419E-4</v>
      </c>
      <c r="AQ434" s="22">
        <f t="shared" si="103"/>
        <v>1.2411840156820918E-4</v>
      </c>
      <c r="AR434" s="22">
        <f t="shared" si="103"/>
        <v>1.2426670691930035E-4</v>
      </c>
      <c r="AS434" s="22">
        <f t="shared" si="103"/>
        <v>1.2433302167931155E-4</v>
      </c>
      <c r="AT434" s="22">
        <f t="shared" si="103"/>
        <v>1.2439474489368146E-4</v>
      </c>
      <c r="AU434" s="22">
        <f t="shared" si="103"/>
        <v>1.2446317135013558E-4</v>
      </c>
      <c r="AV434" s="22">
        <f t="shared" si="103"/>
        <v>1.2453939785824996E-4</v>
      </c>
      <c r="AW434" s="22">
        <f t="shared" si="103"/>
        <v>1.24622639719568E-4</v>
      </c>
      <c r="AY434" s="79"/>
    </row>
    <row r="435" spans="1:51" x14ac:dyDescent="0.2">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8.2041591156770978E-4</v>
      </c>
      <c r="T435" s="22">
        <f t="shared" si="103"/>
        <v>8.216653384055813E-4</v>
      </c>
      <c r="U435" s="22">
        <f t="shared" si="103"/>
        <v>8.2307748974241456E-4</v>
      </c>
      <c r="V435" s="22">
        <f t="shared" si="103"/>
        <v>8.246705212997898E-4</v>
      </c>
      <c r="W435" s="22">
        <f t="shared" si="103"/>
        <v>8.2646256470257108E-4</v>
      </c>
      <c r="X435" s="22">
        <f t="shared" si="103"/>
        <v>8.284162520491963E-4</v>
      </c>
      <c r="Y435" s="22">
        <f t="shared" si="103"/>
        <v>8.2960446867411488E-4</v>
      </c>
      <c r="Z435" s="22">
        <f t="shared" si="103"/>
        <v>8.3093163831104511E-4</v>
      </c>
      <c r="AA435" s="22">
        <f t="shared" si="103"/>
        <v>8.323880253653359E-4</v>
      </c>
      <c r="AB435" s="22">
        <f t="shared" si="103"/>
        <v>8.3400660346610628E-4</v>
      </c>
      <c r="AC435" s="22">
        <f t="shared" si="103"/>
        <v>8.3574760408304538E-4</v>
      </c>
      <c r="AD435" s="22">
        <f t="shared" si="103"/>
        <v>8.3688522766794265E-4</v>
      </c>
      <c r="AE435" s="22">
        <f t="shared" si="103"/>
        <v>8.3816221522631858E-4</v>
      </c>
      <c r="AF435" s="22">
        <f t="shared" si="103"/>
        <v>8.3955816665060555E-4</v>
      </c>
      <c r="AG435" s="22">
        <f t="shared" si="103"/>
        <v>8.4108757920503671E-4</v>
      </c>
      <c r="AH435" s="22">
        <f t="shared" si="103"/>
        <v>8.4266225824114254E-4</v>
      </c>
      <c r="AI435" s="22">
        <f t="shared" si="103"/>
        <v>8.436273399102601E-4</v>
      </c>
      <c r="AJ435" s="22">
        <f t="shared" si="103"/>
        <v>8.4469346476368369E-4</v>
      </c>
      <c r="AK435" s="22">
        <f t="shared" si="103"/>
        <v>8.4583345638086619E-4</v>
      </c>
      <c r="AL435" s="22">
        <f t="shared" si="103"/>
        <v>8.4706087745956699E-4</v>
      </c>
      <c r="AM435" s="22">
        <f t="shared" si="103"/>
        <v>8.483646364091695E-4</v>
      </c>
      <c r="AN435" s="22">
        <f t="shared" si="103"/>
        <v>8.4912071026564152E-4</v>
      </c>
      <c r="AO435" s="22">
        <f t="shared" si="103"/>
        <v>8.4993396545434991E-4</v>
      </c>
      <c r="AP435" s="22">
        <f t="shared" si="103"/>
        <v>8.5081479545108508E-4</v>
      </c>
      <c r="AQ435" s="22">
        <f t="shared" si="103"/>
        <v>8.5176441622917501E-4</v>
      </c>
      <c r="AR435" s="22">
        <f t="shared" si="103"/>
        <v>8.5278216395392656E-4</v>
      </c>
      <c r="AS435" s="22">
        <f t="shared" si="103"/>
        <v>8.5323725000188266E-4</v>
      </c>
      <c r="AT435" s="22">
        <f t="shared" si="103"/>
        <v>8.5366082649812602E-4</v>
      </c>
      <c r="AU435" s="22">
        <f t="shared" si="103"/>
        <v>8.5413040409500023E-4</v>
      </c>
      <c r="AV435" s="22">
        <f t="shared" si="103"/>
        <v>8.546535096648827E-4</v>
      </c>
      <c r="AW435" s="22">
        <f t="shared" si="103"/>
        <v>8.5522475820269445E-4</v>
      </c>
      <c r="AY435" s="79"/>
    </row>
    <row r="436" spans="1:51" x14ac:dyDescent="0.2">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1.4486129996083081E-5</v>
      </c>
      <c r="L436" s="22">
        <f t="shared" si="103"/>
        <v>1.4523786941695515E-5</v>
      </c>
      <c r="M436" s="22">
        <f t="shared" si="103"/>
        <v>1.4575733367418309E-5</v>
      </c>
      <c r="N436" s="22">
        <f t="shared" si="103"/>
        <v>1.4639017833045651E-5</v>
      </c>
      <c r="O436" s="22">
        <f t="shared" si="103"/>
        <v>1.471355007817218E-5</v>
      </c>
      <c r="P436" s="22">
        <f t="shared" si="103"/>
        <v>1.4798876460462532E-5</v>
      </c>
      <c r="Q436" s="22">
        <f t="shared" si="103"/>
        <v>1.4890706011157255E-5</v>
      </c>
      <c r="R436" s="22">
        <f t="shared" si="103"/>
        <v>1.4988675221399694E-5</v>
      </c>
      <c r="S436" s="22">
        <f t="shared" si="103"/>
        <v>1.5078679643027028E-5</v>
      </c>
      <c r="T436" s="22">
        <f t="shared" si="103"/>
        <v>1.5122495296339113E-5</v>
      </c>
      <c r="U436" s="22">
        <f t="shared" si="103"/>
        <v>1.516958973789732E-5</v>
      </c>
      <c r="V436" s="22">
        <f t="shared" si="103"/>
        <v>1.5220538890996556E-5</v>
      </c>
      <c r="W436" s="22">
        <f t="shared" si="103"/>
        <v>1.5275902163367261E-5</v>
      </c>
      <c r="X436" s="22">
        <f t="shared" si="103"/>
        <v>1.5334694454120534E-5</v>
      </c>
      <c r="Y436" s="22">
        <f t="shared" si="103"/>
        <v>1.5371448915304841E-5</v>
      </c>
      <c r="Z436" s="22">
        <f t="shared" si="103"/>
        <v>1.5411207509365297E-5</v>
      </c>
      <c r="AA436" s="22">
        <f t="shared" si="103"/>
        <v>1.5453736398701918E-5</v>
      </c>
      <c r="AB436" s="22">
        <f t="shared" si="103"/>
        <v>1.5499966763922933E-5</v>
      </c>
      <c r="AC436" s="22">
        <f t="shared" si="103"/>
        <v>1.5548833641447303E-5</v>
      </c>
      <c r="AD436" s="22">
        <f t="shared" si="103"/>
        <v>1.5580602349578564E-5</v>
      </c>
      <c r="AE436" s="22">
        <f t="shared" si="103"/>
        <v>1.5615591404277508E-5</v>
      </c>
      <c r="AF436" s="22">
        <f t="shared" si="103"/>
        <v>1.5653259744642323E-5</v>
      </c>
      <c r="AG436" s="22">
        <f t="shared" si="103"/>
        <v>1.5694012741398928E-5</v>
      </c>
      <c r="AH436" s="22">
        <f t="shared" si="103"/>
        <v>1.5735477279761714E-5</v>
      </c>
      <c r="AI436" s="22">
        <f t="shared" si="103"/>
        <v>1.5760021720349279E-5</v>
      </c>
      <c r="AJ436" s="22">
        <f t="shared" si="103"/>
        <v>1.5786883711006113E-5</v>
      </c>
      <c r="AK436" s="22">
        <f t="shared" si="103"/>
        <v>1.5815340273420816E-5</v>
      </c>
      <c r="AL436" s="22">
        <f t="shared" si="103"/>
        <v>1.5845764593107772E-5</v>
      </c>
      <c r="AM436" s="22">
        <f t="shared" si="103"/>
        <v>1.5877866318833775E-5</v>
      </c>
      <c r="AN436" s="22">
        <f t="shared" si="103"/>
        <v>1.5894983838021428E-5</v>
      </c>
      <c r="AO436" s="22">
        <f t="shared" si="103"/>
        <v>1.5913339031971955E-5</v>
      </c>
      <c r="AP436" s="22">
        <f t="shared" si="103"/>
        <v>1.593321505910849E-5</v>
      </c>
      <c r="AQ436" s="22">
        <f t="shared" si="103"/>
        <v>1.5954648527995344E-5</v>
      </c>
      <c r="AR436" s="22">
        <f t="shared" si="103"/>
        <v>1.5977625288303394E-5</v>
      </c>
      <c r="AS436" s="22">
        <f t="shared" si="103"/>
        <v>1.5985441440203981E-5</v>
      </c>
      <c r="AT436" s="22">
        <f t="shared" si="103"/>
        <v>1.5992226212116376E-5</v>
      </c>
      <c r="AU436" s="22">
        <f t="shared" si="103"/>
        <v>1.6000039436891757E-5</v>
      </c>
      <c r="AV436" s="22">
        <f t="shared" si="103"/>
        <v>1.6009082551352237E-5</v>
      </c>
      <c r="AW436" s="22">
        <f t="shared" si="103"/>
        <v>1.6019215529788255E-5</v>
      </c>
      <c r="AY436" s="79"/>
    </row>
    <row r="437" spans="1:51" x14ac:dyDescent="0.2">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1.4738364076719785E-3</v>
      </c>
      <c r="L437" s="22">
        <f t="shared" si="103"/>
        <v>1.4776676709189833E-3</v>
      </c>
      <c r="M437" s="22">
        <f t="shared" si="103"/>
        <v>1.4829527631761549E-3</v>
      </c>
      <c r="N437" s="22">
        <f t="shared" si="103"/>
        <v>1.4893914013429299E-3</v>
      </c>
      <c r="O437" s="22">
        <f t="shared" si="103"/>
        <v>1.4969744022163664E-3</v>
      </c>
      <c r="P437" s="22">
        <f t="shared" si="103"/>
        <v>1.5056556116759296E-3</v>
      </c>
      <c r="Q437" s="22">
        <f t="shared" si="103"/>
        <v>1.5149984613639165E-3</v>
      </c>
      <c r="R437" s="22">
        <f t="shared" si="103"/>
        <v>1.5249659674490626E-3</v>
      </c>
      <c r="S437" s="22">
        <f t="shared" si="103"/>
        <v>1.5341231262956069E-3</v>
      </c>
      <c r="T437" s="22">
        <f t="shared" si="103"/>
        <v>1.5385809839218152E-3</v>
      </c>
      <c r="U437" s="22">
        <f t="shared" si="103"/>
        <v>1.5433724294346084E-3</v>
      </c>
      <c r="V437" s="22">
        <f t="shared" si="103"/>
        <v>1.5485560579674195E-3</v>
      </c>
      <c r="W437" s="22">
        <f t="shared" si="103"/>
        <v>1.5541887843401544E-3</v>
      </c>
      <c r="X437" s="22">
        <f t="shared" si="103"/>
        <v>1.5601703831954754E-3</v>
      </c>
      <c r="Y437" s="22">
        <f t="shared" si="103"/>
        <v>1.5639098265839071E-3</v>
      </c>
      <c r="Z437" s="22">
        <f t="shared" si="103"/>
        <v>1.5679549140889886E-3</v>
      </c>
      <c r="AA437" s="22">
        <f t="shared" si="103"/>
        <v>1.5722818547901358E-3</v>
      </c>
      <c r="AB437" s="22">
        <f t="shared" si="103"/>
        <v>1.5769853881300361E-3</v>
      </c>
      <c r="AC437" s="22">
        <f t="shared" si="103"/>
        <v>1.5819571634243445E-3</v>
      </c>
      <c r="AD437" s="22">
        <f t="shared" si="103"/>
        <v>1.5851893502596976E-3</v>
      </c>
      <c r="AE437" s="22">
        <f t="shared" si="103"/>
        <v>1.5887491790545015E-3</v>
      </c>
      <c r="AF437" s="22">
        <f t="shared" si="103"/>
        <v>1.5925816016174124E-3</v>
      </c>
      <c r="AG437" s="22">
        <f t="shared" si="103"/>
        <v>1.5967278608569652E-3</v>
      </c>
      <c r="AH437" s="22">
        <f t="shared" si="103"/>
        <v>1.6009465132011667E-3</v>
      </c>
      <c r="AI437" s="22">
        <f t="shared" si="103"/>
        <v>1.6034436943084516E-3</v>
      </c>
      <c r="AJ437" s="22">
        <f t="shared" si="103"/>
        <v>1.6061766657662043E-3</v>
      </c>
      <c r="AK437" s="22">
        <f t="shared" si="103"/>
        <v>1.6090718708855374E-3</v>
      </c>
      <c r="AL437" s="22">
        <f t="shared" si="103"/>
        <v>1.6121672780125896E-3</v>
      </c>
      <c r="AM437" s="22">
        <f t="shared" si="103"/>
        <v>1.6154333464612968E-3</v>
      </c>
      <c r="AN437" s="22">
        <f t="shared" si="103"/>
        <v>1.6171749035917807E-3</v>
      </c>
      <c r="AO437" s="22">
        <f t="shared" si="103"/>
        <v>1.6190423832513916E-3</v>
      </c>
      <c r="AP437" s="22">
        <f t="shared" si="103"/>
        <v>1.6210645943209887E-3</v>
      </c>
      <c r="AQ437" s="22">
        <f t="shared" si="103"/>
        <v>1.6232452614002358E-3</v>
      </c>
      <c r="AR437" s="22">
        <f t="shared" si="103"/>
        <v>1.6255829448175118E-3</v>
      </c>
      <c r="AS437" s="22">
        <f t="shared" si="103"/>
        <v>1.6263781695767885E-3</v>
      </c>
      <c r="AT437" s="22">
        <f t="shared" si="103"/>
        <v>1.6270684604871241E-3</v>
      </c>
      <c r="AU437" s="22">
        <f t="shared" si="103"/>
        <v>1.6278633874371373E-3</v>
      </c>
      <c r="AV437" s="22">
        <f t="shared" si="103"/>
        <v>1.6287834448530387E-3</v>
      </c>
      <c r="AW437" s="22">
        <f t="shared" si="103"/>
        <v>1.6298143863495728E-3</v>
      </c>
      <c r="AY437" s="79"/>
    </row>
    <row r="438" spans="1:51" x14ac:dyDescent="0.2">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2">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2">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0.13004550543955873</v>
      </c>
      <c r="M440" s="22">
        <f t="shared" si="103"/>
        <v>0.13010384136507713</v>
      </c>
      <c r="N440" s="22">
        <f t="shared" si="103"/>
        <v>0.1289093884029483</v>
      </c>
      <c r="O440" s="22">
        <f t="shared" si="103"/>
        <v>0.12695857121838477</v>
      </c>
      <c r="P440" s="22">
        <f t="shared" si="103"/>
        <v>0.12428257569245395</v>
      </c>
      <c r="Q440" s="22">
        <f t="shared" si="103"/>
        <v>0.12233950618032065</v>
      </c>
      <c r="R440" s="22">
        <f t="shared" si="103"/>
        <v>0.12056837226162823</v>
      </c>
      <c r="S440" s="22">
        <f t="shared" si="103"/>
        <v>0.10742568641023791</v>
      </c>
      <c r="T440" s="22">
        <f t="shared" si="103"/>
        <v>0.1091029492210569</v>
      </c>
      <c r="U440" s="22">
        <f t="shared" si="103"/>
        <v>0.1098152981393777</v>
      </c>
      <c r="V440" s="22">
        <f t="shared" si="103"/>
        <v>0.11028443328369632</v>
      </c>
      <c r="W440" s="22">
        <f t="shared" si="103"/>
        <v>0.11115311990923482</v>
      </c>
      <c r="X440" s="22">
        <f t="shared" si="103"/>
        <v>0.11180012354863146</v>
      </c>
      <c r="Y440" s="22">
        <f t="shared" si="103"/>
        <v>0.11213950095917391</v>
      </c>
      <c r="Z440" s="22">
        <f t="shared" si="103"/>
        <v>0.11234743559515332</v>
      </c>
      <c r="AA440" s="22">
        <f t="shared" si="103"/>
        <v>0.11237564219545433</v>
      </c>
      <c r="AB440" s="22">
        <f t="shared" si="103"/>
        <v>0.1130282053559263</v>
      </c>
      <c r="AC440" s="22">
        <f t="shared" si="103"/>
        <v>0.11359821524900583</v>
      </c>
      <c r="AD440" s="22">
        <f t="shared" si="103"/>
        <v>0.11441835566605747</v>
      </c>
      <c r="AE440" s="22">
        <f t="shared" si="103"/>
        <v>0.11580372782809943</v>
      </c>
      <c r="AF440" s="22">
        <f t="shared" si="103"/>
        <v>0.11742607569995514</v>
      </c>
      <c r="AG440" s="22">
        <f t="shared" si="103"/>
        <v>0.11962260335271972</v>
      </c>
      <c r="AH440" s="22">
        <f t="shared" si="103"/>
        <v>0.12080838440395283</v>
      </c>
      <c r="AI440" s="22">
        <f t="shared" si="103"/>
        <v>0.12184404408189208</v>
      </c>
      <c r="AJ440" s="22">
        <f t="shared" si="103"/>
        <v>0.12314557152083414</v>
      </c>
      <c r="AK440" s="22">
        <f t="shared" si="103"/>
        <v>0.12427557755093979</v>
      </c>
      <c r="AL440" s="22">
        <f t="shared" si="103"/>
        <v>0.1255259175330139</v>
      </c>
      <c r="AM440" s="22">
        <f t="shared" si="103"/>
        <v>0.12674552603750175</v>
      </c>
      <c r="AN440" s="22">
        <f t="shared" si="103"/>
        <v>0.12838752833674963</v>
      </c>
      <c r="AO440" s="22">
        <f t="shared" si="103"/>
        <v>0.12981338825169941</v>
      </c>
      <c r="AP440" s="22">
        <f t="shared" si="103"/>
        <v>0.13123798099286382</v>
      </c>
      <c r="AQ440" s="22">
        <f t="shared" si="103"/>
        <v>0.13271316927423235</v>
      </c>
      <c r="AR440" s="22">
        <f t="shared" si="103"/>
        <v>0.13425553565091783</v>
      </c>
      <c r="AS440" s="22">
        <f t="shared" si="103"/>
        <v>0.1362655431555625</v>
      </c>
      <c r="AT440" s="22">
        <f t="shared" si="103"/>
        <v>0.1368880254632967</v>
      </c>
      <c r="AU440" s="22">
        <f t="shared" si="103"/>
        <v>0.13738521125796219</v>
      </c>
      <c r="AV440" s="22">
        <f t="shared" si="103"/>
        <v>0.13789795385940914</v>
      </c>
      <c r="AW440" s="22">
        <f t="shared" si="103"/>
        <v>0.13836722215964953</v>
      </c>
      <c r="AY440" s="79"/>
    </row>
    <row r="441" spans="1:51" x14ac:dyDescent="0.2">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1.2724633182830881E-2</v>
      </c>
      <c r="L441" s="22">
        <f t="shared" si="103"/>
        <v>1.2655466337890216E-2</v>
      </c>
      <c r="M441" s="22">
        <f t="shared" si="103"/>
        <v>1.266114333794641E-2</v>
      </c>
      <c r="N441" s="22">
        <f t="shared" si="103"/>
        <v>1.2544904339887072E-2</v>
      </c>
      <c r="O441" s="22">
        <f t="shared" si="103"/>
        <v>1.2355059245839619E-2</v>
      </c>
      <c r="P441" s="22">
        <f t="shared" si="103"/>
        <v>1.209464293091744E-2</v>
      </c>
      <c r="Q441" s="22">
        <f t="shared" si="103"/>
        <v>1.1905551806853851E-2</v>
      </c>
      <c r="R441" s="22">
        <f t="shared" si="103"/>
        <v>1.1733192711380727E-2</v>
      </c>
      <c r="S441" s="22">
        <f t="shared" si="103"/>
        <v>1.0454203346699911E-2</v>
      </c>
      <c r="T441" s="22">
        <f t="shared" si="103"/>
        <v>1.0617427311806347E-2</v>
      </c>
      <c r="U441" s="22">
        <f t="shared" si="103"/>
        <v>1.0686750028698176E-2</v>
      </c>
      <c r="V441" s="22">
        <f t="shared" si="103"/>
        <v>1.0732404232638389E-2</v>
      </c>
      <c r="W441" s="22">
        <f t="shared" si="103"/>
        <v>1.0816941059270873E-2</v>
      </c>
      <c r="X441" s="22">
        <f t="shared" ref="L441:AW448" si="105">X1544</f>
        <v>1.087990465613799E-2</v>
      </c>
      <c r="Y441" s="22">
        <f t="shared" si="105"/>
        <v>1.0912931398434408E-2</v>
      </c>
      <c r="Z441" s="22">
        <f t="shared" si="105"/>
        <v>1.0933166698202938E-2</v>
      </c>
      <c r="AA441" s="22">
        <f t="shared" si="105"/>
        <v>1.0935911642593046E-2</v>
      </c>
      <c r="AB441" s="22">
        <f t="shared" si="105"/>
        <v>1.0999416268014638E-2</v>
      </c>
      <c r="AC441" s="22">
        <f t="shared" si="105"/>
        <v>1.1054887166372485E-2</v>
      </c>
      <c r="AD441" s="22">
        <f t="shared" si="105"/>
        <v>1.1134699685884465E-2</v>
      </c>
      <c r="AE441" s="22">
        <f t="shared" si="105"/>
        <v>1.1269518115040561E-2</v>
      </c>
      <c r="AF441" s="22">
        <f t="shared" si="105"/>
        <v>1.1427397995711722E-2</v>
      </c>
      <c r="AG441" s="22">
        <f t="shared" si="105"/>
        <v>1.1641154570195772E-2</v>
      </c>
      <c r="AH441" s="22">
        <f t="shared" si="105"/>
        <v>1.1756549655379731E-2</v>
      </c>
      <c r="AI441" s="22">
        <f t="shared" si="105"/>
        <v>1.1857335577564188E-2</v>
      </c>
      <c r="AJ441" s="22">
        <f t="shared" si="105"/>
        <v>1.1983994600770704E-2</v>
      </c>
      <c r="AK441" s="22">
        <f t="shared" si="105"/>
        <v>1.209396190204173E-2</v>
      </c>
      <c r="AL441" s="22">
        <f t="shared" si="105"/>
        <v>1.2215639583254724E-2</v>
      </c>
      <c r="AM441" s="22">
        <f t="shared" si="105"/>
        <v>1.2334326609936505E-2</v>
      </c>
      <c r="AN441" s="22">
        <f t="shared" si="105"/>
        <v>1.2494119174505589E-2</v>
      </c>
      <c r="AO441" s="22">
        <f t="shared" si="105"/>
        <v>1.2632877696725955E-2</v>
      </c>
      <c r="AP441" s="22">
        <f t="shared" si="105"/>
        <v>1.2771512903072156E-2</v>
      </c>
      <c r="AQ441" s="22">
        <f t="shared" si="105"/>
        <v>1.2915071848641296E-2</v>
      </c>
      <c r="AR441" s="22">
        <f t="shared" si="105"/>
        <v>1.3065168276002324E-2</v>
      </c>
      <c r="AS441" s="22">
        <f t="shared" si="105"/>
        <v>1.3260773516090847E-2</v>
      </c>
      <c r="AT441" s="22">
        <f t="shared" si="105"/>
        <v>1.3321350802978501E-2</v>
      </c>
      <c r="AU441" s="22">
        <f t="shared" si="105"/>
        <v>1.3369734774933539E-2</v>
      </c>
      <c r="AV441" s="22">
        <f t="shared" si="105"/>
        <v>1.3419632668064721E-2</v>
      </c>
      <c r="AW441" s="22">
        <f t="shared" si="105"/>
        <v>1.3465299830163544E-2</v>
      </c>
      <c r="AY441" s="79"/>
    </row>
    <row r="442" spans="1:51" x14ac:dyDescent="0.2">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6.4453339767617107E-2</v>
      </c>
      <c r="L442" s="22">
        <f t="shared" si="105"/>
        <v>6.5763803942104557E-2</v>
      </c>
      <c r="M442" s="22">
        <f t="shared" si="105"/>
        <v>6.7295612361813625E-2</v>
      </c>
      <c r="N442" s="22">
        <f t="shared" si="105"/>
        <v>6.8471619369899747E-2</v>
      </c>
      <c r="O442" s="22">
        <f t="shared" si="105"/>
        <v>6.9415657765503513E-2</v>
      </c>
      <c r="P442" s="22">
        <f t="shared" si="105"/>
        <v>7.0122113289878343E-2</v>
      </c>
      <c r="Q442" s="22">
        <f t="shared" si="105"/>
        <v>7.1027984276732931E-2</v>
      </c>
      <c r="R442" s="22">
        <f t="shared" si="105"/>
        <v>7.1969839340941838E-2</v>
      </c>
      <c r="S442" s="22">
        <f t="shared" si="105"/>
        <v>6.9091020117855437E-2</v>
      </c>
      <c r="T442" s="22">
        <f t="shared" si="105"/>
        <v>7.0923520025616846E-2</v>
      </c>
      <c r="U442" s="22">
        <f t="shared" si="105"/>
        <v>7.2452558917721649E-2</v>
      </c>
      <c r="V442" s="22">
        <f t="shared" si="105"/>
        <v>7.3914725789307509E-2</v>
      </c>
      <c r="W442" s="22">
        <f t="shared" si="105"/>
        <v>7.5540335927502686E-2</v>
      </c>
      <c r="X442" s="22">
        <f t="shared" si="105"/>
        <v>7.710742274610026E-2</v>
      </c>
      <c r="Y442" s="22">
        <f t="shared" si="105"/>
        <v>7.8514475152186416E-2</v>
      </c>
      <c r="Z442" s="22">
        <f t="shared" si="105"/>
        <v>7.9886368180485237E-2</v>
      </c>
      <c r="AA442" s="22">
        <f t="shared" si="105"/>
        <v>8.1201368710931643E-2</v>
      </c>
      <c r="AB442" s="22">
        <f t="shared" si="105"/>
        <v>8.2782551319957556E-2</v>
      </c>
      <c r="AC442" s="22">
        <f t="shared" si="105"/>
        <v>8.4352893309328145E-2</v>
      </c>
      <c r="AD442" s="22">
        <f t="shared" si="105"/>
        <v>8.5998825916539595E-2</v>
      </c>
      <c r="AE442" s="22">
        <f t="shared" si="105"/>
        <v>8.791554994164491E-2</v>
      </c>
      <c r="AF442" s="22">
        <f t="shared" si="105"/>
        <v>8.9973918009766785E-2</v>
      </c>
      <c r="AG442" s="22">
        <f t="shared" si="105"/>
        <v>9.2332462068458354E-2</v>
      </c>
      <c r="AH442" s="22">
        <f t="shared" si="105"/>
        <v>9.4282044413809288E-2</v>
      </c>
      <c r="AI442" s="22">
        <f t="shared" si="105"/>
        <v>9.6147404966029248E-2</v>
      </c>
      <c r="AJ442" s="22">
        <f t="shared" si="105"/>
        <v>9.8173701325843382E-2</v>
      </c>
      <c r="AK442" s="22">
        <f t="shared" si="105"/>
        <v>0.1001572245577764</v>
      </c>
      <c r="AL442" s="22">
        <f t="shared" si="105"/>
        <v>0.10223848995104871</v>
      </c>
      <c r="AM442" s="22">
        <f t="shared" si="105"/>
        <v>0.10434595485218236</v>
      </c>
      <c r="AN442" s="22">
        <f t="shared" si="105"/>
        <v>0.10666367827206967</v>
      </c>
      <c r="AO442" s="22">
        <f t="shared" si="105"/>
        <v>0.10891945161625204</v>
      </c>
      <c r="AP442" s="22">
        <f t="shared" si="105"/>
        <v>0.11122270700738313</v>
      </c>
      <c r="AQ442" s="22">
        <f t="shared" si="105"/>
        <v>0.11360290610560657</v>
      </c>
      <c r="AR442" s="22">
        <f t="shared" si="105"/>
        <v>0.11607217368997393</v>
      </c>
      <c r="AS442" s="22">
        <f t="shared" si="105"/>
        <v>0.11880939144121157</v>
      </c>
      <c r="AT442" s="22">
        <f t="shared" si="105"/>
        <v>0.12081746755875615</v>
      </c>
      <c r="AU442" s="22">
        <f t="shared" si="105"/>
        <v>0.12279062605907758</v>
      </c>
      <c r="AV442" s="22">
        <f t="shared" si="105"/>
        <v>0.12480975001742217</v>
      </c>
      <c r="AW442" s="22">
        <f t="shared" si="105"/>
        <v>0.1268408444448812</v>
      </c>
      <c r="AY442" s="79"/>
    </row>
    <row r="443" spans="1:51" x14ac:dyDescent="0.2">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0.31034319165291718</v>
      </c>
      <c r="L443" s="22">
        <f t="shared" si="105"/>
        <v>0.31442985679016988</v>
      </c>
      <c r="M443" s="22">
        <f t="shared" si="105"/>
        <v>0.32099421325528477</v>
      </c>
      <c r="N443" s="22">
        <f t="shared" si="105"/>
        <v>0.3228790317815291</v>
      </c>
      <c r="O443" s="22">
        <f t="shared" si="105"/>
        <v>0.32172327535887091</v>
      </c>
      <c r="P443" s="22">
        <f t="shared" si="105"/>
        <v>0.31753924052538912</v>
      </c>
      <c r="Q443" s="22">
        <f t="shared" si="105"/>
        <v>0.31577785743754239</v>
      </c>
      <c r="R443" s="22">
        <f t="shared" si="105"/>
        <v>0.31441607582114922</v>
      </c>
      <c r="S443" s="22">
        <f t="shared" si="105"/>
        <v>0.26879192155029241</v>
      </c>
      <c r="T443" s="22">
        <f t="shared" si="105"/>
        <v>0.28063901740950847</v>
      </c>
      <c r="U443" s="22">
        <f t="shared" si="105"/>
        <v>0.28880309945041127</v>
      </c>
      <c r="V443" s="22">
        <f t="shared" si="105"/>
        <v>0.29604855006817871</v>
      </c>
      <c r="W443" s="22">
        <f t="shared" si="105"/>
        <v>0.30496938447162802</v>
      </c>
      <c r="X443" s="22">
        <f t="shared" si="105"/>
        <v>0.31306661968905752</v>
      </c>
      <c r="Y443" s="22">
        <f t="shared" si="105"/>
        <v>0.32021357019479407</v>
      </c>
      <c r="Z443" s="22">
        <f t="shared" si="105"/>
        <v>0.32685390014438859</v>
      </c>
      <c r="AA443" s="22">
        <f t="shared" si="105"/>
        <v>0.33276450713212152</v>
      </c>
      <c r="AB443" s="22">
        <f t="shared" si="105"/>
        <v>0.34142456701129209</v>
      </c>
      <c r="AC443" s="22">
        <f t="shared" si="105"/>
        <v>0.34982483105719137</v>
      </c>
      <c r="AD443" s="22">
        <f t="shared" si="105"/>
        <v>0.35965297279223607</v>
      </c>
      <c r="AE443" s="22">
        <f t="shared" si="105"/>
        <v>0.37217634319205956</v>
      </c>
      <c r="AF443" s="22">
        <f t="shared" si="105"/>
        <v>0.3859945703932357</v>
      </c>
      <c r="AG443" s="22">
        <f t="shared" si="105"/>
        <v>0.40272226665089866</v>
      </c>
      <c r="AH443" s="22">
        <f t="shared" si="105"/>
        <v>0.41501766533472662</v>
      </c>
      <c r="AI443" s="22">
        <f t="shared" si="105"/>
        <v>0.42700130219026528</v>
      </c>
      <c r="AJ443" s="22">
        <f t="shared" si="105"/>
        <v>0.44046546100421546</v>
      </c>
      <c r="AK443" s="22">
        <f t="shared" si="105"/>
        <v>0.45333055520989524</v>
      </c>
      <c r="AL443" s="22">
        <f t="shared" si="105"/>
        <v>0.46701619271583805</v>
      </c>
      <c r="AM443" s="22">
        <f t="shared" si="105"/>
        <v>0.48079646315959662</v>
      </c>
      <c r="AN443" s="22">
        <f t="shared" si="105"/>
        <v>0.49715144699339536</v>
      </c>
      <c r="AO443" s="22">
        <f t="shared" si="105"/>
        <v>0.51271284356388047</v>
      </c>
      <c r="AP443" s="22">
        <f t="shared" si="105"/>
        <v>0.52856616956956437</v>
      </c>
      <c r="AQ443" s="22">
        <f t="shared" si="105"/>
        <v>0.54499431888614669</v>
      </c>
      <c r="AR443" s="22">
        <f t="shared" si="105"/>
        <v>0.56210625186052299</v>
      </c>
      <c r="AS443" s="22">
        <f t="shared" si="105"/>
        <v>0.58227066272581418</v>
      </c>
      <c r="AT443" s="22">
        <f t="shared" si="105"/>
        <v>0.59525693388734258</v>
      </c>
      <c r="AU443" s="22">
        <f t="shared" si="105"/>
        <v>0.60778527419801665</v>
      </c>
      <c r="AV443" s="22">
        <f t="shared" si="105"/>
        <v>0.62062894178535877</v>
      </c>
      <c r="AW443" s="22">
        <f t="shared" si="105"/>
        <v>0.63346374044156473</v>
      </c>
      <c r="AY443" s="79"/>
    </row>
    <row r="444" spans="1:51" x14ac:dyDescent="0.2">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8.9709854381943815E-2</v>
      </c>
      <c r="M444" s="22">
        <f t="shared" si="105"/>
        <v>9.0417475033143083E-2</v>
      </c>
      <c r="N444" s="22">
        <f t="shared" si="105"/>
        <v>9.0872196678668984E-2</v>
      </c>
      <c r="O444" s="22">
        <f t="shared" si="105"/>
        <v>9.1174361291842948E-2</v>
      </c>
      <c r="P444" s="22">
        <f t="shared" si="105"/>
        <v>9.1320994898161728E-2</v>
      </c>
      <c r="Q444" s="22">
        <f t="shared" si="105"/>
        <v>9.1644963105957017E-2</v>
      </c>
      <c r="R444" s="22">
        <f t="shared" si="105"/>
        <v>9.2016609055475651E-2</v>
      </c>
      <c r="S444" s="22">
        <f t="shared" si="105"/>
        <v>8.9497634351969751E-2</v>
      </c>
      <c r="T444" s="22">
        <f t="shared" si="105"/>
        <v>9.0526156863539653E-2</v>
      </c>
      <c r="U444" s="22">
        <f t="shared" si="105"/>
        <v>9.133211275409571E-2</v>
      </c>
      <c r="V444" s="22">
        <f t="shared" si="105"/>
        <v>9.2095667401537948E-2</v>
      </c>
      <c r="W444" s="22">
        <f t="shared" si="105"/>
        <v>9.2988337377843094E-2</v>
      </c>
      <c r="X444" s="22">
        <f t="shared" si="105"/>
        <v>9.3843223396191833E-2</v>
      </c>
      <c r="Y444" s="22">
        <f t="shared" si="105"/>
        <v>9.4560210431129388E-2</v>
      </c>
      <c r="Z444" s="22">
        <f t="shared" si="105"/>
        <v>9.5257283424355771E-2</v>
      </c>
      <c r="AA444" s="22">
        <f t="shared" si="105"/>
        <v>9.5918466483612935E-2</v>
      </c>
      <c r="AB444" s="22">
        <f t="shared" si="105"/>
        <v>9.6778548113850782E-2</v>
      </c>
      <c r="AC444" s="22">
        <f t="shared" si="105"/>
        <v>9.7634207071548518E-2</v>
      </c>
      <c r="AD444" s="22">
        <f t="shared" si="105"/>
        <v>9.8526906814348045E-2</v>
      </c>
      <c r="AE444" s="22">
        <f t="shared" si="105"/>
        <v>9.9615980454525591E-2</v>
      </c>
      <c r="AF444" s="22">
        <f t="shared" si="105"/>
        <v>0.1008065868820634</v>
      </c>
      <c r="AG444" s="22">
        <f t="shared" si="105"/>
        <v>0.10221006700957981</v>
      </c>
      <c r="AH444" s="22">
        <f t="shared" si="105"/>
        <v>0.10332162680247739</v>
      </c>
      <c r="AI444" s="22">
        <f t="shared" si="105"/>
        <v>0.10435425380397972</v>
      </c>
      <c r="AJ444" s="22">
        <f t="shared" si="105"/>
        <v>0.10550009187328319</v>
      </c>
      <c r="AK444" s="22">
        <f t="shared" si="105"/>
        <v>0.10661516318950658</v>
      </c>
      <c r="AL444" s="22">
        <f t="shared" si="105"/>
        <v>0.10779775034487957</v>
      </c>
      <c r="AM444" s="22">
        <f t="shared" si="105"/>
        <v>0.10899733735251546</v>
      </c>
      <c r="AN444" s="22">
        <f t="shared" si="105"/>
        <v>0.11032305770963274</v>
      </c>
      <c r="AO444" s="22">
        <f t="shared" si="105"/>
        <v>0.1116034974988518</v>
      </c>
      <c r="AP444" s="22">
        <f t="shared" si="105"/>
        <v>0.11291437639210956</v>
      </c>
      <c r="AQ444" s="22">
        <f t="shared" si="105"/>
        <v>0.11427557081956052</v>
      </c>
      <c r="AR444" s="22">
        <f t="shared" si="105"/>
        <v>0.11569486271533871</v>
      </c>
      <c r="AS444" s="22">
        <f t="shared" si="105"/>
        <v>0.11727523367677491</v>
      </c>
      <c r="AT444" s="22">
        <f t="shared" si="105"/>
        <v>0.11835610910450192</v>
      </c>
      <c r="AU444" s="22">
        <f t="shared" si="105"/>
        <v>0.11941212579472428</v>
      </c>
      <c r="AV444" s="22">
        <f t="shared" si="105"/>
        <v>0.120498066178682</v>
      </c>
      <c r="AW444" s="22">
        <f t="shared" si="105"/>
        <v>0.12159075101335114</v>
      </c>
      <c r="AY444" s="79"/>
    </row>
    <row r="445" spans="1:51" x14ac:dyDescent="0.2">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2.7090100081973278E-2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2.7786681470952927E-2</v>
      </c>
      <c r="S445" s="22">
        <f t="shared" si="105"/>
        <v>2.7026015016948877E-2</v>
      </c>
      <c r="T445" s="22">
        <f t="shared" si="105"/>
        <v>2.7336602721799708E-2</v>
      </c>
      <c r="U445" s="22">
        <f t="shared" si="105"/>
        <v>2.7579980953625429E-2</v>
      </c>
      <c r="V445" s="22">
        <f t="shared" si="105"/>
        <v>2.7810555085751417E-2</v>
      </c>
      <c r="W445" s="22">
        <f t="shared" si="105"/>
        <v>2.8080118771534705E-2</v>
      </c>
      <c r="X445" s="22">
        <f t="shared" si="105"/>
        <v>2.8338272660595177E-2</v>
      </c>
      <c r="Y445" s="22">
        <f t="shared" si="105"/>
        <v>2.8554784555166308E-2</v>
      </c>
      <c r="Z445" s="22">
        <f t="shared" si="105"/>
        <v>2.8765282914360448E-2</v>
      </c>
      <c r="AA445" s="22">
        <f t="shared" si="105"/>
        <v>2.8964943424024437E-2</v>
      </c>
      <c r="AB445" s="22">
        <f t="shared" si="105"/>
        <v>2.9224666256062608E-2</v>
      </c>
      <c r="AC445" s="22">
        <f t="shared" si="105"/>
        <v>2.9483053553196983E-2</v>
      </c>
      <c r="AD445" s="22">
        <f t="shared" si="105"/>
        <v>2.9752626227706403E-2</v>
      </c>
      <c r="AE445" s="22">
        <f t="shared" si="105"/>
        <v>3.0081498837213019E-2</v>
      </c>
      <c r="AF445" s="22">
        <f t="shared" si="105"/>
        <v>3.0441031772612943E-2</v>
      </c>
      <c r="AG445" s="22">
        <f t="shared" si="105"/>
        <v>3.0864847164795019E-2</v>
      </c>
      <c r="AH445" s="22">
        <f t="shared" si="105"/>
        <v>3.1200510021948794E-2</v>
      </c>
      <c r="AI445" s="22">
        <f t="shared" si="105"/>
        <v>3.1512337178628218E-2</v>
      </c>
      <c r="AJ445" s="22">
        <f t="shared" si="105"/>
        <v>3.1858351205615788E-2</v>
      </c>
      <c r="AK445" s="22">
        <f t="shared" si="105"/>
        <v>3.2195074453726519E-2</v>
      </c>
      <c r="AL445" s="22">
        <f t="shared" si="105"/>
        <v>3.2552185772381829E-2</v>
      </c>
      <c r="AM445" s="22">
        <f t="shared" si="105"/>
        <v>3.2914430615133806E-2</v>
      </c>
      <c r="AN445" s="22">
        <f t="shared" si="105"/>
        <v>3.331476452942278E-2</v>
      </c>
      <c r="AO445" s="22">
        <f t="shared" si="105"/>
        <v>3.370142486097568E-2</v>
      </c>
      <c r="AP445" s="22">
        <f t="shared" si="105"/>
        <v>3.4097277029707398E-2</v>
      </c>
      <c r="AQ445" s="22">
        <f t="shared" si="105"/>
        <v>3.4508323213259036E-2</v>
      </c>
      <c r="AR445" s="22">
        <f t="shared" si="105"/>
        <v>3.4936913358311179E-2</v>
      </c>
      <c r="AS445" s="22">
        <f t="shared" si="105"/>
        <v>3.5414145294611905E-2</v>
      </c>
      <c r="AT445" s="22">
        <f t="shared" si="105"/>
        <v>3.5740542251947324E-2</v>
      </c>
      <c r="AU445" s="22">
        <f t="shared" si="105"/>
        <v>3.6059432501223176E-2</v>
      </c>
      <c r="AV445" s="22">
        <f t="shared" si="105"/>
        <v>3.638735894684221E-2</v>
      </c>
      <c r="AW445" s="22">
        <f t="shared" si="105"/>
        <v>3.6717322045469181E-2</v>
      </c>
      <c r="AY445" s="79"/>
    </row>
    <row r="446" spans="1:51" x14ac:dyDescent="0.2">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1.4564639612104711E-3</v>
      </c>
      <c r="M446" s="22">
        <f t="shared" si="105"/>
        <v>1.4679523755410987E-3</v>
      </c>
      <c r="N446" s="22">
        <f t="shared" si="105"/>
        <v>1.4753349055168039E-3</v>
      </c>
      <c r="O446" s="22">
        <f t="shared" si="105"/>
        <v>1.4802406304505133E-3</v>
      </c>
      <c r="P446" s="22">
        <f t="shared" si="105"/>
        <v>1.4826212670547858E-3</v>
      </c>
      <c r="Q446" s="22">
        <f t="shared" si="105"/>
        <v>1.4878809792957942E-3</v>
      </c>
      <c r="R446" s="22">
        <f t="shared" si="105"/>
        <v>1.4939147526814823E-3</v>
      </c>
      <c r="S446" s="22">
        <f t="shared" si="105"/>
        <v>1.4530185111243717E-3</v>
      </c>
      <c r="T446" s="22">
        <f t="shared" si="105"/>
        <v>1.4697168547089842E-3</v>
      </c>
      <c r="U446" s="22">
        <f t="shared" si="105"/>
        <v>1.4828017684791316E-3</v>
      </c>
      <c r="V446" s="22">
        <f t="shared" si="105"/>
        <v>1.4951982864990986E-3</v>
      </c>
      <c r="W446" s="22">
        <f t="shared" si="105"/>
        <v>1.5096910271093734E-3</v>
      </c>
      <c r="X446" s="22">
        <f t="shared" si="105"/>
        <v>1.5235703348537217E-3</v>
      </c>
      <c r="Y446" s="22">
        <f t="shared" si="105"/>
        <v>1.5352108149797475E-3</v>
      </c>
      <c r="Z446" s="22">
        <f t="shared" si="105"/>
        <v>1.5465279852054938E-3</v>
      </c>
      <c r="AA446" s="22">
        <f t="shared" si="105"/>
        <v>1.5572624725614869E-3</v>
      </c>
      <c r="AB446" s="22">
        <f t="shared" si="105"/>
        <v>1.5712261324823602E-3</v>
      </c>
      <c r="AC446" s="22">
        <f t="shared" si="105"/>
        <v>1.5851179891079189E-3</v>
      </c>
      <c r="AD446" s="22">
        <f t="shared" si="105"/>
        <v>1.5996112129853511E-3</v>
      </c>
      <c r="AE446" s="22">
        <f t="shared" si="105"/>
        <v>1.6172926206629243E-3</v>
      </c>
      <c r="AF446" s="22">
        <f t="shared" si="105"/>
        <v>1.636622440844233E-3</v>
      </c>
      <c r="AG446" s="22">
        <f t="shared" si="105"/>
        <v>1.6594083236225038E-3</v>
      </c>
      <c r="AH446" s="22">
        <f t="shared" si="105"/>
        <v>1.6774548001243291E-3</v>
      </c>
      <c r="AI446" s="22">
        <f t="shared" si="105"/>
        <v>1.6942197812228126E-3</v>
      </c>
      <c r="AJ446" s="22">
        <f t="shared" si="105"/>
        <v>1.7128227748941451E-3</v>
      </c>
      <c r="AK446" s="22">
        <f t="shared" si="105"/>
        <v>1.7309262619352049E-3</v>
      </c>
      <c r="AL446" s="22">
        <f t="shared" si="105"/>
        <v>1.7501258870450394E-3</v>
      </c>
      <c r="AM446" s="22">
        <f t="shared" si="105"/>
        <v>1.7696015093943904E-3</v>
      </c>
      <c r="AN446" s="22">
        <f t="shared" si="105"/>
        <v>1.7911249410852239E-3</v>
      </c>
      <c r="AO446" s="22">
        <f t="shared" si="105"/>
        <v>1.8119132304024437E-3</v>
      </c>
      <c r="AP446" s="22">
        <f t="shared" si="105"/>
        <v>1.8331957068783579E-3</v>
      </c>
      <c r="AQ446" s="22">
        <f t="shared" si="105"/>
        <v>1.8552950697793623E-3</v>
      </c>
      <c r="AR446" s="22">
        <f t="shared" si="105"/>
        <v>1.8783376609292489E-3</v>
      </c>
      <c r="AS446" s="22">
        <f t="shared" si="105"/>
        <v>1.9039954146569001E-3</v>
      </c>
      <c r="AT446" s="22">
        <f t="shared" si="105"/>
        <v>1.9215437221186409E-3</v>
      </c>
      <c r="AU446" s="22">
        <f t="shared" si="105"/>
        <v>1.938688441194845E-3</v>
      </c>
      <c r="AV446" s="22">
        <f t="shared" si="105"/>
        <v>1.9563189796028518E-3</v>
      </c>
      <c r="AW446" s="22">
        <f t="shared" si="105"/>
        <v>1.9740590160082297E-3</v>
      </c>
      <c r="AY446" s="79"/>
    </row>
    <row r="447" spans="1:51" x14ac:dyDescent="0.2">
      <c r="A447" s="95" t="str">
        <f t="shared" si="104"/>
        <v>GS MM Leaching</v>
      </c>
      <c r="B447" s="95" t="s">
        <v>1021</v>
      </c>
      <c r="C447" s="95" t="s">
        <v>1333</v>
      </c>
      <c r="D447" t="s">
        <v>369</v>
      </c>
      <c r="E447" t="s">
        <v>64</v>
      </c>
      <c r="F447" t="s">
        <v>63</v>
      </c>
      <c r="G447" t="s">
        <v>1158</v>
      </c>
      <c r="H447" t="s">
        <v>1309</v>
      </c>
      <c r="I447" t="s">
        <v>139</v>
      </c>
      <c r="J447" t="s">
        <v>287</v>
      </c>
      <c r="K447" s="22">
        <f t="shared" si="101"/>
        <v>3.030301439269115E-2</v>
      </c>
      <c r="L447" s="22">
        <f t="shared" si="105"/>
        <v>3.0040206026371367E-2</v>
      </c>
      <c r="M447" s="22">
        <f t="shared" si="105"/>
        <v>2.99401628371932E-2</v>
      </c>
      <c r="N447" s="22">
        <f t="shared" si="105"/>
        <v>2.9540351153331298E-2</v>
      </c>
      <c r="O447" s="22">
        <f t="shared" si="105"/>
        <v>2.896001473012887E-2</v>
      </c>
      <c r="P447" s="22">
        <f t="shared" si="105"/>
        <v>2.8211154016296501E-2</v>
      </c>
      <c r="Q447" s="22">
        <f t="shared" si="105"/>
        <v>2.7620505669412022E-2</v>
      </c>
      <c r="R447" s="22">
        <f t="shared" si="105"/>
        <v>2.7061685185942385E-2</v>
      </c>
      <c r="S447" s="22">
        <f t="shared" si="105"/>
        <v>2.4017837723924858E-2</v>
      </c>
      <c r="T447" s="22">
        <f t="shared" si="105"/>
        <v>2.4477250922769193E-2</v>
      </c>
      <c r="U447" s="22">
        <f t="shared" si="105"/>
        <v>2.4722881599244746E-2</v>
      </c>
      <c r="V447" s="22">
        <f t="shared" si="105"/>
        <v>2.4911965822405392E-2</v>
      </c>
      <c r="W447" s="22">
        <f t="shared" si="105"/>
        <v>2.5185541319014813E-2</v>
      </c>
      <c r="X447" s="22">
        <f t="shared" si="105"/>
        <v>2.5407562443653844E-2</v>
      </c>
      <c r="Y447" s="22">
        <f t="shared" si="105"/>
        <v>2.5550689603830473E-2</v>
      </c>
      <c r="Z447" s="22">
        <f t="shared" si="105"/>
        <v>2.5662103388614917E-2</v>
      </c>
      <c r="AA447" s="22">
        <f t="shared" si="105"/>
        <v>2.5731155592918373E-2</v>
      </c>
      <c r="AB447" s="22">
        <f t="shared" si="105"/>
        <v>2.593557725784186E-2</v>
      </c>
      <c r="AC447" s="22">
        <f t="shared" si="105"/>
        <v>2.611950739638573E-2</v>
      </c>
      <c r="AD447" s="22">
        <f t="shared" si="105"/>
        <v>2.6128993823789925E-2</v>
      </c>
      <c r="AE447" s="22">
        <f t="shared" si="105"/>
        <v>2.6252210081774377E-2</v>
      </c>
      <c r="AF447" s="22">
        <f t="shared" si="105"/>
        <v>2.641514740098018E-2</v>
      </c>
      <c r="AG447" s="22">
        <f t="shared" si="105"/>
        <v>2.6688702803580544E-2</v>
      </c>
      <c r="AH447" s="22">
        <f t="shared" si="105"/>
        <v>2.6732393968630815E-2</v>
      </c>
      <c r="AI447" s="22">
        <f t="shared" si="105"/>
        <v>2.6727807661606592E-2</v>
      </c>
      <c r="AJ447" s="22">
        <f t="shared" si="105"/>
        <v>2.6767943392537564E-2</v>
      </c>
      <c r="AK447" s="22">
        <f t="shared" si="105"/>
        <v>2.6760535459775924E-2</v>
      </c>
      <c r="AL447" s="22">
        <f t="shared" si="105"/>
        <v>2.6766203431131164E-2</v>
      </c>
      <c r="AM447" s="22">
        <f t="shared" si="105"/>
        <v>2.675334011268881E-2</v>
      </c>
      <c r="AN447" s="22">
        <f t="shared" si="105"/>
        <v>2.694535805594156E-2</v>
      </c>
      <c r="AO447" s="22">
        <f t="shared" si="105"/>
        <v>2.7085830082425877E-2</v>
      </c>
      <c r="AP447" s="22">
        <f t="shared" si="105"/>
        <v>2.7218197229606188E-2</v>
      </c>
      <c r="AQ447" s="22">
        <f t="shared" si="105"/>
        <v>2.7352587206499832E-2</v>
      </c>
      <c r="AR447" s="22">
        <f t="shared" si="105"/>
        <v>2.7491914385096024E-2</v>
      </c>
      <c r="AS447" s="22">
        <f t="shared" si="105"/>
        <v>2.7710256058660829E-2</v>
      </c>
      <c r="AT447" s="22">
        <f t="shared" si="105"/>
        <v>2.7648758084134469E-2</v>
      </c>
      <c r="AU447" s="22">
        <f t="shared" si="105"/>
        <v>2.7556553714589756E-2</v>
      </c>
      <c r="AV447" s="22">
        <f t="shared" si="105"/>
        <v>2.7461054996500443E-2</v>
      </c>
      <c r="AW447" s="22">
        <f t="shared" si="105"/>
        <v>2.7350835179335974E-2</v>
      </c>
      <c r="AY447" s="79"/>
    </row>
    <row r="448" spans="1:51" x14ac:dyDescent="0.2">
      <c r="A448" s="95" t="str">
        <f t="shared" si="104"/>
        <v>GS MM Leaching</v>
      </c>
      <c r="B448" s="95" t="s">
        <v>1021</v>
      </c>
      <c r="C448" s="95" t="s">
        <v>1333</v>
      </c>
      <c r="D448" t="s">
        <v>369</v>
      </c>
      <c r="E448" t="s">
        <v>64</v>
      </c>
      <c r="F448" t="s">
        <v>63</v>
      </c>
      <c r="G448" t="s">
        <v>1160</v>
      </c>
      <c r="H448" t="s">
        <v>1310</v>
      </c>
      <c r="I448" t="s">
        <v>139</v>
      </c>
      <c r="J448" t="s">
        <v>287</v>
      </c>
      <c r="K448" s="22">
        <f t="shared" si="101"/>
        <v>4.0226293185258936E-2</v>
      </c>
      <c r="L448" s="22">
        <f t="shared" si="105"/>
        <v>3.9877423391049029E-2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3.1882919944479234E-2</v>
      </c>
      <c r="T448" s="22">
        <f t="shared" si="106"/>
        <v>3.2492776435665373E-2</v>
      </c>
      <c r="U448" s="22">
        <f t="shared" si="106"/>
        <v>3.2818843389901528E-2</v>
      </c>
      <c r="V448" s="22">
        <f t="shared" si="106"/>
        <v>3.3069846715808329E-2</v>
      </c>
      <c r="W448" s="22">
        <f t="shared" si="106"/>
        <v>3.3433009534935908E-2</v>
      </c>
      <c r="X448" s="22">
        <f t="shared" si="106"/>
        <v>3.372773555582987E-2</v>
      </c>
      <c r="Y448" s="22">
        <f t="shared" si="106"/>
        <v>3.3917732334151289E-2</v>
      </c>
      <c r="Z448" s="22">
        <f t="shared" si="106"/>
        <v>3.4065630609667365E-2</v>
      </c>
      <c r="AA448" s="22">
        <f t="shared" si="106"/>
        <v>3.4157295226903257E-2</v>
      </c>
      <c r="AB448" s="22">
        <f t="shared" si="106"/>
        <v>3.4428658521658995E-2</v>
      </c>
      <c r="AC448" s="22">
        <f t="shared" si="106"/>
        <v>3.4672819963249946E-2</v>
      </c>
      <c r="AD448" s="22">
        <f t="shared" si="106"/>
        <v>3.4685412895593133E-2</v>
      </c>
      <c r="AE448" s="22">
        <f t="shared" si="106"/>
        <v>3.4848978580994651E-2</v>
      </c>
      <c r="AF448" s="22">
        <f t="shared" si="106"/>
        <v>3.5065272718873365E-2</v>
      </c>
      <c r="AG448" s="22">
        <f t="shared" si="106"/>
        <v>3.542840886383946E-2</v>
      </c>
      <c r="AH448" s="22">
        <f t="shared" si="106"/>
        <v>3.5486407503583416E-2</v>
      </c>
      <c r="AI448" s="22">
        <f t="shared" si="106"/>
        <v>3.5480319326064061E-2</v>
      </c>
      <c r="AJ448" s="22">
        <f t="shared" si="106"/>
        <v>3.5533598239465607E-2</v>
      </c>
      <c r="AK448" s="22">
        <f t="shared" si="106"/>
        <v>3.5523764443021973E-2</v>
      </c>
      <c r="AL448" s="22">
        <f t="shared" si="106"/>
        <v>3.5531288495729951E-2</v>
      </c>
      <c r="AM448" s="22">
        <f t="shared" si="106"/>
        <v>3.5514212847337627E-2</v>
      </c>
      <c r="AN448" s="22">
        <f t="shared" si="106"/>
        <v>3.5769110593879244E-2</v>
      </c>
      <c r="AO448" s="22">
        <f t="shared" si="106"/>
        <v>3.5955582766200436E-2</v>
      </c>
      <c r="AP448" s="22">
        <f t="shared" si="106"/>
        <v>3.6131295967585977E-2</v>
      </c>
      <c r="AQ448" s="22">
        <f t="shared" si="106"/>
        <v>3.6309694411438075E-2</v>
      </c>
      <c r="AR448" s="22">
        <f t="shared" si="106"/>
        <v>3.6494646834396953E-2</v>
      </c>
      <c r="AS448" s="22">
        <f t="shared" si="106"/>
        <v>3.678448850036322E-2</v>
      </c>
      <c r="AT448" s="22">
        <f t="shared" si="106"/>
        <v>3.6702851884231939E-2</v>
      </c>
      <c r="AU448" s="22">
        <f t="shared" si="106"/>
        <v>3.6580453499892925E-2</v>
      </c>
      <c r="AV448" s="22">
        <f t="shared" si="106"/>
        <v>3.6453681972054293E-2</v>
      </c>
      <c r="AW448" s="22">
        <f t="shared" si="106"/>
        <v>3.6307368650791018E-2</v>
      </c>
      <c r="AY448" s="79"/>
    </row>
    <row r="449" spans="1:51" x14ac:dyDescent="0.2">
      <c r="A449" s="95" t="str">
        <f t="shared" si="104"/>
        <v>GS MM Leaching</v>
      </c>
      <c r="B449" s="95" t="s">
        <v>1021</v>
      </c>
      <c r="C449" s="95" t="s">
        <v>1333</v>
      </c>
      <c r="D449" t="s">
        <v>369</v>
      </c>
      <c r="E449" t="s">
        <v>64</v>
      </c>
      <c r="F449" t="s">
        <v>63</v>
      </c>
      <c r="G449" t="s">
        <v>1162</v>
      </c>
      <c r="H449" t="s">
        <v>1311</v>
      </c>
      <c r="I449" t="s">
        <v>139</v>
      </c>
      <c r="J449" t="s">
        <v>287</v>
      </c>
      <c r="K449" s="22">
        <f t="shared" si="101"/>
        <v>4.1968337096859203E-2</v>
      </c>
      <c r="L449" s="22">
        <f t="shared" si="106"/>
        <v>4.3383434779753476E-2</v>
      </c>
      <c r="M449" s="22">
        <f t="shared" si="106"/>
        <v>4.5063007666824861E-2</v>
      </c>
      <c r="N449" s="22">
        <f t="shared" si="106"/>
        <v>4.6315596244033502E-2</v>
      </c>
      <c r="O449" s="22">
        <f t="shared" si="106"/>
        <v>4.7281576900430208E-2</v>
      </c>
      <c r="P449" s="22">
        <f t="shared" si="106"/>
        <v>4.7947144057730852E-2</v>
      </c>
      <c r="Q449" s="22">
        <f t="shared" si="106"/>
        <v>4.8855920576585825E-2</v>
      </c>
      <c r="R449" s="22">
        <f t="shared" si="106"/>
        <v>4.9808583705724517E-2</v>
      </c>
      <c r="S449" s="22">
        <f t="shared" si="106"/>
        <v>4.5992827569741108E-2</v>
      </c>
      <c r="T449" s="22">
        <f t="shared" si="106"/>
        <v>4.8001865047769987E-2</v>
      </c>
      <c r="U449" s="22">
        <f t="shared" si="106"/>
        <v>4.9635626095010099E-2</v>
      </c>
      <c r="V449" s="22">
        <f t="shared" si="106"/>
        <v>5.1188596767602117E-2</v>
      </c>
      <c r="W449" s="22">
        <f t="shared" si="106"/>
        <v>5.2950508165481844E-2</v>
      </c>
      <c r="X449" s="22">
        <f t="shared" si="106"/>
        <v>5.4642195463321171E-2</v>
      </c>
      <c r="Y449" s="22">
        <f t="shared" si="106"/>
        <v>5.6197330304744171E-2</v>
      </c>
      <c r="Z449" s="22">
        <f t="shared" si="106"/>
        <v>5.7711583863191099E-2</v>
      </c>
      <c r="AA449" s="22">
        <f t="shared" si="106"/>
        <v>5.9156834222417472E-2</v>
      </c>
      <c r="AB449" s="22">
        <f t="shared" si="106"/>
        <v>6.0945336152729353E-2</v>
      </c>
      <c r="AC449" s="22">
        <f t="shared" si="106"/>
        <v>6.2724727985271067E-2</v>
      </c>
      <c r="AD449" s="22">
        <f t="shared" si="106"/>
        <v>6.4828386585152428E-2</v>
      </c>
      <c r="AE449" s="22">
        <f t="shared" si="106"/>
        <v>6.7298261230859621E-2</v>
      </c>
      <c r="AF449" s="22">
        <f t="shared" si="106"/>
        <v>6.9971651409000274E-2</v>
      </c>
      <c r="AG449" s="22">
        <f t="shared" si="106"/>
        <v>7.3058736585267875E-2</v>
      </c>
      <c r="AH449" s="22">
        <f t="shared" si="106"/>
        <v>7.563301385599043E-2</v>
      </c>
      <c r="AI449" s="22">
        <f t="shared" si="106"/>
        <v>7.8167775440571283E-2</v>
      </c>
      <c r="AJ449" s="22">
        <f t="shared" si="106"/>
        <v>8.0935873308178169E-2</v>
      </c>
      <c r="AK449" s="22">
        <f t="shared" si="106"/>
        <v>8.3668525365720503E-2</v>
      </c>
      <c r="AL449" s="22">
        <f t="shared" si="106"/>
        <v>8.6553364339565772E-2</v>
      </c>
      <c r="AM449" s="22">
        <f t="shared" si="106"/>
        <v>8.9495828472457392E-2</v>
      </c>
      <c r="AN449" s="22">
        <f t="shared" si="106"/>
        <v>9.2681440579714905E-2</v>
      </c>
      <c r="AO449" s="22">
        <f t="shared" si="106"/>
        <v>9.5802357584515191E-2</v>
      </c>
      <c r="AP449" s="22">
        <f t="shared" si="106"/>
        <v>9.9006841589941233E-2</v>
      </c>
      <c r="AQ449" s="22">
        <f t="shared" si="106"/>
        <v>0.10233590350911345</v>
      </c>
      <c r="AR449" s="22">
        <f t="shared" si="106"/>
        <v>0.10580733136333606</v>
      </c>
      <c r="AS449" s="22">
        <f t="shared" si="106"/>
        <v>0.10972241500262403</v>
      </c>
      <c r="AT449" s="22">
        <f t="shared" si="106"/>
        <v>0.11265304371652905</v>
      </c>
      <c r="AU449" s="22">
        <f t="shared" si="106"/>
        <v>0.11555235138269004</v>
      </c>
      <c r="AV449" s="22">
        <f t="shared" si="106"/>
        <v>0.11853253196869915</v>
      </c>
      <c r="AW449" s="22">
        <f t="shared" si="106"/>
        <v>0.12154670327230575</v>
      </c>
      <c r="AY449" s="79"/>
    </row>
    <row r="450" spans="1:51" x14ac:dyDescent="0.2">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4.4831371338441527E-3</v>
      </c>
      <c r="T450" s="22">
        <f t="shared" si="106"/>
        <v>4.4899645877902617E-3</v>
      </c>
      <c r="U450" s="22">
        <f t="shared" si="106"/>
        <v>4.4976812446803844E-3</v>
      </c>
      <c r="V450" s="22">
        <f t="shared" si="106"/>
        <v>4.5063863158882386E-3</v>
      </c>
      <c r="W450" s="22">
        <f t="shared" si="106"/>
        <v>4.5161788811117947E-3</v>
      </c>
      <c r="X450" s="22">
        <f t="shared" si="106"/>
        <v>4.5268547446196596E-3</v>
      </c>
      <c r="Y450" s="22">
        <f t="shared" si="106"/>
        <v>4.5333477172681842E-3</v>
      </c>
      <c r="Z450" s="22">
        <f t="shared" si="106"/>
        <v>4.5405999943124754E-3</v>
      </c>
      <c r="AA450" s="22">
        <f t="shared" si="106"/>
        <v>4.5485583758995193E-3</v>
      </c>
      <c r="AB450" s="22">
        <f t="shared" si="106"/>
        <v>4.5574030453961476E-3</v>
      </c>
      <c r="AC450" s="22">
        <f t="shared" si="106"/>
        <v>4.5669166889101189E-3</v>
      </c>
      <c r="AD450" s="22">
        <f t="shared" si="106"/>
        <v>4.5731331974710569E-3</v>
      </c>
      <c r="AE450" s="22">
        <f t="shared" si="106"/>
        <v>4.5801112561138658E-3</v>
      </c>
      <c r="AF450" s="22">
        <f t="shared" si="106"/>
        <v>4.5877393890876687E-3</v>
      </c>
      <c r="AG450" s="22">
        <f t="shared" si="106"/>
        <v>4.5960968162402412E-3</v>
      </c>
      <c r="AH450" s="22">
        <f t="shared" si="106"/>
        <v>4.60470160066862E-3</v>
      </c>
      <c r="AI450" s="22">
        <f t="shared" si="106"/>
        <v>4.6099752593178585E-3</v>
      </c>
      <c r="AJ450" s="22">
        <f t="shared" si="106"/>
        <v>4.6158010652929838E-3</v>
      </c>
      <c r="AK450" s="22">
        <f t="shared" si="106"/>
        <v>4.6220305138924079E-3</v>
      </c>
      <c r="AL450" s="22">
        <f t="shared" si="106"/>
        <v>4.6287377180545888E-3</v>
      </c>
      <c r="AM450" s="22">
        <f t="shared" si="106"/>
        <v>4.635862068128902E-3</v>
      </c>
      <c r="AN450" s="22">
        <f t="shared" si="106"/>
        <v>4.6399936101115553E-3</v>
      </c>
      <c r="AO450" s="22">
        <f t="shared" si="106"/>
        <v>4.6444376176989054E-3</v>
      </c>
      <c r="AP450" s="22">
        <f t="shared" si="106"/>
        <v>4.6492508857149065E-3</v>
      </c>
      <c r="AQ450" s="22">
        <f t="shared" si="106"/>
        <v>4.6544400588078442E-3</v>
      </c>
      <c r="AR450" s="22">
        <f t="shared" si="106"/>
        <v>4.6600015094737631E-3</v>
      </c>
      <c r="AS450" s="22">
        <f t="shared" si="106"/>
        <v>4.6624883129741824E-3</v>
      </c>
      <c r="AT450" s="22">
        <f t="shared" si="106"/>
        <v>4.6648029335130551E-3</v>
      </c>
      <c r="AU450" s="22">
        <f t="shared" si="106"/>
        <v>4.6673689256300846E-3</v>
      </c>
      <c r="AV450" s="22">
        <f t="shared" si="106"/>
        <v>4.6702274196843731E-3</v>
      </c>
      <c r="AW450" s="22">
        <f t="shared" si="106"/>
        <v>4.6733489894838004E-3</v>
      </c>
      <c r="AY450" s="79"/>
    </row>
    <row r="451" spans="1:51" x14ac:dyDescent="0.2">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3.7291632343986812E-3</v>
      </c>
      <c r="T451" s="22">
        <f t="shared" si="106"/>
        <v>3.7348424472980965E-3</v>
      </c>
      <c r="U451" s="22">
        <f t="shared" si="106"/>
        <v>3.7412613170109757E-3</v>
      </c>
      <c r="V451" s="22">
        <f t="shared" si="106"/>
        <v>3.7485023695444986E-3</v>
      </c>
      <c r="W451" s="22">
        <f t="shared" si="106"/>
        <v>3.7566480213753234E-3</v>
      </c>
      <c r="X451" s="22">
        <f t="shared" si="106"/>
        <v>3.7655284184054385E-3</v>
      </c>
      <c r="Y451" s="22">
        <f t="shared" si="106"/>
        <v>3.770929403064159E-3</v>
      </c>
      <c r="Z451" s="22">
        <f t="shared" si="106"/>
        <v>3.7769619923229323E-3</v>
      </c>
      <c r="AA451" s="22">
        <f t="shared" si="106"/>
        <v>3.7835819334787997E-3</v>
      </c>
      <c r="AB451" s="22">
        <f t="shared" si="106"/>
        <v>3.7909391066641191E-3</v>
      </c>
      <c r="AC451" s="22">
        <f t="shared" si="106"/>
        <v>3.7988527458320239E-3</v>
      </c>
      <c r="AD451" s="22">
        <f t="shared" si="106"/>
        <v>3.8040237621270109E-3</v>
      </c>
      <c r="AE451" s="22">
        <f t="shared" si="106"/>
        <v>3.8098282510287203E-3</v>
      </c>
      <c r="AF451" s="22">
        <f t="shared" si="106"/>
        <v>3.8161734847754797E-3</v>
      </c>
      <c r="AG451" s="22">
        <f t="shared" si="106"/>
        <v>3.823125360022894E-3</v>
      </c>
      <c r="AH451" s="22">
        <f t="shared" si="106"/>
        <v>3.8302829920051928E-3</v>
      </c>
      <c r="AI451" s="22">
        <f t="shared" si="106"/>
        <v>3.834669726864819E-3</v>
      </c>
      <c r="AJ451" s="22">
        <f t="shared" si="106"/>
        <v>3.8395157489258354E-3</v>
      </c>
      <c r="AK451" s="22">
        <f t="shared" si="106"/>
        <v>3.8446975290039364E-3</v>
      </c>
      <c r="AL451" s="22">
        <f t="shared" si="106"/>
        <v>3.8502767157253038E-3</v>
      </c>
      <c r="AM451" s="22">
        <f t="shared" si="106"/>
        <v>3.8562028927689521E-3</v>
      </c>
      <c r="AN451" s="22">
        <f t="shared" si="106"/>
        <v>3.8596395921165526E-3</v>
      </c>
      <c r="AO451" s="22">
        <f t="shared" si="106"/>
        <v>3.8633362066106815E-3</v>
      </c>
      <c r="AP451" s="22">
        <f t="shared" si="106"/>
        <v>3.8673399793231139E-3</v>
      </c>
      <c r="AQ451" s="22">
        <f t="shared" si="106"/>
        <v>3.8716564374053405E-3</v>
      </c>
      <c r="AR451" s="22">
        <f t="shared" si="106"/>
        <v>3.8762825634269383E-3</v>
      </c>
      <c r="AS451" s="22">
        <f t="shared" si="106"/>
        <v>3.8783511363721934E-3</v>
      </c>
      <c r="AT451" s="22">
        <f t="shared" si="106"/>
        <v>3.8802764840823911E-3</v>
      </c>
      <c r="AU451" s="22">
        <f t="shared" si="106"/>
        <v>3.8824109277045466E-3</v>
      </c>
      <c r="AV451" s="22">
        <f t="shared" si="106"/>
        <v>3.8847886802949221E-3</v>
      </c>
      <c r="AW451" s="22">
        <f t="shared" si="106"/>
        <v>3.8873852645577018E-3</v>
      </c>
      <c r="AY451" s="79"/>
    </row>
    <row r="452" spans="1:51" x14ac:dyDescent="0.2">
      <c r="A452" s="95" t="str">
        <f t="shared" si="104"/>
        <v>GS MM Leaching</v>
      </c>
      <c r="B452" s="95" t="s">
        <v>1021</v>
      </c>
      <c r="C452" s="95" t="s">
        <v>1333</v>
      </c>
      <c r="D452" t="s">
        <v>369</v>
      </c>
      <c r="E452" t="s">
        <v>64</v>
      </c>
      <c r="F452" t="s">
        <v>63</v>
      </c>
      <c r="G452" t="s">
        <v>1168</v>
      </c>
      <c r="H452" t="s">
        <v>1314</v>
      </c>
      <c r="I452" t="s">
        <v>139</v>
      </c>
      <c r="J452" t="s">
        <v>287</v>
      </c>
      <c r="K452" s="22">
        <f t="shared" si="101"/>
        <v>5.4322987485311551E-4</v>
      </c>
      <c r="L452" s="22">
        <f t="shared" si="106"/>
        <v>5.4464201031358182E-4</v>
      </c>
      <c r="M452" s="22">
        <f t="shared" si="106"/>
        <v>5.4659000127818655E-4</v>
      </c>
      <c r="N452" s="22">
        <f t="shared" si="106"/>
        <v>5.4896316873921192E-4</v>
      </c>
      <c r="O452" s="22">
        <f t="shared" si="106"/>
        <v>5.5175812793145673E-4</v>
      </c>
      <c r="P452" s="22">
        <f t="shared" si="106"/>
        <v>5.5495786726734487E-4</v>
      </c>
      <c r="Q452" s="22">
        <f t="shared" si="106"/>
        <v>5.5840147541839707E-4</v>
      </c>
      <c r="R452" s="22">
        <f t="shared" si="106"/>
        <v>5.620753208024884E-4</v>
      </c>
      <c r="S452" s="22">
        <f t="shared" si="106"/>
        <v>5.6545048661351359E-4</v>
      </c>
      <c r="T452" s="22">
        <f t="shared" si="106"/>
        <v>5.6709357361271675E-4</v>
      </c>
      <c r="U452" s="22">
        <f t="shared" si="106"/>
        <v>5.688596151711496E-4</v>
      </c>
      <c r="V452" s="22">
        <f t="shared" si="106"/>
        <v>5.7077020841237065E-4</v>
      </c>
      <c r="W452" s="22">
        <f t="shared" si="106"/>
        <v>5.7284633112627235E-4</v>
      </c>
      <c r="X452" s="22">
        <f t="shared" si="106"/>
        <v>5.7505104202951998E-4</v>
      </c>
      <c r="Y452" s="22">
        <f t="shared" si="106"/>
        <v>5.7642933432393154E-4</v>
      </c>
      <c r="Z452" s="22">
        <f t="shared" si="106"/>
        <v>5.7792028160119863E-4</v>
      </c>
      <c r="AA452" s="22">
        <f t="shared" si="106"/>
        <v>5.7951511495132196E-4</v>
      </c>
      <c r="AB452" s="22">
        <f t="shared" si="106"/>
        <v>5.8124875364710992E-4</v>
      </c>
      <c r="AC452" s="22">
        <f t="shared" si="106"/>
        <v>5.8308126155427384E-4</v>
      </c>
      <c r="AD452" s="22">
        <f t="shared" si="106"/>
        <v>5.8427258810919626E-4</v>
      </c>
      <c r="AE452" s="22">
        <f t="shared" si="106"/>
        <v>5.8558467766040652E-4</v>
      </c>
      <c r="AF452" s="22">
        <f t="shared" si="106"/>
        <v>5.8699724042408691E-4</v>
      </c>
      <c r="AG452" s="22">
        <f t="shared" si="106"/>
        <v>5.8852547780245982E-4</v>
      </c>
      <c r="AH452" s="22">
        <f t="shared" si="106"/>
        <v>5.9008039799106414E-4</v>
      </c>
      <c r="AI452" s="22">
        <f t="shared" si="106"/>
        <v>5.9100081451309786E-4</v>
      </c>
      <c r="AJ452" s="22">
        <f t="shared" si="106"/>
        <v>5.9200813916272929E-4</v>
      </c>
      <c r="AK452" s="22">
        <f t="shared" si="106"/>
        <v>5.9307526025328071E-4</v>
      </c>
      <c r="AL452" s="22">
        <f t="shared" si="106"/>
        <v>5.942161722415414E-4</v>
      </c>
      <c r="AM452" s="22">
        <f t="shared" si="106"/>
        <v>5.9541998695626641E-4</v>
      </c>
      <c r="AN452" s="22">
        <f t="shared" si="106"/>
        <v>5.9606189392580344E-4</v>
      </c>
      <c r="AO452" s="22">
        <f t="shared" si="106"/>
        <v>5.9675021369894824E-4</v>
      </c>
      <c r="AP452" s="22">
        <f t="shared" si="106"/>
        <v>5.9749556471656829E-4</v>
      </c>
      <c r="AQ452" s="22">
        <f t="shared" si="106"/>
        <v>5.9829931979982535E-4</v>
      </c>
      <c r="AR452" s="22">
        <f t="shared" si="106"/>
        <v>5.9916094831137718E-4</v>
      </c>
      <c r="AS452" s="22">
        <f t="shared" si="106"/>
        <v>5.9945405400764929E-4</v>
      </c>
      <c r="AT452" s="22">
        <f t="shared" si="106"/>
        <v>5.9970848295436412E-4</v>
      </c>
      <c r="AU452" s="22">
        <f t="shared" si="106"/>
        <v>6.00001478883441E-4</v>
      </c>
      <c r="AV452" s="22">
        <f t="shared" si="106"/>
        <v>6.0034059567570894E-4</v>
      </c>
      <c r="AW452" s="22">
        <f t="shared" si="106"/>
        <v>6.0072058236705953E-4</v>
      </c>
      <c r="AY452" s="79"/>
    </row>
    <row r="453" spans="1:51" x14ac:dyDescent="0.2">
      <c r="A453" s="95" t="str">
        <f t="shared" si="104"/>
        <v>GS MM Leaching</v>
      </c>
      <c r="B453" s="95" t="s">
        <v>1021</v>
      </c>
      <c r="C453" s="95" t="s">
        <v>1333</v>
      </c>
      <c r="D453" t="s">
        <v>369</v>
      </c>
      <c r="E453" t="s">
        <v>64</v>
      </c>
      <c r="F453" t="s">
        <v>63</v>
      </c>
      <c r="G453" t="s">
        <v>1170</v>
      </c>
      <c r="H453" t="s">
        <v>1315</v>
      </c>
      <c r="I453" t="s">
        <v>139</v>
      </c>
      <c r="J453" t="s">
        <v>287</v>
      </c>
      <c r="K453" s="22">
        <f t="shared" si="101"/>
        <v>6.6992563985089938E-3</v>
      </c>
      <c r="L453" s="22">
        <f t="shared" si="106"/>
        <v>6.716671231449923E-3</v>
      </c>
      <c r="M453" s="22">
        <f t="shared" si="106"/>
        <v>6.7406943780734313E-3</v>
      </c>
      <c r="N453" s="22">
        <f t="shared" si="106"/>
        <v>6.769960915195136E-3</v>
      </c>
      <c r="O453" s="22">
        <f t="shared" si="106"/>
        <v>6.8044291009834836E-3</v>
      </c>
      <c r="P453" s="22">
        <f t="shared" si="106"/>
        <v>6.8438891439814974E-3</v>
      </c>
      <c r="Q453" s="22">
        <f t="shared" si="106"/>
        <v>6.8863566425632549E-3</v>
      </c>
      <c r="R453" s="22">
        <f t="shared" si="106"/>
        <v>6.9316634884048298E-3</v>
      </c>
      <c r="S453" s="22">
        <f t="shared" si="106"/>
        <v>6.973286937707302E-3</v>
      </c>
      <c r="T453" s="22">
        <f t="shared" si="106"/>
        <v>6.9935499269173423E-3</v>
      </c>
      <c r="U453" s="22">
        <f t="shared" si="106"/>
        <v>7.0153292247027649E-3</v>
      </c>
      <c r="V453" s="22">
        <f t="shared" si="106"/>
        <v>7.0388911725791786E-3</v>
      </c>
      <c r="W453" s="22">
        <f t="shared" si="106"/>
        <v>7.0644944742734297E-3</v>
      </c>
      <c r="X453" s="22">
        <f t="shared" si="106"/>
        <v>7.0916835599794349E-3</v>
      </c>
      <c r="Y453" s="22">
        <f t="shared" si="106"/>
        <v>7.1086810299268487E-3</v>
      </c>
      <c r="Z453" s="22">
        <f t="shared" si="106"/>
        <v>7.1270677913135832E-3</v>
      </c>
      <c r="AA453" s="22">
        <f t="shared" si="106"/>
        <v>7.1467357035915266E-3</v>
      </c>
      <c r="AB453" s="22">
        <f t="shared" si="106"/>
        <v>7.1681154005910717E-3</v>
      </c>
      <c r="AC453" s="22">
        <f t="shared" si="106"/>
        <v>7.1907143792015659E-3</v>
      </c>
      <c r="AD453" s="22">
        <f t="shared" si="106"/>
        <v>7.2054061375440787E-3</v>
      </c>
      <c r="AE453" s="22">
        <f t="shared" si="106"/>
        <v>7.2215871775204617E-3</v>
      </c>
      <c r="AF453" s="22">
        <f t="shared" si="106"/>
        <v>7.2390072800791469E-3</v>
      </c>
      <c r="AG453" s="22">
        <f t="shared" si="106"/>
        <v>7.2578539129862047E-3</v>
      </c>
      <c r="AH453" s="22">
        <f t="shared" si="106"/>
        <v>7.277029605459848E-3</v>
      </c>
      <c r="AI453" s="22">
        <f t="shared" si="106"/>
        <v>7.2883804286747794E-3</v>
      </c>
      <c r="AJ453" s="22">
        <f t="shared" si="106"/>
        <v>7.3008030262100192E-3</v>
      </c>
      <c r="AK453" s="22">
        <f t="shared" si="106"/>
        <v>7.3139630494797169E-3</v>
      </c>
      <c r="AL453" s="22">
        <f t="shared" si="106"/>
        <v>7.3280330818754061E-3</v>
      </c>
      <c r="AM453" s="22">
        <f t="shared" si="106"/>
        <v>7.3428788475513491E-3</v>
      </c>
      <c r="AN453" s="22">
        <f t="shared" si="106"/>
        <v>7.3507950163262765E-3</v>
      </c>
      <c r="AO453" s="22">
        <f t="shared" si="106"/>
        <v>7.3592835602335977E-3</v>
      </c>
      <c r="AP453" s="22">
        <f t="shared" si="106"/>
        <v>7.3684754287317664E-3</v>
      </c>
      <c r="AQ453" s="22">
        <f t="shared" si="106"/>
        <v>7.3783875518192519E-3</v>
      </c>
      <c r="AR453" s="22">
        <f t="shared" si="106"/>
        <v>7.3890133855341444E-3</v>
      </c>
      <c r="AS453" s="22">
        <f t="shared" si="106"/>
        <v>7.3926280435308569E-3</v>
      </c>
      <c r="AT453" s="22">
        <f t="shared" si="106"/>
        <v>7.3957657294869287E-3</v>
      </c>
      <c r="AU453" s="22">
        <f t="shared" si="106"/>
        <v>7.3993790338051698E-3</v>
      </c>
      <c r="AV453" s="22">
        <f t="shared" si="106"/>
        <v>7.4035611129683564E-3</v>
      </c>
      <c r="AW453" s="22">
        <f t="shared" si="106"/>
        <v>7.4082472106798752E-3</v>
      </c>
      <c r="AY453" s="79"/>
    </row>
    <row r="454" spans="1:51" x14ac:dyDescent="0.2">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2">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2">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2.6729002214214585E-2</v>
      </c>
      <c r="M456" s="22">
        <f t="shared" si="107"/>
        <v>2.6740992333189322E-2</v>
      </c>
      <c r="N456" s="22">
        <f t="shared" si="107"/>
        <v>2.6495489531984443E-2</v>
      </c>
      <c r="O456" s="22">
        <f t="shared" si="107"/>
        <v>2.609452683304702E-2</v>
      </c>
      <c r="P456" s="22">
        <f t="shared" si="107"/>
        <v>2.5544514050244028E-2</v>
      </c>
      <c r="Q456" s="22">
        <f t="shared" si="107"/>
        <v>2.5145143775072754E-2</v>
      </c>
      <c r="R456" s="22">
        <f t="shared" si="107"/>
        <v>2.4781112413324518E-2</v>
      </c>
      <c r="S456" s="22">
        <f t="shared" si="107"/>
        <v>2.20798204460615E-2</v>
      </c>
      <c r="T456" s="22">
        <f t="shared" si="107"/>
        <v>2.2424557938008405E-2</v>
      </c>
      <c r="U456" s="22">
        <f t="shared" si="107"/>
        <v>2.2570971116616413E-2</v>
      </c>
      <c r="V456" s="22">
        <f t="shared" si="107"/>
        <v>2.2667395166558576E-2</v>
      </c>
      <c r="W456" s="22">
        <f t="shared" si="107"/>
        <v>2.284594133514007E-2</v>
      </c>
      <c r="X456" s="22">
        <f t="shared" si="107"/>
        <v>2.2978923721971391E-2</v>
      </c>
      <c r="Y456" s="22">
        <f t="shared" si="107"/>
        <v>2.3048677917067804E-2</v>
      </c>
      <c r="Z456" s="22">
        <f t="shared" si="107"/>
        <v>2.3091415921174294E-2</v>
      </c>
      <c r="AA456" s="22">
        <f t="shared" si="107"/>
        <v>2.3097213386295078E-2</v>
      </c>
      <c r="AB456" s="22">
        <f t="shared" si="107"/>
        <v>2.323133845353377E-2</v>
      </c>
      <c r="AC456" s="22">
        <f t="shared" si="107"/>
        <v>2.3348495871952417E-2</v>
      </c>
      <c r="AD456" s="22">
        <f t="shared" si="107"/>
        <v>2.3517064058520994E-2</v>
      </c>
      <c r="AE456" s="22">
        <f t="shared" si="107"/>
        <v>2.3801807583193908E-2</v>
      </c>
      <c r="AF456" s="22">
        <f t="shared" si="107"/>
        <v>2.4135258091248658E-2</v>
      </c>
      <c r="AG456" s="22">
        <f t="shared" si="107"/>
        <v>2.4586723078799614E-2</v>
      </c>
      <c r="AH456" s="22">
        <f t="shared" si="107"/>
        <v>2.483044349217995E-2</v>
      </c>
      <c r="AI456" s="22">
        <f t="shared" si="107"/>
        <v>2.5043308594524263E-2</v>
      </c>
      <c r="AJ456" s="22">
        <f t="shared" si="107"/>
        <v>2.531081903004264E-2</v>
      </c>
      <c r="AK456" s="22">
        <f t="shared" si="107"/>
        <v>2.5543075681886771E-2</v>
      </c>
      <c r="AL456" s="22">
        <f t="shared" si="107"/>
        <v>2.5800065264390357E-2</v>
      </c>
      <c r="AM456" s="22">
        <f t="shared" si="107"/>
        <v>2.6050738429193292E-2</v>
      </c>
      <c r="AN456" s="22">
        <f t="shared" si="107"/>
        <v>2.6388228624982798E-2</v>
      </c>
      <c r="AO456" s="22">
        <f t="shared" si="107"/>
        <v>2.6681293830850793E-2</v>
      </c>
      <c r="AP456" s="22">
        <f t="shared" si="107"/>
        <v>2.6974098587187682E-2</v>
      </c>
      <c r="AQ456" s="22">
        <f t="shared" si="107"/>
        <v>2.7277302536496094E-2</v>
      </c>
      <c r="AR456" s="22">
        <f t="shared" si="107"/>
        <v>2.759431398689733E-2</v>
      </c>
      <c r="AS456" s="22">
        <f t="shared" si="107"/>
        <v>2.800744241344803E-2</v>
      </c>
      <c r="AT456" s="22">
        <f t="shared" si="107"/>
        <v>2.8135384789660874E-2</v>
      </c>
      <c r="AU456" s="22">
        <f t="shared" si="107"/>
        <v>2.8237574251430975E-2</v>
      </c>
      <c r="AV456" s="22">
        <f t="shared" si="107"/>
        <v>2.8342961193356213E-2</v>
      </c>
      <c r="AW456" s="22">
        <f t="shared" si="107"/>
        <v>2.8439412611602398E-2</v>
      </c>
      <c r="AY456" s="79"/>
    </row>
    <row r="457" spans="1:51" x14ac:dyDescent="0.2">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3.9947810410006996E-3</v>
      </c>
      <c r="M457" s="22">
        <f t="shared" si="107"/>
        <v>3.9965730233416704E-3</v>
      </c>
      <c r="N457" s="22">
        <f t="shared" si="107"/>
        <v>3.9598814204188995E-3</v>
      </c>
      <c r="O457" s="22">
        <f t="shared" si="107"/>
        <v>3.8999555700251322E-3</v>
      </c>
      <c r="P457" s="22">
        <f t="shared" si="107"/>
        <v>3.8177534504158584E-3</v>
      </c>
      <c r="Q457" s="22">
        <f t="shared" si="107"/>
        <v>3.7580655955978051E-3</v>
      </c>
      <c r="R457" s="22">
        <f t="shared" si="107"/>
        <v>3.7036593154610876E-3</v>
      </c>
      <c r="S457" s="22">
        <f t="shared" si="107"/>
        <v>3.2999379250946686E-3</v>
      </c>
      <c r="T457" s="22">
        <f t="shared" si="107"/>
        <v>3.3514606413530125E-3</v>
      </c>
      <c r="U457" s="22">
        <f t="shared" si="107"/>
        <v>3.3733428120890697E-3</v>
      </c>
      <c r="V457" s="22">
        <f t="shared" si="107"/>
        <v>3.3877538613126231E-3</v>
      </c>
      <c r="W457" s="22">
        <f t="shared" si="107"/>
        <v>3.4144384656789365E-3</v>
      </c>
      <c r="X457" s="22">
        <f t="shared" si="107"/>
        <v>3.4343133384273955E-3</v>
      </c>
      <c r="Y457" s="22">
        <f t="shared" si="107"/>
        <v>3.4447384464755082E-3</v>
      </c>
      <c r="Z457" s="22">
        <f t="shared" si="107"/>
        <v>3.4511258517054724E-3</v>
      </c>
      <c r="AA457" s="22">
        <f t="shared" si="107"/>
        <v>3.4519923114245724E-3</v>
      </c>
      <c r="AB457" s="22">
        <f t="shared" si="107"/>
        <v>3.4720379633884583E-3</v>
      </c>
      <c r="AC457" s="22">
        <f t="shared" si="107"/>
        <v>3.4895477166579812E-3</v>
      </c>
      <c r="AD457" s="22">
        <f t="shared" si="107"/>
        <v>3.5147410624635305E-3</v>
      </c>
      <c r="AE457" s="22">
        <f t="shared" si="107"/>
        <v>3.5572973847981574E-3</v>
      </c>
      <c r="AF457" s="22">
        <f t="shared" si="107"/>
        <v>3.6071332057170833E-3</v>
      </c>
      <c r="AG457" s="22">
        <f t="shared" si="107"/>
        <v>3.6746068719052303E-3</v>
      </c>
      <c r="AH457" s="22">
        <f t="shared" si="107"/>
        <v>3.7110320881880462E-3</v>
      </c>
      <c r="AI457" s="22">
        <f t="shared" si="107"/>
        <v>3.7428458262513211E-3</v>
      </c>
      <c r="AJ457" s="22">
        <f t="shared" si="107"/>
        <v>3.7828265785261059E-3</v>
      </c>
      <c r="AK457" s="22">
        <f t="shared" si="107"/>
        <v>3.8175384791798387E-3</v>
      </c>
      <c r="AL457" s="22">
        <f t="shared" si="107"/>
        <v>3.8559468381485868E-3</v>
      </c>
      <c r="AM457" s="22">
        <f t="shared" si="107"/>
        <v>3.8934111773789473E-3</v>
      </c>
      <c r="AN457" s="22">
        <f t="shared" si="107"/>
        <v>3.9438507495282793E-3</v>
      </c>
      <c r="AO457" s="22">
        <f t="shared" si="107"/>
        <v>3.9876507881079406E-3</v>
      </c>
      <c r="AP457" s="22">
        <f t="shared" si="107"/>
        <v>4.0314119012222708E-3</v>
      </c>
      <c r="AQ457" s="22">
        <f t="shared" si="107"/>
        <v>4.0767272249499047E-3</v>
      </c>
      <c r="AR457" s="22">
        <f t="shared" si="107"/>
        <v>4.1241061477280058E-3</v>
      </c>
      <c r="AS457" s="22">
        <f t="shared" si="107"/>
        <v>4.1858502260387767E-3</v>
      </c>
      <c r="AT457" s="22">
        <f t="shared" si="107"/>
        <v>4.2049718443745261E-3</v>
      </c>
      <c r="AU457" s="22">
        <f t="shared" si="107"/>
        <v>4.2202445627946769E-3</v>
      </c>
      <c r="AV457" s="22">
        <f t="shared" si="107"/>
        <v>4.2359951603739652E-3</v>
      </c>
      <c r="AW457" s="22">
        <f t="shared" si="107"/>
        <v>4.2504102999253611E-3</v>
      </c>
      <c r="AY457" s="79"/>
    </row>
    <row r="458" spans="1:51" x14ac:dyDescent="0.2">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1.7066731126843742E-2</v>
      </c>
      <c r="M458" s="22">
        <f t="shared" si="107"/>
        <v>1.7464259263446445E-2</v>
      </c>
      <c r="N458" s="22">
        <f t="shared" si="107"/>
        <v>1.77694513935726E-2</v>
      </c>
      <c r="O458" s="22">
        <f t="shared" si="107"/>
        <v>1.8014444056791572E-2</v>
      </c>
      <c r="P458" s="22">
        <f t="shared" si="107"/>
        <v>1.8197780265539365E-2</v>
      </c>
      <c r="Q458" s="22">
        <f t="shared" si="107"/>
        <v>1.8432867891885713E-2</v>
      </c>
      <c r="R458" s="22">
        <f t="shared" si="107"/>
        <v>1.8677293946611207E-2</v>
      </c>
      <c r="S458" s="22">
        <f t="shared" si="107"/>
        <v>1.7930195532315427E-2</v>
      </c>
      <c r="T458" s="22">
        <f t="shared" si="107"/>
        <v>1.8405757792115097E-2</v>
      </c>
      <c r="U458" s="22">
        <f t="shared" si="107"/>
        <v>1.880256719318036E-2</v>
      </c>
      <c r="V458" s="22">
        <f t="shared" si="107"/>
        <v>1.9182022263661121E-2</v>
      </c>
      <c r="W458" s="22">
        <f t="shared" si="107"/>
        <v>1.9603893406791358E-2</v>
      </c>
      <c r="X458" s="22">
        <f t="shared" si="107"/>
        <v>2.0010576837223248E-2</v>
      </c>
      <c r="Y458" s="22">
        <f t="shared" si="107"/>
        <v>2.0375728845723119E-2</v>
      </c>
      <c r="Z458" s="22">
        <f t="shared" si="107"/>
        <v>2.0731756448222814E-2</v>
      </c>
      <c r="AA458" s="22">
        <f t="shared" si="107"/>
        <v>2.1073019561660463E-2</v>
      </c>
      <c r="AB458" s="22">
        <f t="shared" si="107"/>
        <v>2.148336106919314E-2</v>
      </c>
      <c r="AC458" s="22">
        <f t="shared" si="107"/>
        <v>2.1890889267126682E-2</v>
      </c>
      <c r="AD458" s="22">
        <f t="shared" si="107"/>
        <v>2.231803440740647E-2</v>
      </c>
      <c r="AE458" s="22">
        <f t="shared" si="107"/>
        <v>2.2815454137105083E-2</v>
      </c>
      <c r="AF458" s="22">
        <f t="shared" si="107"/>
        <v>2.3349632701496571E-2</v>
      </c>
      <c r="AG458" s="22">
        <f t="shared" si="107"/>
        <v>2.396171160946152E-2</v>
      </c>
      <c r="AH458" s="22">
        <f t="shared" si="107"/>
        <v>2.4467658584898602E-2</v>
      </c>
      <c r="AI458" s="22">
        <f t="shared" si="107"/>
        <v>2.4951748693606203E-2</v>
      </c>
      <c r="AJ458" s="22">
        <f t="shared" si="107"/>
        <v>2.5477604150305377E-2</v>
      </c>
      <c r="AK458" s="22">
        <f t="shared" si="107"/>
        <v>2.5992359314301834E-2</v>
      </c>
      <c r="AL458" s="22">
        <f t="shared" si="107"/>
        <v>2.6532480091102609E-2</v>
      </c>
      <c r="AM458" s="22">
        <f t="shared" si="107"/>
        <v>2.7079400048144214E-2</v>
      </c>
      <c r="AN458" s="22">
        <f t="shared" si="107"/>
        <v>2.7680885364723965E-2</v>
      </c>
      <c r="AO458" s="22">
        <f t="shared" si="107"/>
        <v>2.8266293672037732E-2</v>
      </c>
      <c r="AP458" s="22">
        <f t="shared" si="107"/>
        <v>2.886402430987451E-2</v>
      </c>
      <c r="AQ458" s="22">
        <f t="shared" si="107"/>
        <v>2.9481723037787178E-2</v>
      </c>
      <c r="AR458" s="22">
        <f t="shared" si="107"/>
        <v>3.0122536424733722E-2</v>
      </c>
      <c r="AS458" s="22">
        <f t="shared" si="107"/>
        <v>3.0832887052217536E-2</v>
      </c>
      <c r="AT458" s="22">
        <f t="shared" si="107"/>
        <v>3.1354014072341549E-2</v>
      </c>
      <c r="AU458" s="22">
        <f t="shared" si="107"/>
        <v>3.1866079427096267E-2</v>
      </c>
      <c r="AV458" s="22">
        <f t="shared" si="107"/>
        <v>3.2390073533933091E-2</v>
      </c>
      <c r="AW458" s="22">
        <f t="shared" si="107"/>
        <v>3.2917174163896501E-2</v>
      </c>
      <c r="AY458" s="79"/>
    </row>
    <row r="459" spans="1:51" x14ac:dyDescent="0.2">
      <c r="A459" s="95" t="str">
        <f t="shared" si="104"/>
        <v>GS MM Leaching</v>
      </c>
      <c r="B459" s="95" t="s">
        <v>1021</v>
      </c>
      <c r="C459" s="95" t="s">
        <v>1333</v>
      </c>
      <c r="D459" t="s">
        <v>369</v>
      </c>
      <c r="E459" t="s">
        <v>64</v>
      </c>
      <c r="F459" t="s">
        <v>63</v>
      </c>
      <c r="G459" t="s">
        <v>1182</v>
      </c>
      <c r="H459" t="s">
        <v>1321</v>
      </c>
      <c r="I459" t="s">
        <v>139</v>
      </c>
      <c r="J459" t="s">
        <v>287</v>
      </c>
      <c r="K459" s="22">
        <f t="shared" si="101"/>
        <v>7.758579791322931E-2</v>
      </c>
      <c r="L459" s="22">
        <f t="shared" si="107"/>
        <v>7.860746419754247E-2</v>
      </c>
      <c r="M459" s="22">
        <f t="shared" si="107"/>
        <v>8.0248553313821205E-2</v>
      </c>
      <c r="N459" s="22">
        <f t="shared" si="107"/>
        <v>8.0719757945382262E-2</v>
      </c>
      <c r="O459" s="22">
        <f t="shared" si="107"/>
        <v>8.0430818839717741E-2</v>
      </c>
      <c r="P459" s="22">
        <f t="shared" si="107"/>
        <v>7.938481013134728E-2</v>
      </c>
      <c r="Q459" s="22">
        <f t="shared" si="107"/>
        <v>7.8944464359385597E-2</v>
      </c>
      <c r="R459" s="22">
        <f t="shared" si="107"/>
        <v>7.8604018955287305E-2</v>
      </c>
      <c r="S459" s="22">
        <f t="shared" si="107"/>
        <v>6.7197980387573103E-2</v>
      </c>
      <c r="T459" s="22">
        <f t="shared" si="107"/>
        <v>7.0159754352377118E-2</v>
      </c>
      <c r="U459" s="22">
        <f t="shared" si="107"/>
        <v>7.2200774862602818E-2</v>
      </c>
      <c r="V459" s="22">
        <f t="shared" si="107"/>
        <v>7.4012137517044677E-2</v>
      </c>
      <c r="W459" s="22">
        <f t="shared" si="107"/>
        <v>7.624234611790702E-2</v>
      </c>
      <c r="X459" s="22">
        <f t="shared" si="107"/>
        <v>7.8266654922264395E-2</v>
      </c>
      <c r="Y459" s="22">
        <f t="shared" si="107"/>
        <v>8.0053392548698518E-2</v>
      </c>
      <c r="Z459" s="22">
        <f t="shared" si="107"/>
        <v>8.1713475036097147E-2</v>
      </c>
      <c r="AA459" s="22">
        <f t="shared" si="107"/>
        <v>8.3191126783030381E-2</v>
      </c>
      <c r="AB459" s="22">
        <f t="shared" si="107"/>
        <v>8.5356141752823037E-2</v>
      </c>
      <c r="AC459" s="22">
        <f t="shared" si="107"/>
        <v>8.7456207764297841E-2</v>
      </c>
      <c r="AD459" s="22">
        <f t="shared" si="107"/>
        <v>8.9913243198059017E-2</v>
      </c>
      <c r="AE459" s="22">
        <f t="shared" si="107"/>
        <v>9.3044085798014903E-2</v>
      </c>
      <c r="AF459" s="22">
        <f t="shared" si="107"/>
        <v>9.6498642598308926E-2</v>
      </c>
      <c r="AG459" s="22">
        <f t="shared" si="107"/>
        <v>0.10068056666272467</v>
      </c>
      <c r="AH459" s="22">
        <f t="shared" si="107"/>
        <v>0.10375441633368165</v>
      </c>
      <c r="AI459" s="22">
        <f t="shared" si="107"/>
        <v>0.10675032554756632</v>
      </c>
      <c r="AJ459" s="22">
        <f t="shared" si="107"/>
        <v>0.11011636525105389</v>
      </c>
      <c r="AK459" s="22">
        <f t="shared" si="107"/>
        <v>0.11333263880247381</v>
      </c>
      <c r="AL459" s="22">
        <f t="shared" si="107"/>
        <v>0.11675404817895949</v>
      </c>
      <c r="AM459" s="22">
        <f t="shared" si="107"/>
        <v>0.12019911578989917</v>
      </c>
      <c r="AN459" s="22">
        <f t="shared" si="107"/>
        <v>0.12428786174834884</v>
      </c>
      <c r="AO459" s="22">
        <f t="shared" si="107"/>
        <v>0.12817821089097012</v>
      </c>
      <c r="AP459" s="22">
        <f t="shared" si="107"/>
        <v>0.13214154239239112</v>
      </c>
      <c r="AQ459" s="22">
        <f t="shared" si="107"/>
        <v>0.13624857972153667</v>
      </c>
      <c r="AR459" s="22">
        <f t="shared" si="107"/>
        <v>0.14052656296513075</v>
      </c>
      <c r="AS459" s="22">
        <f t="shared" si="107"/>
        <v>0.14556766568145355</v>
      </c>
      <c r="AT459" s="22">
        <f t="shared" si="107"/>
        <v>0.14881423347183564</v>
      </c>
      <c r="AU459" s="22">
        <f t="shared" si="107"/>
        <v>0.15194631854950416</v>
      </c>
      <c r="AV459" s="22">
        <f t="shared" si="107"/>
        <v>0.15515723544633972</v>
      </c>
      <c r="AW459" s="22">
        <f t="shared" si="107"/>
        <v>0.15836593511039121</v>
      </c>
      <c r="AY459" s="79"/>
    </row>
    <row r="462" spans="1:51" x14ac:dyDescent="0.2">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72.649957574793405</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73.83596289834658</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74.518042528471312</v>
      </c>
      <c r="S462" s="93">
        <f>IF('Net zero activities &amp; levers'!$C$8="Off",('Activity data'!AL5*EF!$H4)*kgtoGg,IF('Net zero activities &amp; levers'!$C$8="On",(('Net zero supporting data'!J132*EF!$H4)+('Net zero supporting data'!J122*'Net zero supporting data'!J142))*kgtoGg,"ERROR"))</f>
        <v>72.478094892813189</v>
      </c>
      <c r="T462" s="93">
        <f>IF('Net zero activities &amp; levers'!$C$8="Off",('Activity data'!AM5*EF!$H4)*kgtoGg,IF('Net zero activities &amp; levers'!$C$8="On",(('Net zero supporting data'!K132*EF!$H4)+('Net zero supporting data'!K122*'Net zero supporting data'!K142))*kgtoGg,"ERROR"))</f>
        <v>73.218332284502367</v>
      </c>
      <c r="U462" s="93">
        <f>IF('Net zero activities &amp; levers'!$C$8="Off",('Activity data'!AN5*EF!$H4)*kgtoGg,IF('Net zero activities &amp; levers'!$C$8="On",(('Net zero supporting data'!L132*EF!$H4)+('Net zero supporting data'!L122*'Net zero supporting data'!L142))*kgtoGg,"ERROR"))</f>
        <v>73.595379037147723</v>
      </c>
      <c r="V462" s="93">
        <f>IF('Net zero activities &amp; levers'!$C$8="Off",('Activity data'!AO5*EF!$H4)*kgtoGg,IF('Net zero activities &amp; levers'!$C$8="On",(('Net zero supporting data'!M132*EF!$H4)+('Net zero supporting data'!M122*'Net zero supporting data'!M142))*kgtoGg,"ERROR"))</f>
        <v>73.759331907712209</v>
      </c>
      <c r="W462" s="93">
        <f>IF('Net zero activities &amp; levers'!$C$8="Off",('Activity data'!AP5*EF!$H4)*kgtoGg,IF('Net zero activities &amp; levers'!$C$8="On",(('Net zero supporting data'!N132*EF!$H4)+('Net zero supporting data'!N122*'Net zero supporting data'!N142))*kgtoGg,"ERROR"))</f>
        <v>73.851158511597276</v>
      </c>
      <c r="X462" s="93">
        <f>IF('Net zero activities &amp; levers'!$C$8="Off",('Activity data'!AQ5*EF!$H4)*kgtoGg,IF('Net zero activities &amp; levers'!$C$8="On",(('Net zero supporting data'!O132*EF!$H4)+('Net zero supporting data'!O122*'Net zero supporting data'!O142))*kgtoGg,"ERROR"))</f>
        <v>73.740646469722421</v>
      </c>
      <c r="Y462" s="93">
        <f>IF('Net zero activities &amp; levers'!$C$8="Off",('Activity data'!AR5*EF!$H4)*kgtoGg,IF('Net zero activities &amp; levers'!$C$8="On",(('Net zero supporting data'!P132*EF!$H4)+('Net zero supporting data'!P122*'Net zero supporting data'!P142))*kgtoGg,"ERROR"))</f>
        <v>73.354892711822018</v>
      </c>
      <c r="Z462" s="93">
        <f>IF('Net zero activities &amp; levers'!$C$8="Off",('Activity data'!AS5*EF!$H4)*kgtoGg,IF('Net zero activities &amp; levers'!$C$8="On",(('Net zero supporting data'!Q132*EF!$H4)+('Net zero supporting data'!Q122*'Net zero supporting data'!Q142))*kgtoGg,"ERROR"))</f>
        <v>72.792744666439646</v>
      </c>
      <c r="AA462" s="93">
        <f>IF('Net zero activities &amp; levers'!$C$8="Off",('Activity data'!AT5*EF!$H4)*kgtoGg,IF('Net zero activities &amp; levers'!$C$8="On",(('Net zero supporting data'!R132*EF!$H4)+('Net zero supporting data'!R122*'Net zero supporting data'!R142))*kgtoGg,"ERROR"))</f>
        <v>72.047563322517775</v>
      </c>
      <c r="AB462" s="93">
        <f>IF('Net zero activities &amp; levers'!$C$8="Off",('Activity data'!AU5*EF!$H4)*kgtoGg,IF('Net zero activities &amp; levers'!$C$8="On",(('Net zero supporting data'!S132*EF!$H4)+('Net zero supporting data'!S122*'Net zero supporting data'!S142))*kgtoGg,"ERROR"))</f>
        <v>71.298571503730557</v>
      </c>
      <c r="AC462" s="93">
        <f>IF('Net zero activities &amp; levers'!$C$8="Off",('Activity data'!AV5*EF!$H4)*kgtoGg,IF('Net zero activities &amp; levers'!$C$8="On",(('Net zero supporting data'!T132*EF!$H4)+('Net zero supporting data'!T122*'Net zero supporting data'!T142))*kgtoGg,"ERROR"))</f>
        <v>70.394658653456972</v>
      </c>
      <c r="AD462" s="93">
        <f>IF('Net zero activities &amp; levers'!$C$8="Off",('Activity data'!AW5*EF!$H4)*kgtoGg,IF('Net zero activities &amp; levers'!$C$8="On",(('Net zero supporting data'!U132*EF!$H4)+('Net zero supporting data'!U122*'Net zero supporting data'!U142))*kgtoGg,"ERROR"))</f>
        <v>70.650894201081456</v>
      </c>
      <c r="AE462" s="93">
        <f>IF('Net zero activities &amp; levers'!$C$8="Off",('Activity data'!AX5*EF!$H4)*kgtoGg,IF('Net zero activities &amp; levers'!$C$8="On",(('Net zero supporting data'!V132*EF!$H4)+('Net zero supporting data'!V122*'Net zero supporting data'!V142))*kgtoGg,"ERROR"))</f>
        <v>71.04451904892764</v>
      </c>
      <c r="AF462" s="93">
        <f>IF('Net zero activities &amp; levers'!$C$8="Off",('Activity data'!AY5*EF!$H4)*kgtoGg,IF('Net zero activities &amp; levers'!$C$8="On",(('Net zero supporting data'!W132*EF!$H4)+('Net zero supporting data'!W122*'Net zero supporting data'!W142))*kgtoGg,"ERROR"))</f>
        <v>71.506073153932491</v>
      </c>
      <c r="AG462" s="93">
        <f>IF('Net zero activities &amp; levers'!$C$8="Off",('Activity data'!AZ5*EF!$H4)*kgtoGg,IF('Net zero activities &amp; levers'!$C$8="On",(('Net zero supporting data'!X132*EF!$H4)+('Net zero supporting data'!X122*'Net zero supporting data'!X142))*kgtoGg,"ERROR"))</f>
        <v>72.113057591219359</v>
      </c>
      <c r="AH462" s="93">
        <f>IF('Net zero activities &amp; levers'!$C$8="Off",('Activity data'!BA5*EF!$H4)*kgtoGg,IF('Net zero activities &amp; levers'!$C$8="On",(('Net zero supporting data'!Y132*EF!$H4)+('Net zero supporting data'!Y122*'Net zero supporting data'!Y142))*kgtoGg,"ERROR"))</f>
        <v>72.50893361106705</v>
      </c>
      <c r="AI462" s="93">
        <f>IF('Net zero activities &amp; levers'!$C$8="Off",('Activity data'!BB5*EF!$H4)*kgtoGg,IF('Net zero activities &amp; levers'!$C$8="On",(('Net zero supporting data'!Z132*EF!$H4)+('Net zero supporting data'!Z122*'Net zero supporting data'!Z142))*kgtoGg,"ERROR"))</f>
        <v>72.84577569482903</v>
      </c>
      <c r="AJ462" s="93">
        <f>IF('Net zero activities &amp; levers'!$C$8="Off",('Activity data'!BC5*EF!$H4)*kgtoGg,IF('Net zero activities &amp; levers'!$C$8="On",(('Net zero supporting data'!AA132*EF!$H4)+('Net zero supporting data'!AA122*'Net zero supporting data'!AA142))*kgtoGg,"ERROR"))</f>
        <v>73.257978938471439</v>
      </c>
      <c r="AK462" s="93">
        <f>IF('Net zero activities &amp; levers'!$C$8="Off",('Activity data'!BD5*EF!$H4)*kgtoGg,IF('Net zero activities &amp; levers'!$C$8="On",(('Net zero supporting data'!AB132*EF!$H4)+('Net zero supporting data'!AB122*'Net zero supporting data'!AB142))*kgtoGg,"ERROR"))</f>
        <v>73.644947565580779</v>
      </c>
      <c r="AL462" s="93">
        <f>IF('Net zero activities &amp; levers'!$C$8="Off",('Activity data'!BE5*EF!$H4)*kgtoGg,IF('Net zero activities &amp; levers'!$C$8="On",(('Net zero supporting data'!AC132*EF!$H4)+('Net zero supporting data'!AC122*'Net zero supporting data'!AC142))*kgtoGg,"ERROR"))</f>
        <v>74.074653586425896</v>
      </c>
      <c r="AM462" s="93">
        <f>IF('Net zero activities &amp; levers'!$C$8="Off",('Activity data'!BF5*EF!$H4)*kgtoGg,IF('Net zero activities &amp; levers'!$C$8="On",(('Net zero supporting data'!AD132*EF!$H4)+('Net zero supporting data'!AD122*'Net zero supporting data'!AD142))*kgtoGg,"ERROR"))</f>
        <v>74.51194366792501</v>
      </c>
      <c r="AN462" s="93">
        <f>IF('Net zero activities &amp; levers'!$C$8="Off",('Activity data'!BG5*EF!$H4)*kgtoGg,IF('Net zero activities &amp; levers'!$C$8="On",(('Net zero supporting data'!AE132*EF!$H4)+('Net zero supporting data'!AE122*'Net zero supporting data'!AE142))*kgtoGg,"ERROR"))</f>
        <v>75.441302765312599</v>
      </c>
      <c r="AO462" s="93">
        <f>IF('Net zero activities &amp; levers'!$C$8="Off",('Activity data'!BH5*EF!$H4)*kgtoGg,IF('Net zero activities &amp; levers'!$C$8="On",(('Net zero supporting data'!AF132*EF!$H4)+('Net zero supporting data'!AF122*'Net zero supporting data'!AF142))*kgtoGg,"ERROR"))</f>
        <v>76.340243247265391</v>
      </c>
      <c r="AP462" s="93">
        <f>IF('Net zero activities &amp; levers'!$C$8="Off",('Activity data'!BI5*EF!$H4)*kgtoGg,IF('Net zero activities &amp; levers'!$C$8="On",(('Net zero supporting data'!AG132*EF!$H4)+('Net zero supporting data'!AG122*'Net zero supporting data'!AG142))*kgtoGg,"ERROR"))</f>
        <v>77.260547132965527</v>
      </c>
      <c r="AQ462" s="93">
        <f>IF('Net zero activities &amp; levers'!$C$8="Off",('Activity data'!BJ5*EF!$H4)*kgtoGg,IF('Net zero activities &amp; levers'!$C$8="On",(('Net zero supporting data'!AH132*EF!$H4)+('Net zero supporting data'!AH122*'Net zero supporting data'!AH142))*kgtoGg,"ERROR"))</f>
        <v>78.215837935710908</v>
      </c>
      <c r="AR462" s="93">
        <f>IF('Net zero activities &amp; levers'!$C$8="Off",('Activity data'!BK5*EF!$H4)*kgtoGg,IF('Net zero activities &amp; levers'!$C$8="On",(('Net zero supporting data'!AI132*EF!$H4)+('Net zero supporting data'!AI122*'Net zero supporting data'!AI142))*kgtoGg,"ERROR"))</f>
        <v>79.211475201823021</v>
      </c>
      <c r="AS462" s="93">
        <f>IF('Net zero activities &amp; levers'!$C$8="Off",('Activity data'!BL5*EF!$H4)*kgtoGg,IF('Net zero activities &amp; levers'!$C$8="On",(('Net zero supporting data'!AJ132*EF!$H4)+('Net zero supporting data'!AJ122*'Net zero supporting data'!AJ142))*kgtoGg,"ERROR"))</f>
        <v>80.31802416780252</v>
      </c>
      <c r="AT462" s="93">
        <f>IF('Net zero activities &amp; levers'!$C$8="Off",('Activity data'!BM5*EF!$H4)*kgtoGg,IF('Net zero activities &amp; levers'!$C$8="On",(('Net zero supporting data'!AK132*EF!$H4)+('Net zero supporting data'!AK122*'Net zero supporting data'!AK142))*kgtoGg,"ERROR"))</f>
        <v>81.083041501349967</v>
      </c>
      <c r="AU462" s="93">
        <f>IF('Net zero activities &amp; levers'!$C$8="Off",('Activity data'!BN5*EF!$H4)*kgtoGg,IF('Net zero activities &amp; levers'!$C$8="On",(('Net zero supporting data'!AL132*EF!$H4)+('Net zero supporting data'!AL122*'Net zero supporting data'!AL142))*kgtoGg,"ERROR"))</f>
        <v>81.831475734288745</v>
      </c>
      <c r="AV462" s="93">
        <f>IF('Net zero activities &amp; levers'!$C$8="Off",('Activity data'!BO5*EF!$H4)*kgtoGg,IF('Net zero activities &amp; levers'!$C$8="On",(('Net zero supporting data'!AM132*EF!$H4)+('Net zero supporting data'!AM122*'Net zero supporting data'!AM142))*kgtoGg,"ERROR"))</f>
        <v>82.60086436696551</v>
      </c>
      <c r="AW462" s="93">
        <f>IF('Net zero activities &amp; levers'!$C$8="Off",('Activity data'!BP5*EF!$H4)*kgtoGg,IF('Net zero activities &amp; levers'!$C$8="On",(('Net zero supporting data'!AN132*EF!$H4)+('Net zero supporting data'!AN122*'Net zero supporting data'!AN142))*kgtoGg,"ERROR"))</f>
        <v>83.375332067317629</v>
      </c>
      <c r="AY462" s="79"/>
    </row>
    <row r="463" spans="1:51" x14ac:dyDescent="0.2">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58.1066387636453</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59.055225455337663</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59.600764035107602</v>
      </c>
      <c r="S463" s="93">
        <f>IF('Net zero activities &amp; levers'!$C$8="Off",('Activity data'!AL6*EF!$H5)*kgtoGg,IF('Net zero activities &amp; levers'!$C$8="On",(('Net zero supporting data'!J133*EF!$H5)+('Net zero supporting data'!J123*'Net zero supporting data'!J143))*kgtoGg,"ERROR"))</f>
        <v>57.969180145469302</v>
      </c>
      <c r="T463" s="93">
        <f>IF('Net zero activities &amp; levers'!$C$8="Off",('Activity data'!AM6*EF!$H5)*kgtoGg,IF('Net zero activities &amp; levers'!$C$8="On",(('Net zero supporting data'!K133*EF!$H5)+('Net zero supporting data'!K123*'Net zero supporting data'!K143))*kgtoGg,"ERROR"))</f>
        <v>58.561234265720429</v>
      </c>
      <c r="U463" s="93">
        <f>IF('Net zero activities &amp; levers'!$C$8="Off",('Activity data'!AN6*EF!$H5)*kgtoGg,IF('Net zero activities &amp; levers'!$C$8="On",(('Net zero supporting data'!L133*EF!$H5)+('Net zero supporting data'!L123*'Net zero supporting data'!L143))*kgtoGg,"ERROR"))</f>
        <v>58.862802500366868</v>
      </c>
      <c r="V463" s="93">
        <f>IF('Net zero activities &amp; levers'!$C$8="Off",('Activity data'!AO6*EF!$H5)*kgtoGg,IF('Net zero activities &amp; levers'!$C$8="On",(('Net zero supporting data'!M133*EF!$H5)+('Net zero supporting data'!M123*'Net zero supporting data'!M143))*kgtoGg,"ERROR"))</f>
        <v>58.993934720428314</v>
      </c>
      <c r="W463" s="93">
        <f>IF('Net zero activities &amp; levers'!$C$8="Off",('Activity data'!AP6*EF!$H5)*kgtoGg,IF('Net zero activities &amp; levers'!$C$8="On",(('Net zero supporting data'!N133*EF!$H5)+('Net zero supporting data'!N123*'Net zero supporting data'!N143))*kgtoGg,"ERROR"))</f>
        <v>59.067379158373768</v>
      </c>
      <c r="X463" s="93">
        <f>IF('Net zero activities &amp; levers'!$C$8="Off",('Activity data'!AQ6*EF!$H5)*kgtoGg,IF('Net zero activities &amp; levers'!$C$8="On",(('Net zero supporting data'!O133*EF!$H5)+('Net zero supporting data'!O123*'Net zero supporting data'!O143))*kgtoGg,"ERROR"))</f>
        <v>58.978989797793027</v>
      </c>
      <c r="Y463" s="93">
        <f>IF('Net zero activities &amp; levers'!$C$8="Off",('Activity data'!AR6*EF!$H5)*kgtoGg,IF('Net zero activities &amp; levers'!$C$8="On",(('Net zero supporting data'!P133*EF!$H5)+('Net zero supporting data'!P123*'Net zero supporting data'!P143))*kgtoGg,"ERROR"))</f>
        <v>58.670457556202081</v>
      </c>
      <c r="Z463" s="93">
        <f>IF('Net zero activities &amp; levers'!$C$8="Off",('Activity data'!AS6*EF!$H5)*kgtoGg,IF('Net zero activities &amp; levers'!$C$8="On",(('Net zero supporting data'!Q133*EF!$H5)+('Net zero supporting data'!Q123*'Net zero supporting data'!Q143))*kgtoGg,"ERROR"))</f>
        <v>58.22084224333566</v>
      </c>
      <c r="AA463" s="93">
        <f>IF('Net zero activities &amp; levers'!$C$8="Off",('Activity data'!AT6*EF!$H5)*kgtoGg,IF('Net zero activities &amp; levers'!$C$8="On",(('Net zero supporting data'!R133*EF!$H5)+('Net zero supporting data'!R123*'Net zero supporting data'!R143))*kgtoGg,"ERROR"))</f>
        <v>57.624833868243392</v>
      </c>
      <c r="AB463" s="93">
        <f>IF('Net zero activities &amp; levers'!$C$8="Off",('Activity data'!AU6*EF!$H5)*kgtoGg,IF('Net zero activities &amp; levers'!$C$8="On",(('Net zero supporting data'!S133*EF!$H5)+('Net zero supporting data'!S123*'Net zero supporting data'!S143))*kgtoGg,"ERROR"))</f>
        <v>57.025777812272686</v>
      </c>
      <c r="AC463" s="93">
        <f>IF('Net zero activities &amp; levers'!$C$8="Off",('Activity data'!AV6*EF!$H5)*kgtoGg,IF('Net zero activities &amp; levers'!$C$8="On",(('Net zero supporting data'!T133*EF!$H5)+('Net zero supporting data'!T123*'Net zero supporting data'!T143))*kgtoGg,"ERROR"))</f>
        <v>56.302813350654226</v>
      </c>
      <c r="AD463" s="93">
        <f>IF('Net zero activities &amp; levers'!$C$8="Off",('Activity data'!AW6*EF!$H5)*kgtoGg,IF('Net zero activities &amp; levers'!$C$8="On",(('Net zero supporting data'!U133*EF!$H5)+('Net zero supporting data'!U123*'Net zero supporting data'!U143))*kgtoGg,"ERROR"))</f>
        <v>56.829020408840428</v>
      </c>
      <c r="AE463" s="93">
        <f>IF('Net zero activities &amp; levers'!$C$8="Off",('Activity data'!AX6*EF!$H5)*kgtoGg,IF('Net zero activities &amp; levers'!$C$8="On",(('Net zero supporting data'!V133*EF!$H5)+('Net zero supporting data'!V123*'Net zero supporting data'!V143))*kgtoGg,"ERROR"))</f>
        <v>57.468722903120323</v>
      </c>
      <c r="AF463" s="93">
        <f>IF('Net zero activities &amp; levers'!$C$8="Off",('Activity data'!AY6*EF!$H5)*kgtoGg,IF('Net zero activities &amp; levers'!$C$8="On",(('Net zero supporting data'!W133*EF!$H5)+('Net zero supporting data'!W123*'Net zero supporting data'!W143))*kgtoGg,"ERROR"))</f>
        <v>58.167264001799367</v>
      </c>
      <c r="AG463" s="93">
        <f>IF('Net zero activities &amp; levers'!$C$8="Off",('Activity data'!AZ6*EF!$H5)*kgtoGg,IF('Net zero activities &amp; levers'!$C$8="On",(('Net zero supporting data'!X133*EF!$H5)+('Net zero supporting data'!X123*'Net zero supporting data'!X143))*kgtoGg,"ERROR"))</f>
        <v>58.988937650566911</v>
      </c>
      <c r="AH463" s="93">
        <f>IF('Net zero activities &amp; levers'!$C$8="Off",('Activity data'!BA6*EF!$H5)*kgtoGg,IF('Net zero activities &amp; levers'!$C$8="On",(('Net zero supporting data'!Y133*EF!$H5)+('Net zero supporting data'!Y123*'Net zero supporting data'!Y143))*kgtoGg,"ERROR"))</f>
        <v>59.642425388964057</v>
      </c>
      <c r="AI463" s="93">
        <f>IF('Net zero activities &amp; levers'!$C$8="Off",('Activity data'!BB6*EF!$H5)*kgtoGg,IF('Net zero activities &amp; levers'!$C$8="On",(('Net zero supporting data'!Z133*EF!$H5)+('Net zero supporting data'!Z123*'Net zero supporting data'!Z143))*kgtoGg,"ERROR"))</f>
        <v>60.250597536491448</v>
      </c>
      <c r="AJ463" s="93">
        <f>IF('Net zero activities &amp; levers'!$C$8="Off",('Activity data'!BC6*EF!$H5)*kgtoGg,IF('Net zero activities &amp; levers'!$C$8="On",(('Net zero supporting data'!AA133*EF!$H5)+('Net zero supporting data'!AA123*'Net zero supporting data'!AA143))*kgtoGg,"ERROR"))</f>
        <v>60.924386250887274</v>
      </c>
      <c r="AK463" s="93">
        <f>IF('Net zero activities &amp; levers'!$C$8="Off",('Activity data'!BD6*EF!$H5)*kgtoGg,IF('Net zero activities &amp; levers'!$C$8="On",(('Net zero supporting data'!AB133*EF!$H5)+('Net zero supporting data'!AB123*'Net zero supporting data'!AB143))*kgtoGg,"ERROR"))</f>
        <v>61.580669620556534</v>
      </c>
      <c r="AL463" s="93">
        <f>IF('Net zero activities &amp; levers'!$C$8="Off",('Activity data'!BE6*EF!$H5)*kgtoGg,IF('Net zero activities &amp; levers'!$C$8="On",(('Net zero supporting data'!AC133*EF!$H5)+('Net zero supporting data'!AC123*'Net zero supporting data'!AC143))*kgtoGg,"ERROR"))</f>
        <v>62.276216134539304</v>
      </c>
      <c r="AM463" s="93">
        <f>IF('Net zero activities &amp; levers'!$C$8="Off",('Activity data'!BF6*EF!$H5)*kgtoGg,IF('Net zero activities &amp; levers'!$C$8="On",(('Net zero supporting data'!AD133*EF!$H5)+('Net zero supporting data'!AD123*'Net zero supporting data'!AD143))*kgtoGg,"ERROR"))</f>
        <v>62.98185963583947</v>
      </c>
      <c r="AN463" s="93">
        <f>IF('Net zero activities &amp; levers'!$C$8="Off",('Activity data'!BG6*EF!$H5)*kgtoGg,IF('Net zero activities &amp; levers'!$C$8="On",(('Net zero supporting data'!AE133*EF!$H5)+('Net zero supporting data'!AE123*'Net zero supporting data'!AE143))*kgtoGg,"ERROR"))</f>
        <v>63.760679210536104</v>
      </c>
      <c r="AO463" s="93">
        <f>IF('Net zero activities &amp; levers'!$C$8="Off",('Activity data'!BH6*EF!$H5)*kgtoGg,IF('Net zero activities &amp; levers'!$C$8="On",(('Net zero supporting data'!AF133*EF!$H5)+('Net zero supporting data'!AF123*'Net zero supporting data'!AF143))*kgtoGg,"ERROR"))</f>
        <v>64.513630988242113</v>
      </c>
      <c r="AP463" s="93">
        <f>IF('Net zero activities &amp; levers'!$C$8="Off",('Activity data'!BI6*EF!$H5)*kgtoGg,IF('Net zero activities &amp; levers'!$C$8="On",(('Net zero supporting data'!AG133*EF!$H5)+('Net zero supporting data'!AG123*'Net zero supporting data'!AG143))*kgtoGg,"ERROR"))</f>
        <v>65.284478595001403</v>
      </c>
      <c r="AQ463" s="93">
        <f>IF('Net zero activities &amp; levers'!$C$8="Off",('Activity data'!BJ6*EF!$H5)*kgtoGg,IF('Net zero activities &amp; levers'!$C$8="On",(('Net zero supporting data'!AH133*EF!$H5)+('Net zero supporting data'!AH123*'Net zero supporting data'!AH143))*kgtoGg,"ERROR"))</f>
        <v>66.084727002924652</v>
      </c>
      <c r="AR463" s="93">
        <f>IF('Net zero activities &amp; levers'!$C$8="Off",('Activity data'!BK6*EF!$H5)*kgtoGg,IF('Net zero activities &amp; levers'!$C$8="On",(('Net zero supporting data'!AI133*EF!$H5)+('Net zero supporting data'!AI123*'Net zero supporting data'!AI143))*kgtoGg,"ERROR"))</f>
        <v>66.918894834201737</v>
      </c>
      <c r="AS463" s="93">
        <f>IF('Net zero activities &amp; levers'!$C$8="Off",('Activity data'!BL6*EF!$H5)*kgtoGg,IF('Net zero activities &amp; levers'!$C$8="On",(('Net zero supporting data'!AJ133*EF!$H5)+('Net zero supporting data'!AJ123*'Net zero supporting data'!AJ143))*kgtoGg,"ERROR"))</f>
        <v>67.846579641087615</v>
      </c>
      <c r="AT463" s="93">
        <f>IF('Net zero activities &amp; levers'!$C$8="Off",('Activity data'!BM6*EF!$H5)*kgtoGg,IF('Net zero activities &amp; levers'!$C$8="On",(('Net zero supporting data'!AK133*EF!$H5)+('Net zero supporting data'!AK123*'Net zero supporting data'!AK143))*kgtoGg,"ERROR"))</f>
        <v>68.485602383322458</v>
      </c>
      <c r="AU463" s="93">
        <f>IF('Net zero activities &amp; levers'!$C$8="Off",('Activity data'!BN6*EF!$H5)*kgtoGg,IF('Net zero activities &amp; levers'!$C$8="On",(('Net zero supporting data'!AL133*EF!$H5)+('Net zero supporting data'!AL123*'Net zero supporting data'!AL143))*kgtoGg,"ERROR"))</f>
        <v>69.110488391208335</v>
      </c>
      <c r="AV463" s="93">
        <f>IF('Net zero activities &amp; levers'!$C$8="Off",('Activity data'!BO6*EF!$H5)*kgtoGg,IF('Net zero activities &amp; levers'!$C$8="On",(('Net zero supporting data'!AM133*EF!$H5)+('Net zero supporting data'!AM123*'Net zero supporting data'!AM143))*kgtoGg,"ERROR"))</f>
        <v>69.752941034562227</v>
      </c>
      <c r="AW463" s="93">
        <f>IF('Net zero activities &amp; levers'!$C$8="Off",('Activity data'!BP6*EF!$H5)*kgtoGg,IF('Net zero activities &amp; levers'!$C$8="On",(('Net zero supporting data'!AN133*EF!$H5)+('Net zero supporting data'!AN123*'Net zero supporting data'!AN143))*kgtoGg,"ERROR"))</f>
        <v>70.399550215379705</v>
      </c>
      <c r="AY463" s="79"/>
    </row>
    <row r="464" spans="1:51" x14ac:dyDescent="0.2">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26.272250579806308</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26.701143177813606</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26.947802192577246</v>
      </c>
      <c r="S464" s="93">
        <f>IF('Net zero activities &amp; levers'!$C$8="Off",('Activity data'!AL7*EF!$H6)*kgtoGg,IF('Net zero activities &amp; levers'!$C$8="On",(('Net zero supporting data'!J134*EF!$H6)+('Net zero supporting data'!J124*'Net zero supporting data'!J144))*kgtoGg,"ERROR"))</f>
        <v>26.210100241429942</v>
      </c>
      <c r="T464" s="93">
        <f>IF('Net zero activities &amp; levers'!$C$8="Off",('Activity data'!AM7*EF!$H6)*kgtoGg,IF('Net zero activities &amp; levers'!$C$8="On",(('Net zero supporting data'!K134*EF!$H6)+('Net zero supporting data'!K124*'Net zero supporting data'!K144))*kgtoGg,"ERROR"))</f>
        <v>26.487649720449927</v>
      </c>
      <c r="U464" s="93">
        <f>IF('Net zero activities &amp; levers'!$C$8="Off",('Activity data'!AN7*EF!$H6)*kgtoGg,IF('Net zero activities &amp; levers'!$C$8="On",(('Net zero supporting data'!L134*EF!$H6)+('Net zero supporting data'!L124*'Net zero supporting data'!L144))*kgtoGg,"ERROR"))</f>
        <v>26.653317995984828</v>
      </c>
      <c r="V464" s="93">
        <f>IF('Net zero activities &amp; levers'!$C$8="Off",('Activity data'!AO7*EF!$H6)*kgtoGg,IF('Net zero activities &amp; levers'!$C$8="On",(('Net zero supporting data'!M134*EF!$H6)+('Net zero supporting data'!M124*'Net zero supporting data'!M144))*kgtoGg,"ERROR"))</f>
        <v>26.760938271377846</v>
      </c>
      <c r="W464" s="93">
        <f>IF('Net zero activities &amp; levers'!$C$8="Off",('Activity data'!AP7*EF!$H6)*kgtoGg,IF('Net zero activities &amp; levers'!$C$8="On",(('Net zero supporting data'!N134*EF!$H6)+('Net zero supporting data'!N124*'Net zero supporting data'!N144))*kgtoGg,"ERROR"))</f>
        <v>26.861268421326049</v>
      </c>
      <c r="X464" s="93">
        <f>IF('Net zero activities &amp; levers'!$C$8="Off",('Activity data'!AQ7*EF!$H6)*kgtoGg,IF('Net zero activities &amp; levers'!$C$8="On",(('Net zero supporting data'!O134*EF!$H6)+('Net zero supporting data'!O124*'Net zero supporting data'!O144))*kgtoGg,"ERROR"))</f>
        <v>26.906693733809245</v>
      </c>
      <c r="Y464" s="93">
        <f>IF('Net zero activities &amp; levers'!$C$8="Off",('Activity data'!AR7*EF!$H6)*kgtoGg,IF('Net zero activities &amp; levers'!$C$8="On",(('Net zero supporting data'!P134*EF!$H6)+('Net zero supporting data'!P124*'Net zero supporting data'!P144))*kgtoGg,"ERROR"))</f>
        <v>26.869981100575593</v>
      </c>
      <c r="Z464" s="93">
        <f>IF('Net zero activities &amp; levers'!$C$8="Off",('Activity data'!AS7*EF!$H6)*kgtoGg,IF('Net zero activities &amp; levers'!$C$8="On",(('Net zero supporting data'!Q134*EF!$H6)+('Net zero supporting data'!Q124*'Net zero supporting data'!Q144))*kgtoGg,"ERROR"))</f>
        <v>26.786525581816058</v>
      </c>
      <c r="AA464" s="93">
        <f>IF('Net zero activities &amp; levers'!$C$8="Off",('Activity data'!AT7*EF!$H6)*kgtoGg,IF('Net zero activities &amp; levers'!$C$8="On",(('Net zero supporting data'!R134*EF!$H6)+('Net zero supporting data'!R124*'Net zero supporting data'!R144))*kgtoGg,"ERROR"))</f>
        <v>26.653256379912612</v>
      </c>
      <c r="AB464" s="93">
        <f>IF('Net zero activities &amp; levers'!$C$8="Off",('Activity data'!AU7*EF!$H6)*kgtoGg,IF('Net zero activities &amp; levers'!$C$8="On",(('Net zero supporting data'!S134*EF!$H6)+('Net zero supporting data'!S124*'Net zero supporting data'!S144))*kgtoGg,"ERROR"))</f>
        <v>26.536146561746158</v>
      </c>
      <c r="AC464" s="93">
        <f>IF('Net zero activities &amp; levers'!$C$8="Off",('Activity data'!AV7*EF!$H6)*kgtoGg,IF('Net zero activities &amp; levers'!$C$8="On",(('Net zero supporting data'!T134*EF!$H6)+('Net zero supporting data'!T124*'Net zero supporting data'!T144))*kgtoGg,"ERROR"))</f>
        <v>26.379109610806665</v>
      </c>
      <c r="AD464" s="93">
        <f>IF('Net zero activities &amp; levers'!$C$8="Off",('Activity data'!AW7*EF!$H6)*kgtoGg,IF('Net zero activities &amp; levers'!$C$8="On",(('Net zero supporting data'!U134*EF!$H6)+('Net zero supporting data'!U124*'Net zero supporting data'!U144))*kgtoGg,"ERROR"))</f>
        <v>26.623944509330631</v>
      </c>
      <c r="AE464" s="93">
        <f>IF('Net zero activities &amp; levers'!$C$8="Off",('Activity data'!AX7*EF!$H6)*kgtoGg,IF('Net zero activities &amp; levers'!$C$8="On",(('Net zero supporting data'!V134*EF!$H6)+('Net zero supporting data'!V124*'Net zero supporting data'!V144))*kgtoGg,"ERROR"))</f>
        <v>26.921916836109361</v>
      </c>
      <c r="AF464" s="93">
        <f>IF('Net zero activities &amp; levers'!$C$8="Off",('Activity data'!AY7*EF!$H6)*kgtoGg,IF('Net zero activities &amp; levers'!$C$8="On",(('Net zero supporting data'!W134*EF!$H6)+('Net zero supporting data'!W124*'Net zero supporting data'!W144))*kgtoGg,"ERROR"))</f>
        <v>27.247413390075437</v>
      </c>
      <c r="AG464" s="93">
        <f>IF('Net zero activities &amp; levers'!$C$8="Off",('Activity data'!AZ7*EF!$H6)*kgtoGg,IF('Net zero activities &amp; levers'!$C$8="On",(('Net zero supporting data'!X134*EF!$H6)+('Net zero supporting data'!X124*'Net zero supporting data'!X144))*kgtoGg,"ERROR"))</f>
        <v>27.630544326718635</v>
      </c>
      <c r="AH464" s="93">
        <f>IF('Net zero activities &amp; levers'!$C$8="Off",('Activity data'!BA7*EF!$H6)*kgtoGg,IF('Net zero activities &amp; levers'!$C$8="On",(('Net zero supporting data'!Y134*EF!$H6)+('Net zero supporting data'!Y124*'Net zero supporting data'!Y144))*kgtoGg,"ERROR"))</f>
        <v>27.934853143629418</v>
      </c>
      <c r="AI464" s="93">
        <f>IF('Net zero activities &amp; levers'!$C$8="Off",('Activity data'!BB7*EF!$H6)*kgtoGg,IF('Net zero activities &amp; levers'!$C$8="On",(('Net zero supporting data'!Z134*EF!$H6)+('Net zero supporting data'!Z124*'Net zero supporting data'!Z144))*kgtoGg,"ERROR"))</f>
        <v>28.217900336713694</v>
      </c>
      <c r="AJ464" s="93">
        <f>IF('Net zero activities &amp; levers'!$C$8="Off",('Activity data'!BC7*EF!$H6)*kgtoGg,IF('Net zero activities &amp; levers'!$C$8="On",(('Net zero supporting data'!AA134*EF!$H6)+('Net zero supporting data'!AA124*'Net zero supporting data'!AA144))*kgtoGg,"ERROR"))</f>
        <v>28.531640893863514</v>
      </c>
      <c r="AK464" s="93">
        <f>IF('Net zero activities &amp; levers'!$C$8="Off",('Activity data'!BD7*EF!$H6)*kgtoGg,IF('Net zero activities &amp; levers'!$C$8="On",(('Net zero supporting data'!AB134*EF!$H6)+('Net zero supporting data'!AB124*'Net zero supporting data'!AB144))*kgtoGg,"ERROR"))</f>
        <v>28.837144419036438</v>
      </c>
      <c r="AL464" s="93">
        <f>IF('Net zero activities &amp; levers'!$C$8="Off",('Activity data'!BE7*EF!$H6)*kgtoGg,IF('Net zero activities &amp; levers'!$C$8="On",(('Net zero supporting data'!AC134*EF!$H6)+('Net zero supporting data'!AC124*'Net zero supporting data'!AC144))*kgtoGg,"ERROR"))</f>
        <v>29.160994493788593</v>
      </c>
      <c r="AM464" s="93">
        <f>IF('Net zero activities &amp; levers'!$C$8="Off",('Activity data'!BF7*EF!$H6)*kgtoGg,IF('Net zero activities &amp; levers'!$C$8="On",(('Net zero supporting data'!AD134*EF!$H6)+('Net zero supporting data'!AD124*'Net zero supporting data'!AD144))*kgtoGg,"ERROR"))</f>
        <v>29.489531366209377</v>
      </c>
      <c r="AN464" s="93">
        <f>IF('Net zero activities &amp; levers'!$C$8="Off",('Activity data'!BG7*EF!$H6)*kgtoGg,IF('Net zero activities &amp; levers'!$C$8="On",(('Net zero supporting data'!AE134*EF!$H6)+('Net zero supporting data'!AE124*'Net zero supporting data'!AE144))*kgtoGg,"ERROR"))</f>
        <v>29.852287326218285</v>
      </c>
      <c r="AO464" s="93">
        <f>IF('Net zero activities &amp; levers'!$C$8="Off",('Activity data'!BH7*EF!$H6)*kgtoGg,IF('Net zero activities &amp; levers'!$C$8="On",(('Net zero supporting data'!AF134*EF!$H6)+('Net zero supporting data'!AF124*'Net zero supporting data'!AF144))*kgtoGg,"ERROR"))</f>
        <v>30.202887179036289</v>
      </c>
      <c r="AP464" s="93">
        <f>IF('Net zero activities &amp; levers'!$C$8="Off",('Activity data'!BI7*EF!$H6)*kgtoGg,IF('Net zero activities &amp; levers'!$C$8="On",(('Net zero supporting data'!AG134*EF!$H6)+('Net zero supporting data'!AG124*'Net zero supporting data'!AG144))*kgtoGg,"ERROR"))</f>
        <v>30.561820467530559</v>
      </c>
      <c r="AQ464" s="93">
        <f>IF('Net zero activities &amp; levers'!$C$8="Off",('Activity data'!BJ7*EF!$H6)*kgtoGg,IF('Net zero activities &amp; levers'!$C$8="On",(('Net zero supporting data'!AH134*EF!$H6)+('Net zero supporting data'!AH124*'Net zero supporting data'!AH144))*kgtoGg,"ERROR"))</f>
        <v>30.9344711302383</v>
      </c>
      <c r="AR464" s="93">
        <f>IF('Net zero activities &amp; levers'!$C$8="Off",('Activity data'!BK7*EF!$H6)*kgtoGg,IF('Net zero activities &amp; levers'!$C$8="On",(('Net zero supporting data'!AI134*EF!$H6)+('Net zero supporting data'!AI124*'Net zero supporting data'!AI144))*kgtoGg,"ERROR"))</f>
        <v>31.322951609975849</v>
      </c>
      <c r="AS464" s="93">
        <f>IF('Net zero activities &amp; levers'!$C$8="Off",('Activity data'!BL7*EF!$H6)*kgtoGg,IF('Net zero activities &amp; levers'!$C$8="On",(('Net zero supporting data'!AJ134*EF!$H6)+('Net zero supporting data'!AJ124*'Net zero supporting data'!AJ144))*kgtoGg,"ERROR"))</f>
        <v>31.75515314998853</v>
      </c>
      <c r="AT464" s="93">
        <f>IF('Net zero activities &amp; levers'!$C$8="Off",('Activity data'!BM7*EF!$H6)*kgtoGg,IF('Net zero activities &amp; levers'!$C$8="On",(('Net zero supporting data'!AK134*EF!$H6)+('Net zero supporting data'!AK124*'Net zero supporting data'!AK144))*kgtoGg,"ERROR"))</f>
        <v>32.052202378733313</v>
      </c>
      <c r="AU464" s="93">
        <f>IF('Net zero activities &amp; levers'!$C$8="Off",('Activity data'!BN7*EF!$H6)*kgtoGg,IF('Net zero activities &amp; levers'!$C$8="On",(('Net zero supporting data'!AL134*EF!$H6)+('Net zero supporting data'!AL124*'Net zero supporting data'!AL144))*kgtoGg,"ERROR"))</f>
        <v>32.342598575005447</v>
      </c>
      <c r="AV464" s="93">
        <f>IF('Net zero activities &amp; levers'!$C$8="Off",('Activity data'!BO7*EF!$H6)*kgtoGg,IF('Net zero activities &amp; levers'!$C$8="On",(('Net zero supporting data'!AM134*EF!$H6)+('Net zero supporting data'!AM124*'Net zero supporting data'!AM144))*kgtoGg,"ERROR"))</f>
        <v>32.641178747925615</v>
      </c>
      <c r="AW464" s="93">
        <f>IF('Net zero activities &amp; levers'!$C$8="Off",('Activity data'!BP7*EF!$H6)*kgtoGg,IF('Net zero activities &amp; levers'!$C$8="On",(('Net zero supporting data'!AN134*EF!$H6)+('Net zero supporting data'!AN124*'Net zero supporting data'!AN144))*kgtoGg,"ERROR"))</f>
        <v>32.941666438590616</v>
      </c>
      <c r="AY464" s="79"/>
    </row>
    <row r="465" spans="1:51" x14ac:dyDescent="0.2">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463.23498593143194</v>
      </c>
      <c r="L465" s="93">
        <f>IF('Net zero activities &amp; levers'!$C$8="Off",('Activity data'!AE8*EF!$H7)*kgtoGg,IF('Net zero activities &amp; levers'!$C$8="On",(('Net zero supporting data'!C135*EF!$H7)+('Net zero supporting data'!C125*'Net zero supporting data'!C145))*kgtoGg,"ERROR"))</f>
        <v>459.21749683621613</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442.70486896910745</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367.15498253629937</v>
      </c>
      <c r="T465" s="93">
        <f>IF('Net zero activities &amp; levers'!$C$8="Off",('Activity data'!AM8*EF!$H7)*kgtoGg,IF('Net zero activities &amp; levers'!$C$8="On",(('Net zero supporting data'!K135*EF!$H7)+('Net zero supporting data'!K125*'Net zero supporting data'!K145))*kgtoGg,"ERROR"))</f>
        <v>373.84396577378544</v>
      </c>
      <c r="U465" s="93">
        <f>IF('Net zero activities &amp; levers'!$C$8="Off",('Activity data'!AN8*EF!$H7)*kgtoGg,IF('Net zero activities &amp; levers'!$C$8="On",(('Net zero supporting data'!L135*EF!$H7)+('Net zero supporting data'!L125*'Net zero supporting data'!L145))*kgtoGg,"ERROR"))</f>
        <v>376.6042872869254</v>
      </c>
      <c r="V465" s="93">
        <f>IF('Net zero activities &amp; levers'!$C$8="Off",('Activity data'!AO8*EF!$H7)*kgtoGg,IF('Net zero activities &amp; levers'!$C$8="On",(('Net zero supporting data'!M135*EF!$H7)+('Net zero supporting data'!M125*'Net zero supporting data'!M145))*kgtoGg,"ERROR"))</f>
        <v>377.85792060242306</v>
      </c>
      <c r="W465" s="93">
        <f>IF('Net zero activities &amp; levers'!$C$8="Off",('Activity data'!AP8*EF!$H7)*kgtoGg,IF('Net zero activities &amp; levers'!$C$8="On",(('Net zero supporting data'!N135*EF!$H7)+('Net zero supporting data'!N125*'Net zero supporting data'!N145))*kgtoGg,"ERROR"))</f>
        <v>379.75868762600396</v>
      </c>
      <c r="X465" s="93">
        <f>IF('Net zero activities &amp; levers'!$C$8="Off",('Activity data'!AQ8*EF!$H7)*kgtoGg,IF('Net zero activities &amp; levers'!$C$8="On",(('Net zero supporting data'!O135*EF!$H7)+('Net zero supporting data'!O125*'Net zero supporting data'!O145))*kgtoGg,"ERROR"))</f>
        <v>380.25839804599309</v>
      </c>
      <c r="Y465" s="93">
        <f>IF('Net zero activities &amp; levers'!$C$8="Off",('Activity data'!AR8*EF!$H7)*kgtoGg,IF('Net zero activities &amp; levers'!$C$8="On",(('Net zero supporting data'!P135*EF!$H7)+('Net zero supporting data'!P125*'Net zero supporting data'!P145))*kgtoGg,"ERROR"))</f>
        <v>378.98319358292832</v>
      </c>
      <c r="Z465" s="93">
        <f>IF('Net zero activities &amp; levers'!$C$8="Off",('Activity data'!AS8*EF!$H7)*kgtoGg,IF('Net zero activities &amp; levers'!$C$8="On",(('Net zero supporting data'!Q135*EF!$H7)+('Net zero supporting data'!Q125*'Net zero supporting data'!Q145))*kgtoGg,"ERROR"))</f>
        <v>376.67677058241691</v>
      </c>
      <c r="AA465" s="93">
        <f>IF('Net zero activities &amp; levers'!$C$8="Off",('Activity data'!AT8*EF!$H7)*kgtoGg,IF('Net zero activities &amp; levers'!$C$8="On",(('Net zero supporting data'!R135*EF!$H7)+('Net zero supporting data'!R125*'Net zero supporting data'!R145))*kgtoGg,"ERROR"))</f>
        <v>373.22071030797537</v>
      </c>
      <c r="AB465" s="93">
        <f>IF('Net zero activities &amp; levers'!$C$8="Off",('Activity data'!AU8*EF!$H7)*kgtoGg,IF('Net zero activities &amp; levers'!$C$8="On",(('Net zero supporting data'!S135*EF!$H7)+('Net zero supporting data'!S125*'Net zero supporting data'!S145))*kgtoGg,"ERROR"))</f>
        <v>371.20435904469724</v>
      </c>
      <c r="AC465" s="93">
        <f>IF('Net zero activities &amp; levers'!$C$8="Off",('Activity data'!AV8*EF!$H7)*kgtoGg,IF('Net zero activities &amp; levers'!$C$8="On",(('Net zero supporting data'!T135*EF!$H7)+('Net zero supporting data'!T125*'Net zero supporting data'!T145))*kgtoGg,"ERROR"))</f>
        <v>368.36766830852417</v>
      </c>
      <c r="AD465" s="93">
        <f>IF('Net zero activities &amp; levers'!$C$8="Off",('Activity data'!AW8*EF!$H7)*kgtoGg,IF('Net zero activities &amp; levers'!$C$8="On",(('Net zero supporting data'!U135*EF!$H7)+('Net zero supporting data'!U125*'Net zero supporting data'!U145))*kgtoGg,"ERROR"))</f>
        <v>368.55188020220731</v>
      </c>
      <c r="AE465" s="93">
        <f>IF('Net zero activities &amp; levers'!$C$8="Off",('Activity data'!AX8*EF!$H7)*kgtoGg,IF('Net zero activities &amp; levers'!$C$8="On",(('Net zero supporting data'!V135*EF!$H7)+('Net zero supporting data'!V125*'Net zero supporting data'!V145))*kgtoGg,"ERROR"))</f>
        <v>370.34051798693241</v>
      </c>
      <c r="AF465" s="93">
        <f>IF('Net zero activities &amp; levers'!$C$8="Off",('Activity data'!AY8*EF!$H7)*kgtoGg,IF('Net zero activities &amp; levers'!$C$8="On",(('Net zero supporting data'!W135*EF!$H7)+('Net zero supporting data'!W125*'Net zero supporting data'!W145))*kgtoGg,"ERROR"))</f>
        <v>372.69005388958772</v>
      </c>
      <c r="AG465" s="93">
        <f>IF('Net zero activities &amp; levers'!$C$8="Off",('Activity data'!AZ8*EF!$H7)*kgtoGg,IF('Net zero activities &amp; levers'!$C$8="On",(('Net zero supporting data'!X135*EF!$H7)+('Net zero supporting data'!X125*'Net zero supporting data'!X145))*kgtoGg,"ERROR"))</f>
        <v>376.60113738687863</v>
      </c>
      <c r="AH465" s="93">
        <f>IF('Net zero activities &amp; levers'!$C$8="Off",('Activity data'!BA8*EF!$H7)*kgtoGg,IF('Net zero activities &amp; levers'!$C$8="On",(('Net zero supporting data'!Y135*EF!$H7)+('Net zero supporting data'!Y125*'Net zero supporting data'!Y145))*kgtoGg,"ERROR"))</f>
        <v>377.26924595680856</v>
      </c>
      <c r="AI465" s="93">
        <f>IF('Net zero activities &amp; levers'!$C$8="Off",('Activity data'!BB8*EF!$H7)*kgtoGg,IF('Net zero activities &amp; levers'!$C$8="On",(('Net zero supporting data'!Z135*EF!$H7)+('Net zero supporting data'!Z125*'Net zero supporting data'!Z145))*kgtoGg,"ERROR"))</f>
        <v>377.25609911137258</v>
      </c>
      <c r="AJ465" s="93">
        <f>IF('Net zero activities &amp; levers'!$C$8="Off",('Activity data'!BC8*EF!$H7)*kgtoGg,IF('Net zero activities &amp; levers'!$C$8="On",(('Net zero supporting data'!AA135*EF!$H7)+('Net zero supporting data'!AA125*'Net zero supporting data'!AA145))*kgtoGg,"ERROR"))</f>
        <v>377.87426087886342</v>
      </c>
      <c r="AK465" s="93">
        <f>IF('Net zero activities &amp; levers'!$C$8="Off",('Activity data'!BD8*EF!$H7)*kgtoGg,IF('Net zero activities &amp; levers'!$C$8="On",(('Net zero supporting data'!AB135*EF!$H7)+('Net zero supporting data'!AB125*'Net zero supporting data'!AB145))*kgtoGg,"ERROR"))</f>
        <v>377.82132752645435</v>
      </c>
      <c r="AL465" s="93">
        <f>IF('Net zero activities &amp; levers'!$C$8="Off",('Activity data'!BE8*EF!$H7)*kgtoGg,IF('Net zero activities &amp; levers'!$C$8="On",(('Net zero supporting data'!AC135*EF!$H7)+('Net zero supporting data'!AC125*'Net zero supporting data'!AC145))*kgtoGg,"ERROR"))</f>
        <v>377.95300429159624</v>
      </c>
      <c r="AM465" s="93">
        <f>IF('Net zero activities &amp; levers'!$C$8="Off",('Activity data'!BF8*EF!$H7)*kgtoGg,IF('Net zero activities &amp; levers'!$C$8="On",(('Net zero supporting data'!AD135*EF!$H7)+('Net zero supporting data'!AD125*'Net zero supporting data'!AD145))*kgtoGg,"ERROR"))</f>
        <v>377.82299551992918</v>
      </c>
      <c r="AN465" s="93">
        <f>IF('Net zero activities &amp; levers'!$C$8="Off",('Activity data'!BG8*EF!$H7)*kgtoGg,IF('Net zero activities &amp; levers'!$C$8="On",(('Net zero supporting data'!AE135*EF!$H7)+('Net zero supporting data'!AE125*'Net zero supporting data'!AE145))*kgtoGg,"ERROR"))</f>
        <v>380.5867600531638</v>
      </c>
      <c r="AO465" s="93">
        <f>IF('Net zero activities &amp; levers'!$C$8="Off",('Activity data'!BH8*EF!$H7)*kgtoGg,IF('Net zero activities &amp; levers'!$C$8="On",(('Net zero supporting data'!AF135*EF!$H7)+('Net zero supporting data'!AF125*'Net zero supporting data'!AF145))*kgtoGg,"ERROR"))</f>
        <v>382.62311156108984</v>
      </c>
      <c r="AP465" s="93">
        <f>IF('Net zero activities &amp; levers'!$C$8="Off",('Activity data'!BI8*EF!$H7)*kgtoGg,IF('Net zero activities &amp; levers'!$C$8="On",(('Net zero supporting data'!AG135*EF!$H7)+('Net zero supporting data'!AG125*'Net zero supporting data'!AG145))*kgtoGg,"ERROR"))</f>
        <v>384.54549746803849</v>
      </c>
      <c r="AQ465" s="93">
        <f>IF('Net zero activities &amp; levers'!$C$8="Off",('Activity data'!BJ8*EF!$H7)*kgtoGg,IF('Net zero activities &amp; levers'!$C$8="On",(('Net zero supporting data'!AH135*EF!$H7)+('Net zero supporting data'!AH125*'Net zero supporting data'!AH145))*kgtoGg,"ERROR"))</f>
        <v>386.49697720216847</v>
      </c>
      <c r="AR465" s="93">
        <f>IF('Net zero activities &amp; levers'!$C$8="Off",('Activity data'!BK8*EF!$H7)*kgtoGg,IF('Net zero activities &amp; levers'!$C$8="On",(('Net zero supporting data'!AI135*EF!$H7)+('Net zero supporting data'!AI125*'Net zero supporting data'!AI145))*kgtoGg,"ERROR"))</f>
        <v>388.51874869886637</v>
      </c>
      <c r="AS465" s="93">
        <f>IF('Net zero activities &amp; levers'!$C$8="Off",('Activity data'!BL8*EF!$H7)*kgtoGg,IF('Net zero activities &amp; levers'!$C$8="On",(('Net zero supporting data'!AJ135*EF!$H7)+('Net zero supporting data'!AJ125*'Net zero supporting data'!AJ145))*kgtoGg,"ERROR"))</f>
        <v>391.65785192566483</v>
      </c>
      <c r="AT465" s="93">
        <f>IF('Net zero activities &amp; levers'!$C$8="Off",('Activity data'!BM8*EF!$H7)*kgtoGg,IF('Net zero activities &amp; levers'!$C$8="On",(('Net zero supporting data'!AK135*EF!$H7)+('Net zero supporting data'!AK125*'Net zero supporting data'!AK145))*kgtoGg,"ERROR"))</f>
        <v>390.84199320462665</v>
      </c>
      <c r="AU465" s="93">
        <f>IF('Net zero activities &amp; levers'!$C$8="Off",('Activity data'!BN8*EF!$H7)*kgtoGg,IF('Net zero activities &amp; levers'!$C$8="On",(('Net zero supporting data'!AL135*EF!$H7)+('Net zero supporting data'!AL125*'Net zero supporting data'!AL145))*kgtoGg,"ERROR"))</f>
        <v>389.59177321678101</v>
      </c>
      <c r="AV465" s="93">
        <f>IF('Net zero activities &amp; levers'!$C$8="Off",('Activity data'!BO8*EF!$H7)*kgtoGg,IF('Net zero activities &amp; levers'!$C$8="On",(('Net zero supporting data'!AM135*EF!$H7)+('Net zero supporting data'!AM125*'Net zero supporting data'!AM145))*kgtoGg,"ERROR"))</f>
        <v>388.29461583589608</v>
      </c>
      <c r="AW465" s="93">
        <f>IF('Net zero activities &amp; levers'!$C$8="Off",('Activity data'!BP8*EF!$H7)*kgtoGg,IF('Net zero activities &amp; levers'!$C$8="On",(('Net zero supporting data'!AN135*EF!$H7)+('Net zero supporting data'!AN125*'Net zero supporting data'!AN145))*kgtoGg,"ERROR"))</f>
        <v>386.78890764266907</v>
      </c>
      <c r="AY465" s="79"/>
    </row>
    <row r="466" spans="1:51" x14ac:dyDescent="0.2">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326.20040935577742</v>
      </c>
      <c r="L466" s="93">
        <f>IF('Net zero activities &amp; levers'!$C$8="Off",('Activity data'!AE9*EF!$H8)*kgtoGg,IF('Net zero activities &amp; levers'!$C$8="On",(('Net zero supporting data'!C136*EF!$H8)+('Net zero supporting data'!C126*'Net zero supporting data'!C146))*kgtoGg,"ERROR"))</f>
        <v>323.37137738012325</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311.74352945546798</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258.54287615936238</v>
      </c>
      <c r="T466" s="93">
        <f>IF('Net zero activities &amp; levers'!$C$8="Off",('Activity data'!AM9*EF!$H8)*kgtoGg,IF('Net zero activities &amp; levers'!$C$8="On",(('Net zero supporting data'!K136*EF!$H8)+('Net zero supporting data'!K126*'Net zero supporting data'!K146))*kgtoGg,"ERROR"))</f>
        <v>263.37074030924487</v>
      </c>
      <c r="U466" s="93">
        <f>IF('Net zero activities &amp; levers'!$C$8="Off",('Activity data'!AN9*EF!$H8)*kgtoGg,IF('Net zero activities &amp; levers'!$C$8="On",(('Net zero supporting data'!L136*EF!$H8)+('Net zero supporting data'!L126*'Net zero supporting data'!L146))*kgtoGg,"ERROR"))</f>
        <v>265.66295243019488</v>
      </c>
      <c r="V466" s="93">
        <f>IF('Net zero activities &amp; levers'!$C$8="Off",('Activity data'!AO9*EF!$H8)*kgtoGg,IF('Net zero activities &amp; levers'!$C$8="On",(('Net zero supporting data'!M136*EF!$H8)+('Net zero supporting data'!M126*'Net zero supporting data'!M146))*kgtoGg,"ERROR"))</f>
        <v>267.11596950829903</v>
      </c>
      <c r="W466" s="93">
        <f>IF('Net zero activities &amp; levers'!$C$8="Off",('Activity data'!AP9*EF!$H8)*kgtoGg,IF('Net zero activities &amp; levers'!$C$8="On",(('Net zero supporting data'!N136*EF!$H8)+('Net zero supporting data'!N126*'Net zero supporting data'!N146))*kgtoGg,"ERROR"))</f>
        <v>269.24466759099863</v>
      </c>
      <c r="X466" s="93">
        <f>IF('Net zero activities &amp; levers'!$C$8="Off",('Activity data'!AQ9*EF!$H8)*kgtoGg,IF('Net zero activities &amp; levers'!$C$8="On",(('Net zero supporting data'!O136*EF!$H8)+('Net zero supporting data'!O126*'Net zero supporting data'!O146))*kgtoGg,"ERROR"))</f>
        <v>270.59325659421961</v>
      </c>
      <c r="Y466" s="93">
        <f>IF('Net zero activities &amp; levers'!$C$8="Off",('Activity data'!AR9*EF!$H8)*kgtoGg,IF('Net zero activities &amp; levers'!$C$8="On",(('Net zero supporting data'!P136*EF!$H8)+('Net zero supporting data'!P126*'Net zero supporting data'!P146))*kgtoGg,"ERROR"))</f>
        <v>270.88080317078789</v>
      </c>
      <c r="Z466" s="93">
        <f>IF('Net zero activities &amp; levers'!$C$8="Off",('Activity data'!AS9*EF!$H8)*kgtoGg,IF('Net zero activities &amp; levers'!$C$8="On",(('Net zero supporting data'!Q136*EF!$H8)+('Net zero supporting data'!Q126*'Net zero supporting data'!Q146))*kgtoGg,"ERROR"))</f>
        <v>270.62100761453365</v>
      </c>
      <c r="AA466" s="93">
        <f>IF('Net zero activities &amp; levers'!$C$8="Off",('Activity data'!AT9*EF!$H8)*kgtoGg,IF('Net zero activities &amp; levers'!$C$8="On",(('Net zero supporting data'!R136*EF!$H8)+('Net zero supporting data'!R126*'Net zero supporting data'!R146))*kgtoGg,"ERROR"))</f>
        <v>269.71310018473025</v>
      </c>
      <c r="AB466" s="93">
        <f>IF('Net zero activities &amp; levers'!$C$8="Off",('Activity data'!AU9*EF!$H8)*kgtoGg,IF('Net zero activities &amp; levers'!$C$8="On",(('Net zero supporting data'!S136*EF!$H8)+('Net zero supporting data'!S126*'Net zero supporting data'!S146))*kgtoGg,"ERROR"))</f>
        <v>270.02201273439948</v>
      </c>
      <c r="AC466" s="93">
        <f>IF('Net zero activities &amp; levers'!$C$8="Off",('Activity data'!AV9*EF!$H8)*kgtoGg,IF('Net zero activities &amp; levers'!$C$8="On",(('Net zero supporting data'!T136*EF!$H8)+('Net zero supporting data'!T126*'Net zero supporting data'!T146))*kgtoGg,"ERROR"))</f>
        <v>269.91207351678941</v>
      </c>
      <c r="AD466" s="93">
        <f>IF('Net zero activities &amp; levers'!$C$8="Off",('Activity data'!AW9*EF!$H8)*kgtoGg,IF('Net zero activities &amp; levers'!$C$8="On",(('Net zero supporting data'!U136*EF!$H8)+('Net zero supporting data'!U126*'Net zero supporting data'!U146))*kgtoGg,"ERROR"))</f>
        <v>268.95020793558916</v>
      </c>
      <c r="AE466" s="93">
        <f>IF('Net zero activities &amp; levers'!$C$8="Off",('Activity data'!AX9*EF!$H8)*kgtoGg,IF('Net zero activities &amp; levers'!$C$8="On",(('Net zero supporting data'!V136*EF!$H8)+('Net zero supporting data'!V126*'Net zero supporting data'!V146))*kgtoGg,"ERROR"))</f>
        <v>269.1652501751114</v>
      </c>
      <c r="AF466" s="93">
        <f>IF('Net zero activities &amp; levers'!$C$8="Off",('Activity data'!AY9*EF!$H8)*kgtoGg,IF('Net zero activities &amp; levers'!$C$8="On",(('Net zero supporting data'!W136*EF!$H8)+('Net zero supporting data'!W126*'Net zero supporting data'!W146))*kgtoGg,"ERROR"))</f>
        <v>269.78769523089812</v>
      </c>
      <c r="AG466" s="93">
        <f>IF('Net zero activities &amp; levers'!$C$8="Off",('Activity data'!AZ9*EF!$H8)*kgtoGg,IF('Net zero activities &amp; levers'!$C$8="On",(('Net zero supporting data'!X136*EF!$H8)+('Net zero supporting data'!X126*'Net zero supporting data'!X146))*kgtoGg,"ERROR"))</f>
        <v>271.53424393563688</v>
      </c>
      <c r="AH466" s="93">
        <f>IF('Net zero activities &amp; levers'!$C$8="Off",('Activity data'!BA9*EF!$H8)*kgtoGg,IF('Net zero activities &amp; levers'!$C$8="On",(('Net zero supporting data'!Y136*EF!$H8)+('Net zero supporting data'!Y126*'Net zero supporting data'!Y146))*kgtoGg,"ERROR"))</f>
        <v>270.94123339317122</v>
      </c>
      <c r="AI466" s="93">
        <f>IF('Net zero activities &amp; levers'!$C$8="Off",('Activity data'!BB9*EF!$H8)*kgtoGg,IF('Net zero activities &amp; levers'!$C$8="On",(('Net zero supporting data'!Z136*EF!$H8)+('Net zero supporting data'!Z126*'Net zero supporting data'!Z146))*kgtoGg,"ERROR"))</f>
        <v>269.86885465673112</v>
      </c>
      <c r="AJ466" s="93">
        <f>IF('Net zero activities &amp; levers'!$C$8="Off",('Activity data'!BC9*EF!$H8)*kgtoGg,IF('Net zero activities &amp; levers'!$C$8="On",(('Net zero supporting data'!AA136*EF!$H8)+('Net zero supporting data'!AA126*'Net zero supporting data'!AA146))*kgtoGg,"ERROR"))</f>
        <v>269.25804183527231</v>
      </c>
      <c r="AK466" s="93">
        <f>IF('Net zero activities &amp; levers'!$C$8="Off",('Activity data'!BD9*EF!$H8)*kgtoGg,IF('Net zero activities &amp; levers'!$C$8="On",(('Net zero supporting data'!AB136*EF!$H8)+('Net zero supporting data'!AB126*'Net zero supporting data'!AB146))*kgtoGg,"ERROR"))</f>
        <v>268.17901993185382</v>
      </c>
      <c r="AL466" s="93">
        <f>IF('Net zero activities &amp; levers'!$C$8="Off",('Activity data'!BE9*EF!$H8)*kgtoGg,IF('Net zero activities &amp; levers'!$C$8="On",(('Net zero supporting data'!AC136*EF!$H8)+('Net zero supporting data'!AC126*'Net zero supporting data'!AC146))*kgtoGg,"ERROR"))</f>
        <v>267.24228134523207</v>
      </c>
      <c r="AM466" s="93">
        <f>IF('Net zero activities &amp; levers'!$C$8="Off",('Activity data'!BF9*EF!$H8)*kgtoGg,IF('Net zero activities &amp; levers'!$C$8="On",(('Net zero supporting data'!AD136*EF!$H8)+('Net zero supporting data'!AD126*'Net zero supporting data'!AD146))*kgtoGg,"ERROR"))</f>
        <v>266.13186430869399</v>
      </c>
      <c r="AN466" s="93">
        <f>IF('Net zero activities &amp; levers'!$C$8="Off",('Activity data'!BG9*EF!$H8)*kgtoGg,IF('Net zero activities &amp; levers'!$C$8="On",(('Net zero supporting data'!AE136*EF!$H8)+('Net zero supporting data'!AE126*'Net zero supporting data'!AE146))*kgtoGg,"ERROR"))</f>
        <v>268.07847260495765</v>
      </c>
      <c r="AO466" s="93">
        <f>IF('Net zero activities &amp; levers'!$C$8="Off",('Activity data'!BH9*EF!$H8)*kgtoGg,IF('Net zero activities &amp; levers'!$C$8="On",(('Net zero supporting data'!AF136*EF!$H8)+('Net zero supporting data'!AF126*'Net zero supporting data'!AF146))*kgtoGg,"ERROR"))</f>
        <v>269.51270252959529</v>
      </c>
      <c r="AP466" s="93">
        <f>IF('Net zero activities &amp; levers'!$C$8="Off",('Activity data'!BI9*EF!$H8)*kgtoGg,IF('Net zero activities &amp; levers'!$C$8="On",(('Net zero supporting data'!AG136*EF!$H8)+('Net zero supporting data'!AG126*'Net zero supporting data'!AG146))*kgtoGg,"ERROR"))</f>
        <v>270.86665577027509</v>
      </c>
      <c r="AQ466" s="93">
        <f>IF('Net zero activities &amp; levers'!$C$8="Off",('Activity data'!BJ9*EF!$H8)*kgtoGg,IF('Net zero activities &amp; levers'!$C$8="On",(('Net zero supporting data'!AH136*EF!$H8)+('Net zero supporting data'!AH126*'Net zero supporting data'!AH146))*kgtoGg,"ERROR"))</f>
        <v>272.2411007854015</v>
      </c>
      <c r="AR466" s="93">
        <f>IF('Net zero activities &amp; levers'!$C$8="Off",('Activity data'!BK9*EF!$H8)*kgtoGg,IF('Net zero activities &amp; levers'!$C$8="On",(('Net zero supporting data'!AI136*EF!$H8)+('Net zero supporting data'!AI126*'Net zero supporting data'!AI146))*kgtoGg,"ERROR"))</f>
        <v>273.66505656883737</v>
      </c>
      <c r="AS466" s="93">
        <f>IF('Net zero activities &amp; levers'!$C$8="Off",('Activity data'!BL9*EF!$H8)*kgtoGg,IF('Net zero activities &amp; levers'!$C$8="On",(('Net zero supporting data'!AJ136*EF!$H8)+('Net zero supporting data'!AJ126*'Net zero supporting data'!AJ146))*kgtoGg,"ERROR"))</f>
        <v>275.87603726930729</v>
      </c>
      <c r="AT466" s="93">
        <f>IF('Net zero activities &amp; levers'!$C$8="Off",('Activity data'!BM9*EF!$H8)*kgtoGg,IF('Net zero activities &amp; levers'!$C$8="On",(('Net zero supporting data'!AK136*EF!$H8)+('Net zero supporting data'!AK126*'Net zero supporting data'!AK146))*kgtoGg,"ERROR"))</f>
        <v>275.30122026278082</v>
      </c>
      <c r="AU466" s="93">
        <f>IF('Net zero activities &amp; levers'!$C$8="Off",('Activity data'!BN9*EF!$H8)*kgtoGg,IF('Net zero activities &amp; levers'!$C$8="On",(('Net zero supporting data'!AL136*EF!$H8)+('Net zero supporting data'!AL126*'Net zero supporting data'!AL146))*kgtoGg,"ERROR"))</f>
        <v>274.42044872786948</v>
      </c>
      <c r="AV466" s="93">
        <f>IF('Net zero activities &amp; levers'!$C$8="Off",('Activity data'!BO9*EF!$H8)*kgtoGg,IF('Net zero activities &amp; levers'!$C$8="On",(('Net zero supporting data'!AM136*EF!$H8)+('Net zero supporting data'!AM126*'Net zero supporting data'!AM146))*kgtoGg,"ERROR"))</f>
        <v>273.50661642230432</v>
      </c>
      <c r="AW466" s="93">
        <f>IF('Net zero activities &amp; levers'!$C$8="Off",('Activity data'!BP9*EF!$H8)*kgtoGg,IF('Net zero activities &amp; levers'!$C$8="On",(('Net zero supporting data'!AN136*EF!$H8)+('Net zero supporting data'!AN126*'Net zero supporting data'!AN146))*kgtoGg,"ERROR"))</f>
        <v>272.44588633903493</v>
      </c>
      <c r="AY466" s="79"/>
    </row>
    <row r="467" spans="1:51" x14ac:dyDescent="0.2">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32.967337371253549</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35.929559405213347</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34.950230908345851</v>
      </c>
      <c r="T467" s="93">
        <f>IF('Net zero activities &amp; levers'!$C$8="Off",('Activity data'!AM10*EF!$H9)*kgtoGg,IF('Net zero activities &amp; levers'!$C$8="On",(('Net zero supporting data'!K137*EF!$H9)+('Net zero supporting data'!K127*'Net zero supporting data'!K147))*kgtoGg,"ERROR"))</f>
        <v>36.430290612707758</v>
      </c>
      <c r="U467" s="93">
        <f>IF('Net zero activities &amp; levers'!$C$8="Off",('Activity data'!AN10*EF!$H9)*kgtoGg,IF('Net zero activities &amp; levers'!$C$8="On",(('Net zero supporting data'!L137*EF!$H9)+('Net zero supporting data'!L127*'Net zero supporting data'!L147))*kgtoGg,"ERROR"))</f>
        <v>37.526477690178481</v>
      </c>
      <c r="V467" s="93">
        <f>IF('Net zero activities &amp; levers'!$C$8="Off",('Activity data'!AO10*EF!$H9)*kgtoGg,IF('Net zero activities &amp; levers'!$C$8="On",(('Net zero supporting data'!M137*EF!$H9)+('Net zero supporting data'!M127*'Net zero supporting data'!M147))*kgtoGg,"ERROR"))</f>
        <v>38.455246341869753</v>
      </c>
      <c r="W467" s="93">
        <f>IF('Net zero activities &amp; levers'!$C$8="Off",('Activity data'!AP10*EF!$H9)*kgtoGg,IF('Net zero activities &amp; levers'!$C$8="On",(('Net zero supporting data'!N137*EF!$H9)+('Net zero supporting data'!N127*'Net zero supporting data'!N147))*kgtoGg,"ERROR"))</f>
        <v>39.426062460077461</v>
      </c>
      <c r="X467" s="93">
        <f>IF('Net zero activities &amp; levers'!$C$8="Off",('Activity data'!AQ10*EF!$H9)*kgtoGg,IF('Net zero activities &amp; levers'!$C$8="On",(('Net zero supporting data'!O137*EF!$H9)+('Net zero supporting data'!O127*'Net zero supporting data'!O147))*kgtoGg,"ERROR"))</f>
        <v>40.220821045430874</v>
      </c>
      <c r="Y467" s="93">
        <f>IF('Net zero activities &amp; levers'!$C$8="Off",('Activity data'!AR10*EF!$H9)*kgtoGg,IF('Net zero activities &amp; levers'!$C$8="On",(('Net zero supporting data'!P137*EF!$H9)+('Net zero supporting data'!P127*'Net zero supporting data'!P147))*kgtoGg,"ERROR"))</f>
        <v>40.785266412680045</v>
      </c>
      <c r="Z467" s="93">
        <f>IF('Net zero activities &amp; levers'!$C$8="Off",('Activity data'!AS10*EF!$H9)*kgtoGg,IF('Net zero activities &amp; levers'!$C$8="On",(('Net zero supporting data'!Q137*EF!$H9)+('Net zero supporting data'!Q127*'Net zero supporting data'!Q147))*kgtoGg,"ERROR"))</f>
        <v>41.184871572354346</v>
      </c>
      <c r="AA467" s="93">
        <f>IF('Net zero activities &amp; levers'!$C$8="Off",('Activity data'!AT10*EF!$H9)*kgtoGg,IF('Net zero activities &amp; levers'!$C$8="On",(('Net zero supporting data'!R137*EF!$H9)+('Net zero supporting data'!R127*'Net zero supporting data'!R147))*kgtoGg,"ERROR"))</f>
        <v>41.394759149431749</v>
      </c>
      <c r="AB467" s="93">
        <f>IF('Net zero activities &amp; levers'!$C$8="Off",('Activity data'!AU10*EF!$H9)*kgtoGg,IF('Net zero activities &amp; levers'!$C$8="On",(('Net zero supporting data'!S137*EF!$H9)+('Net zero supporting data'!S127*'Net zero supporting data'!S147))*kgtoGg,"ERROR"))</f>
        <v>41.693627741249983</v>
      </c>
      <c r="AC467" s="93">
        <f>IF('Net zero activities &amp; levers'!$C$8="Off",('Activity data'!AV10*EF!$H9)*kgtoGg,IF('Net zero activities &amp; levers'!$C$8="On",(('Net zero supporting data'!T137*EF!$H9)+('Net zero supporting data'!T127*'Net zero supporting data'!T147))*kgtoGg,"ERROR"))</f>
        <v>41.822570970818838</v>
      </c>
      <c r="AD467" s="93">
        <f>IF('Net zero activities &amp; levers'!$C$8="Off",('Activity data'!AW10*EF!$H9)*kgtoGg,IF('Net zero activities &amp; levers'!$C$8="On",(('Net zero supporting data'!U137*EF!$H9)+('Net zero supporting data'!U127*'Net zero supporting data'!U147))*kgtoGg,"ERROR"))</f>
        <v>43.231561229626287</v>
      </c>
      <c r="AE467" s="93">
        <f>IF('Net zero activities &amp; levers'!$C$8="Off",('Activity data'!AX10*EF!$H9)*kgtoGg,IF('Net zero activities &amp; levers'!$C$8="On",(('Net zero supporting data'!V137*EF!$H9)+('Net zero supporting data'!V127*'Net zero supporting data'!V147))*kgtoGg,"ERROR"))</f>
        <v>44.885200843989288</v>
      </c>
      <c r="AF467" s="93">
        <f>IF('Net zero activities &amp; levers'!$C$8="Off",('Activity data'!AY10*EF!$H9)*kgtoGg,IF('Net zero activities &amp; levers'!$C$8="On",(('Net zero supporting data'!W137*EF!$H9)+('Net zero supporting data'!W127*'Net zero supporting data'!W147))*kgtoGg,"ERROR"))</f>
        <v>46.675065191986455</v>
      </c>
      <c r="AG467" s="93">
        <f>IF('Net zero activities &amp; levers'!$C$8="Off",('Activity data'!AZ10*EF!$H9)*kgtoGg,IF('Net zero activities &amp; levers'!$C$8="On",(('Net zero supporting data'!X137*EF!$H9)+('Net zero supporting data'!X127*'Net zero supporting data'!X147))*kgtoGg,"ERROR"))</f>
        <v>48.741434290603188</v>
      </c>
      <c r="AH467" s="93">
        <f>IF('Net zero activities &amp; levers'!$C$8="Off",('Activity data'!BA10*EF!$H9)*kgtoGg,IF('Net zero activities &amp; levers'!$C$8="On",(('Net zero supporting data'!Y137*EF!$H9)+('Net zero supporting data'!Y127*'Net zero supporting data'!Y147))*kgtoGg,"ERROR"))</f>
        <v>50.466216897915203</v>
      </c>
      <c r="AI467" s="93">
        <f>IF('Net zero activities &amp; levers'!$C$8="Off",('Activity data'!BB10*EF!$H9)*kgtoGg,IF('Net zero activities &amp; levers'!$C$8="On",(('Net zero supporting data'!Z137*EF!$H9)+('Net zero supporting data'!Z127*'Net zero supporting data'!Z147))*kgtoGg,"ERROR"))</f>
        <v>52.165112770150415</v>
      </c>
      <c r="AJ467" s="93">
        <f>IF('Net zero activities &amp; levers'!$C$8="Off",('Activity data'!BC10*EF!$H9)*kgtoGg,IF('Net zero activities &amp; levers'!$C$8="On",(('Net zero supporting data'!AA137*EF!$H9)+('Net zero supporting data'!AA127*'Net zero supporting data'!AA147))*kgtoGg,"ERROR"))</f>
        <v>54.02022253964828</v>
      </c>
      <c r="AK467" s="93">
        <f>IF('Net zero activities &amp; levers'!$C$8="Off",('Activity data'!BD10*EF!$H9)*kgtoGg,IF('Net zero activities &amp; levers'!$C$8="On",(('Net zero supporting data'!AB137*EF!$H9)+('Net zero supporting data'!AB127*'Net zero supporting data'!AB147))*kgtoGg,"ERROR"))</f>
        <v>55.852189131914677</v>
      </c>
      <c r="AL467" s="93">
        <f>IF('Net zero activities &amp; levers'!$C$8="Off",('Activity data'!BE10*EF!$H9)*kgtoGg,IF('Net zero activities &amp; levers'!$C$8="On",(('Net zero supporting data'!AC137*EF!$H9)+('Net zero supporting data'!AC127*'Net zero supporting data'!AC147))*kgtoGg,"ERROR"))</f>
        <v>57.786271331253687</v>
      </c>
      <c r="AM467" s="93">
        <f>IF('Net zero activities &amp; levers'!$C$8="Off",('Activity data'!BF10*EF!$H9)*kgtoGg,IF('Net zero activities &amp; levers'!$C$8="On",(('Net zero supporting data'!AD137*EF!$H9)+('Net zero supporting data'!AD127*'Net zero supporting data'!AD147))*kgtoGg,"ERROR"))</f>
        <v>59.75936935040491</v>
      </c>
      <c r="AN467" s="93">
        <f>IF('Net zero activities &amp; levers'!$C$8="Off",('Activity data'!BG10*EF!$H9)*kgtoGg,IF('Net zero activities &amp; levers'!$C$8="On",(('Net zero supporting data'!AE137*EF!$H9)+('Net zero supporting data'!AE127*'Net zero supporting data'!AE147))*kgtoGg,"ERROR"))</f>
        <v>61.895395687024624</v>
      </c>
      <c r="AO467" s="93">
        <f>IF('Net zero activities &amp; levers'!$C$8="Off",('Activity data'!BH10*EF!$H9)*kgtoGg,IF('Net zero activities &amp; levers'!$C$8="On",(('Net zero supporting data'!AF137*EF!$H9)+('Net zero supporting data'!AF127*'Net zero supporting data'!AF147))*kgtoGg,"ERROR"))</f>
        <v>63.988802301303622</v>
      </c>
      <c r="AP467" s="93">
        <f>IF('Net zero activities &amp; levers'!$C$8="Off",('Activity data'!BI10*EF!$H9)*kgtoGg,IF('Net zero activities &amp; levers'!$C$8="On",(('Net zero supporting data'!AG137*EF!$H9)+('Net zero supporting data'!AG127*'Net zero supporting data'!AG147))*kgtoGg,"ERROR"))</f>
        <v>66.138610959885796</v>
      </c>
      <c r="AQ467" s="93">
        <f>IF('Net zero activities &amp; levers'!$C$8="Off",('Activity data'!BJ10*EF!$H9)*kgtoGg,IF('Net zero activities &amp; levers'!$C$8="On",(('Net zero supporting data'!AH137*EF!$H9)+('Net zero supporting data'!AH127*'Net zero supporting data'!AH147))*kgtoGg,"ERROR"))</f>
        <v>68.372243796449055</v>
      </c>
      <c r="AR467" s="93">
        <f>IF('Net zero activities &amp; levers'!$C$8="Off",('Activity data'!BK10*EF!$H9)*kgtoGg,IF('Net zero activities &amp; levers'!$C$8="On",(('Net zero supporting data'!AI137*EF!$H9)+('Net zero supporting data'!AI127*'Net zero supporting data'!AI147))*kgtoGg,"ERROR"))</f>
        <v>70.701620659979866</v>
      </c>
      <c r="AS467" s="93">
        <f>IF('Net zero activities &amp; levers'!$C$8="Off",('Activity data'!BL10*EF!$H9)*kgtoGg,IF('Net zero activities &amp; levers'!$C$8="On",(('Net zero supporting data'!AJ137*EF!$H9)+('Net zero supporting data'!AJ127*'Net zero supporting data'!AJ147))*kgtoGg,"ERROR"))</f>
        <v>73.328133947606815</v>
      </c>
      <c r="AT467" s="93">
        <f>IF('Net zero activities &amp; levers'!$C$8="Off",('Activity data'!BM10*EF!$H9)*kgtoGg,IF('Net zero activities &amp; levers'!$C$8="On",(('Net zero supporting data'!AK137*EF!$H9)+('Net zero supporting data'!AK127*'Net zero supporting data'!AK147))*kgtoGg,"ERROR"))</f>
        <v>75.297357710031307</v>
      </c>
      <c r="AU467" s="93">
        <f>IF('Net zero activities &amp; levers'!$C$8="Off",('Activity data'!BN10*EF!$H9)*kgtoGg,IF('Net zero activities &amp; levers'!$C$8="On",(('Net zero supporting data'!AL137*EF!$H9)+('Net zero supporting data'!AL127*'Net zero supporting data'!AL147))*kgtoGg,"ERROR"))</f>
        <v>77.246175918216323</v>
      </c>
      <c r="AV467" s="93">
        <f>IF('Net zero activities &amp; levers'!$C$8="Off",('Activity data'!BO10*EF!$H9)*kgtoGg,IF('Net zero activities &amp; levers'!$C$8="On",(('Net zero supporting data'!AM137*EF!$H9)+('Net zero supporting data'!AM127*'Net zero supporting data'!AM147))*kgtoGg,"ERROR"))</f>
        <v>79.249589756566095</v>
      </c>
      <c r="AW467" s="93">
        <f>IF('Net zero activities &amp; levers'!$C$8="Off",('Activity data'!BP10*EF!$H9)*kgtoGg,IF('Net zero activities &amp; levers'!$C$8="On",(('Net zero supporting data'!AN137*EF!$H9)+('Net zero supporting data'!AN127*'Net zero supporting data'!AN147))*kgtoGg,"ERROR"))</f>
        <v>81.276271081048847</v>
      </c>
      <c r="AY467" s="79"/>
    </row>
    <row r="468" spans="1:51" x14ac:dyDescent="0.2">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135.26278530113291</v>
      </c>
      <c r="T468" s="93">
        <f>IF('Net zero activities &amp; levers'!$C$8="Off",('Activity data'!AM11*EF!$H10)*kgtoGg,IF('Net zero activities &amp; levers'!$C$8="On",(('Net zero supporting data'!K138*EF!$H10)+('Net zero supporting data'!K128*'Net zero supporting data'!K148))*kgtoGg,"ERROR"))</f>
        <v>135.34689734942043</v>
      </c>
      <c r="U468" s="93">
        <f>IF('Net zero activities &amp; levers'!$C$8="Off",('Activity data'!AN11*EF!$H10)*kgtoGg,IF('Net zero activities &amp; levers'!$C$8="On",(('Net zero supporting data'!L138*EF!$H10)+('Net zero supporting data'!L128*'Net zero supporting data'!L148))*kgtoGg,"ERROR"))</f>
        <v>135.2168188685431</v>
      </c>
      <c r="V468" s="93">
        <f>IF('Net zero activities &amp; levers'!$C$8="Off",('Activity data'!AO11*EF!$H10)*kgtoGg,IF('Net zero activities &amp; levers'!$C$8="On",(('Net zero supporting data'!M138*EF!$H10)+('Net zero supporting data'!M128*'Net zero supporting data'!M148))*kgtoGg,"ERROR"))</f>
        <v>134.87948968399303</v>
      </c>
      <c r="W468" s="93">
        <f>IF('Net zero activities &amp; levers'!$C$8="Off",('Activity data'!AP11*EF!$H10)*kgtoGg,IF('Net zero activities &amp; levers'!$C$8="On",(('Net zero supporting data'!N138*EF!$H10)+('Net zero supporting data'!N128*'Net zero supporting data'!N148))*kgtoGg,"ERROR"))</f>
        <v>134.34142427282171</v>
      </c>
      <c r="X468" s="93">
        <f>IF('Net zero activities &amp; levers'!$C$8="Off",('Activity data'!AQ11*EF!$H10)*kgtoGg,IF('Net zero activities &amp; levers'!$C$8="On",(('Net zero supporting data'!O138*EF!$H10)+('Net zero supporting data'!O128*'Net zero supporting data'!O148))*kgtoGg,"ERROR"))</f>
        <v>133.59972726009542</v>
      </c>
      <c r="Y468" s="93">
        <f>IF('Net zero activities &amp; levers'!$C$8="Off",('Activity data'!AR11*EF!$H10)*kgtoGg,IF('Net zero activities &amp; levers'!$C$8="On",(('Net zero supporting data'!P138*EF!$H10)+('Net zero supporting data'!P128*'Net zero supporting data'!P148))*kgtoGg,"ERROR"))</f>
        <v>132.50923539285219</v>
      </c>
      <c r="Z468" s="93">
        <f>IF('Net zero activities &amp; levers'!$C$8="Off",('Activity data'!AS11*EF!$H10)*kgtoGg,IF('Net zero activities &amp; levers'!$C$8="On",(('Net zero supporting data'!Q138*EF!$H10)+('Net zero supporting data'!Q128*'Net zero supporting data'!Q148))*kgtoGg,"ERROR"))</f>
        <v>131.22040752991435</v>
      </c>
      <c r="AA468" s="93">
        <f>IF('Net zero activities &amp; levers'!$C$8="Off",('Activity data'!AT11*EF!$H10)*kgtoGg,IF('Net zero activities &amp; levers'!$C$8="On",(('Net zero supporting data'!R138*EF!$H10)+('Net zero supporting data'!R128*'Net zero supporting data'!R148))*kgtoGg,"ERROR"))</f>
        <v>129.73488278943117</v>
      </c>
      <c r="AB468" s="93">
        <f>IF('Net zero activities &amp; levers'!$C$8="Off",('Activity data'!AU11*EF!$H10)*kgtoGg,IF('Net zero activities &amp; levers'!$C$8="On",(('Net zero supporting data'!S138*EF!$H10)+('Net zero supporting data'!S128*'Net zero supporting data'!S148))*kgtoGg,"ERROR"))</f>
        <v>128.06066919551998</v>
      </c>
      <c r="AC468" s="93">
        <f>IF('Net zero activities &amp; levers'!$C$8="Off",('Activity data'!AV11*EF!$H10)*kgtoGg,IF('Net zero activities &amp; levers'!$C$8="On",(('Net zero supporting data'!T138*EF!$H10)+('Net zero supporting data'!T128*'Net zero supporting data'!T148))*kgtoGg,"ERROR"))</f>
        <v>126.19419859067889</v>
      </c>
      <c r="AD468" s="93">
        <f>IF('Net zero activities &amp; levers'!$C$8="Off",('Activity data'!AW11*EF!$H10)*kgtoGg,IF('Net zero activities &amp; levers'!$C$8="On",(('Net zero supporting data'!U138*EF!$H10)+('Net zero supporting data'!U128*'Net zero supporting data'!U148))*kgtoGg,"ERROR"))</f>
        <v>126.36597472966226</v>
      </c>
      <c r="AE468" s="93">
        <f>IF('Net zero activities &amp; levers'!$C$8="Off",('Activity data'!AX11*EF!$H10)*kgtoGg,IF('Net zero activities &amp; levers'!$C$8="On",(('Net zero supporting data'!V138*EF!$H10)+('Net zero supporting data'!V128*'Net zero supporting data'!V148))*kgtoGg,"ERROR"))</f>
        <v>126.55879421338227</v>
      </c>
      <c r="AF468" s="93">
        <f>IF('Net zero activities &amp; levers'!$C$8="Off",('Activity data'!AY11*EF!$H10)*kgtoGg,IF('Net zero activities &amp; levers'!$C$8="On",(('Net zero supporting data'!W138*EF!$H10)+('Net zero supporting data'!W128*'Net zero supporting data'!W148))*kgtoGg,"ERROR"))</f>
        <v>126.76957671565779</v>
      </c>
      <c r="AG468" s="93">
        <f>IF('Net zero activities &amp; levers'!$C$8="Off",('Activity data'!AZ11*EF!$H10)*kgtoGg,IF('Net zero activities &amp; levers'!$C$8="On",(('Net zero supporting data'!X138*EF!$H10)+('Net zero supporting data'!X128*'Net zero supporting data'!X148))*kgtoGg,"ERROR"))</f>
        <v>127.00051125938612</v>
      </c>
      <c r="AH468" s="93">
        <f>IF('Net zero activities &amp; levers'!$C$8="Off",('Activity data'!BA11*EF!$H10)*kgtoGg,IF('Net zero activities &amp; levers'!$C$8="On",(('Net zero supporting data'!Y138*EF!$H10)+('Net zero supporting data'!Y128*'Net zero supporting data'!Y148))*kgtoGg,"ERROR"))</f>
        <v>127.2382808420066</v>
      </c>
      <c r="AI468" s="93">
        <f>IF('Net zero activities &amp; levers'!$C$8="Off",('Activity data'!BB11*EF!$H10)*kgtoGg,IF('Net zero activities &amp; levers'!$C$8="On",(('Net zero supporting data'!Z138*EF!$H10)+('Net zero supporting data'!Z128*'Net zero supporting data'!Z148))*kgtoGg,"ERROR"))</f>
        <v>127.38400391343852</v>
      </c>
      <c r="AJ468" s="93">
        <f>IF('Net zero activities &amp; levers'!$C$8="Off",('Activity data'!BC11*EF!$H10)*kgtoGg,IF('Net zero activities &amp; levers'!$C$8="On",(('Net zero supporting data'!AA138*EF!$H10)+('Net zero supporting data'!AA128*'Net zero supporting data'!AA148))*kgtoGg,"ERROR"))</f>
        <v>127.54498405961918</v>
      </c>
      <c r="AK468" s="93">
        <f>IF('Net zero activities &amp; levers'!$C$8="Off",('Activity data'!BD11*EF!$H10)*kgtoGg,IF('Net zero activities &amp; levers'!$C$8="On",(('Net zero supporting data'!AB138*EF!$H10)+('Net zero supporting data'!AB128*'Net zero supporting data'!AB148))*kgtoGg,"ERROR"))</f>
        <v>127.71711776102325</v>
      </c>
      <c r="AL468" s="93">
        <f>IF('Net zero activities &amp; levers'!$C$8="Off",('Activity data'!BE11*EF!$H10)*kgtoGg,IF('Net zero activities &amp; levers'!$C$8="On",(('Net zero supporting data'!AC138*EF!$H10)+('Net zero supporting data'!AC128*'Net zero supporting data'!AC148))*kgtoGg,"ERROR"))</f>
        <v>127.90245292513647</v>
      </c>
      <c r="AM468" s="93">
        <f>IF('Net zero activities &amp; levers'!$C$8="Off",('Activity data'!BF11*EF!$H10)*kgtoGg,IF('Net zero activities &amp; levers'!$C$8="On",(('Net zero supporting data'!AD138*EF!$H10)+('Net zero supporting data'!AD128*'Net zero supporting data'!AD148))*kgtoGg,"ERROR"))</f>
        <v>128.09931477074238</v>
      </c>
      <c r="AN468" s="93">
        <f>IF('Net zero activities &amp; levers'!$C$8="Off",('Activity data'!BG11*EF!$H10)*kgtoGg,IF('Net zero activities &amp; levers'!$C$8="On",(('Net zero supporting data'!AE138*EF!$H10)+('Net zero supporting data'!AE128*'Net zero supporting data'!AE148))*kgtoGg,"ERROR"))</f>
        <v>128.21347858518436</v>
      </c>
      <c r="AO468" s="93">
        <f>IF('Net zero activities &amp; levers'!$C$8="Off",('Activity data'!BH11*EF!$H10)*kgtoGg,IF('Net zero activities &amp; levers'!$C$8="On",(('Net zero supporting data'!AF138*EF!$H10)+('Net zero supporting data'!AF128*'Net zero supporting data'!AF148))*kgtoGg,"ERROR"))</f>
        <v>128.3362765283521</v>
      </c>
      <c r="AP468" s="93">
        <f>IF('Net zero activities &amp; levers'!$C$8="Off",('Activity data'!BI11*EF!$H10)*kgtoGg,IF('Net zero activities &amp; levers'!$C$8="On",(('Net zero supporting data'!AG138*EF!$H10)+('Net zero supporting data'!AG128*'Net zero supporting data'!AG148))*kgtoGg,"ERROR"))</f>
        <v>128.46927796920525</v>
      </c>
      <c r="AQ468" s="93">
        <f>IF('Net zero activities &amp; levers'!$C$8="Off",('Activity data'!BJ11*EF!$H10)*kgtoGg,IF('Net zero activities &amp; levers'!$C$8="On",(('Net zero supporting data'!AH138*EF!$H10)+('Net zero supporting data'!AH128*'Net zero supporting data'!AH148))*kgtoGg,"ERROR"))</f>
        <v>128.61266651434815</v>
      </c>
      <c r="AR468" s="93">
        <f>IF('Net zero activities &amp; levers'!$C$8="Off",('Activity data'!BK11*EF!$H10)*kgtoGg,IF('Net zero activities &amp; levers'!$C$8="On",(('Net zero supporting data'!AI138*EF!$H10)+('Net zero supporting data'!AI128*'Net zero supporting data'!AI148))*kgtoGg,"ERROR"))</f>
        <v>128.76634192767276</v>
      </c>
      <c r="AS468" s="93">
        <f>IF('Net zero activities &amp; levers'!$C$8="Off",('Activity data'!BL11*EF!$H10)*kgtoGg,IF('Net zero activities &amp; levers'!$C$8="On",(('Net zero supporting data'!AJ138*EF!$H10)+('Net zero supporting data'!AJ128*'Net zero supporting data'!AJ148))*kgtoGg,"ERROR"))</f>
        <v>128.83505791181801</v>
      </c>
      <c r="AT468" s="93">
        <f>IF('Net zero activities &amp; levers'!$C$8="Off",('Activity data'!BM11*EF!$H10)*kgtoGg,IF('Net zero activities &amp; levers'!$C$8="On",(('Net zero supporting data'!AK138*EF!$H10)+('Net zero supporting data'!AK128*'Net zero supporting data'!AK148))*kgtoGg,"ERROR"))</f>
        <v>128.8990160927618</v>
      </c>
      <c r="AU468" s="93">
        <f>IF('Net zero activities &amp; levers'!$C$8="Off",('Activity data'!BN11*EF!$H10)*kgtoGg,IF('Net zero activities &amp; levers'!$C$8="On",(('Net zero supporting data'!AL138*EF!$H10)+('Net zero supporting data'!AL128*'Net zero supporting data'!AL148))*kgtoGg,"ERROR"))</f>
        <v>128.96992023681699</v>
      </c>
      <c r="AV468" s="93">
        <f>IF('Net zero activities &amp; levers'!$C$8="Off",('Activity data'!BO11*EF!$H10)*kgtoGg,IF('Net zero activities &amp; levers'!$C$8="On",(('Net zero supporting data'!AM138*EF!$H10)+('Net zero supporting data'!AM128*'Net zero supporting data'!AM148))*kgtoGg,"ERROR"))</f>
        <v>129.04890686848321</v>
      </c>
      <c r="AW468" s="93">
        <f>IF('Net zero activities &amp; levers'!$C$8="Off",('Activity data'!BP11*EF!$H10)*kgtoGg,IF('Net zero activities &amp; levers'!$C$8="On",(('Net zero supporting data'!AN138*EF!$H10)+('Net zero supporting data'!AN128*'Net zero supporting data'!AN148))*kgtoGg,"ERROR"))</f>
        <v>129.13516287576707</v>
      </c>
      <c r="AY468" s="79"/>
    </row>
    <row r="469" spans="1:51" x14ac:dyDescent="0.2">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14.658944228555331</v>
      </c>
      <c r="T469" s="93">
        <f>IF('Net zero activities &amp; levers'!$C$8="Off",('Activity data'!AM12*EF!$H11)*kgtoGg,IF('Net zero activities &amp; levers'!$C$8="On",(('Net zero supporting data'!K139*EF!$H11)+('Net zero supporting data'!K129*'Net zero supporting data'!K149))*kgtoGg,"ERROR"))</f>
        <v>14.67246271837864</v>
      </c>
      <c r="U469" s="93">
        <f>IF('Net zero activities &amp; levers'!$C$8="Off",('Activity data'!AN12*EF!$H11)*kgtoGg,IF('Net zero activities &amp; levers'!$C$8="On",(('Net zero supporting data'!L139*EF!$H11)+('Net zero supporting data'!L129*'Net zero supporting data'!L149))*kgtoGg,"ERROR"))</f>
        <v>14.671475282280603</v>
      </c>
      <c r="V469" s="93">
        <f>IF('Net zero activities &amp; levers'!$C$8="Off",('Activity data'!AO12*EF!$H11)*kgtoGg,IF('Net zero activities &amp; levers'!$C$8="On",(('Net zero supporting data'!M139*EF!$H11)+('Net zero supporting data'!M129*'Net zero supporting data'!M149))*kgtoGg,"ERROR"))</f>
        <v>14.656591450829604</v>
      </c>
      <c r="W469" s="93">
        <f>IF('Net zero activities &amp; levers'!$C$8="Off",('Activity data'!AP12*EF!$H11)*kgtoGg,IF('Net zero activities &amp; levers'!$C$8="On",(('Net zero supporting data'!N139*EF!$H11)+('Net zero supporting data'!N129*'Net zero supporting data'!N149))*kgtoGg,"ERROR"))</f>
        <v>14.628389879987271</v>
      </c>
      <c r="X469" s="93">
        <f>IF('Net zero activities &amp; levers'!$C$8="Off",('Activity data'!AQ12*EF!$H11)*kgtoGg,IF('Net zero activities &amp; levers'!$C$8="On",(('Net zero supporting data'!O139*EF!$H11)+('Net zero supporting data'!O129*'Net zero supporting data'!O149))*kgtoGg,"ERROR"))</f>
        <v>14.586438821732349</v>
      </c>
      <c r="Y469" s="93">
        <f>IF('Net zero activities &amp; levers'!$C$8="Off",('Activity data'!AR12*EF!$H11)*kgtoGg,IF('Net zero activities &amp; levers'!$C$8="On",(('Net zero supporting data'!P139*EF!$H11)+('Net zero supporting data'!P129*'Net zero supporting data'!P149))*kgtoGg,"ERROR"))</f>
        <v>14.51472854380266</v>
      </c>
      <c r="Z469" s="93">
        <f>IF('Net zero activities &amp; levers'!$C$8="Off",('Activity data'!AS12*EF!$H11)*kgtoGg,IF('Net zero activities &amp; levers'!$C$8="On",(('Net zero supporting data'!Q139*EF!$H11)+('Net zero supporting data'!Q129*'Net zero supporting data'!Q149))*kgtoGg,"ERROR"))</f>
        <v>14.429516236894123</v>
      </c>
      <c r="AA469" s="93">
        <f>IF('Net zero activities &amp; levers'!$C$8="Off",('Activity data'!AT12*EF!$H11)*kgtoGg,IF('Net zero activities &amp; levers'!$C$8="On",(('Net zero supporting data'!R139*EF!$H11)+('Net zero supporting data'!R129*'Net zero supporting data'!R149))*kgtoGg,"ERROR"))</f>
        <v>14.330862341775802</v>
      </c>
      <c r="AB469" s="93">
        <f>IF('Net zero activities &amp; levers'!$C$8="Off",('Activity data'!AU12*EF!$H11)*kgtoGg,IF('Net zero activities &amp; levers'!$C$8="On",(('Net zero supporting data'!S139*EF!$H11)+('Net zero supporting data'!S129*'Net zero supporting data'!S149))*kgtoGg,"ERROR"))</f>
        <v>14.21954181949225</v>
      </c>
      <c r="AC469" s="93">
        <f>IF('Net zero activities &amp; levers'!$C$8="Off",('Activity data'!AV12*EF!$H11)*kgtoGg,IF('Net zero activities &amp; levers'!$C$8="On",(('Net zero supporting data'!T139*EF!$H11)+('Net zero supporting data'!T129*'Net zero supporting data'!T149))*kgtoGg,"ERROR"))</f>
        <v>14.095060016109008</v>
      </c>
      <c r="AD469" s="93">
        <f>IF('Net zero activities &amp; levers'!$C$8="Off",('Activity data'!AW12*EF!$H11)*kgtoGg,IF('Net zero activities &amp; levers'!$C$8="On",(('Net zero supporting data'!U139*EF!$H11)+('Net zero supporting data'!U129*'Net zero supporting data'!U149))*kgtoGg,"ERROR"))</f>
        <v>14.114246278356763</v>
      </c>
      <c r="AE469" s="93">
        <f>IF('Net zero activities &amp; levers'!$C$8="Off",('Activity data'!AX12*EF!$H11)*kgtoGg,IF('Net zero activities &amp; levers'!$C$8="On",(('Net zero supporting data'!V139*EF!$H11)+('Net zero supporting data'!V129*'Net zero supporting data'!V149))*kgtoGg,"ERROR"))</f>
        <v>14.135782943478144</v>
      </c>
      <c r="AF469" s="93">
        <f>IF('Net zero activities &amp; levers'!$C$8="Off",('Activity data'!AY12*EF!$H11)*kgtoGg,IF('Net zero activities &amp; levers'!$C$8="On",(('Net zero supporting data'!W139*EF!$H11)+('Net zero supporting data'!W129*'Net zero supporting data'!W149))*kgtoGg,"ERROR"))</f>
        <v>14.159325959346537</v>
      </c>
      <c r="AG469" s="93">
        <f>IF('Net zero activities &amp; levers'!$C$8="Off",('Activity data'!AZ12*EF!$H11)*kgtoGg,IF('Net zero activities &amp; levers'!$C$8="On",(('Net zero supporting data'!X139*EF!$H11)+('Net zero supporting data'!X129*'Net zero supporting data'!X149))*kgtoGg,"ERROR"))</f>
        <v>14.185119825387888</v>
      </c>
      <c r="AH469" s="93">
        <f>IF('Net zero activities &amp; levers'!$C$8="Off",('Activity data'!BA12*EF!$H11)*kgtoGg,IF('Net zero activities &amp; levers'!$C$8="On",(('Net zero supporting data'!Y139*EF!$H11)+('Net zero supporting data'!Y129*'Net zero supporting data'!Y149))*kgtoGg,"ERROR"))</f>
        <v>14.211677120211808</v>
      </c>
      <c r="AI469" s="93">
        <f>IF('Net zero activities &amp; levers'!$C$8="Off",('Activity data'!BB12*EF!$H11)*kgtoGg,IF('Net zero activities &amp; levers'!$C$8="On",(('Net zero supporting data'!Z139*EF!$H11)+('Net zero supporting data'!Z129*'Net zero supporting data'!Z149))*kgtoGg,"ERROR"))</f>
        <v>14.227953426575358</v>
      </c>
      <c r="AJ469" s="93">
        <f>IF('Net zero activities &amp; levers'!$C$8="Off",('Activity data'!BC12*EF!$H11)*kgtoGg,IF('Net zero activities &amp; levers'!$C$8="On",(('Net zero supporting data'!AA139*EF!$H11)+('Net zero supporting data'!AA129*'Net zero supporting data'!AA149))*kgtoGg,"ERROR"))</f>
        <v>14.245933847602304</v>
      </c>
      <c r="AK469" s="93">
        <f>IF('Net zero activities &amp; levers'!$C$8="Off",('Activity data'!BD12*EF!$H11)*kgtoGg,IF('Net zero activities &amp; levers'!$C$8="On",(('Net zero supporting data'!AB139*EF!$H11)+('Net zero supporting data'!AB129*'Net zero supporting data'!AB149))*kgtoGg,"ERROR"))</f>
        <v>14.265160047215133</v>
      </c>
      <c r="AL469" s="93">
        <f>IF('Net zero activities &amp; levers'!$C$8="Off",('Activity data'!BE12*EF!$H11)*kgtoGg,IF('Net zero activities &amp; levers'!$C$8="On",(('Net zero supporting data'!AC139*EF!$H11)+('Net zero supporting data'!AC129*'Net zero supporting data'!AC149))*kgtoGg,"ERROR"))</f>
        <v>14.285860763178665</v>
      </c>
      <c r="AM469" s="93">
        <f>IF('Net zero activities &amp; levers'!$C$8="Off",('Activity data'!BF12*EF!$H11)*kgtoGg,IF('Net zero activities &amp; levers'!$C$8="On",(('Net zero supporting data'!AD139*EF!$H11)+('Net zero supporting data'!AD129*'Net zero supporting data'!AD149))*kgtoGg,"ERROR"))</f>
        <v>14.307848933472433</v>
      </c>
      <c r="AN469" s="93">
        <f>IF('Net zero activities &amp; levers'!$C$8="Off",('Activity data'!BG12*EF!$H11)*kgtoGg,IF('Net zero activities &amp; levers'!$C$8="On",(('Net zero supporting data'!AE139*EF!$H11)+('Net zero supporting data'!AE129*'Net zero supporting data'!AE149))*kgtoGg,"ERROR"))</f>
        <v>14.320600278892416</v>
      </c>
      <c r="AO469" s="93">
        <f>IF('Net zero activities &amp; levers'!$C$8="Off",('Activity data'!BH12*EF!$H11)*kgtoGg,IF('Net zero activities &amp; levers'!$C$8="On",(('Net zero supporting data'!AF139*EF!$H11)+('Net zero supporting data'!AF129*'Net zero supporting data'!AF149))*kgtoGg,"ERROR"))</f>
        <v>14.334315999568435</v>
      </c>
      <c r="AP469" s="93">
        <f>IF('Net zero activities &amp; levers'!$C$8="Off",('Activity data'!BI12*EF!$H11)*kgtoGg,IF('Net zero activities &amp; levers'!$C$8="On",(('Net zero supporting data'!AG139*EF!$H11)+('Net zero supporting data'!AG129*'Net zero supporting data'!AG149))*kgtoGg,"ERROR"))</f>
        <v>14.349171383666837</v>
      </c>
      <c r="AQ469" s="93">
        <f>IF('Net zero activities &amp; levers'!$C$8="Off",('Activity data'!BJ12*EF!$H11)*kgtoGg,IF('Net zero activities &amp; levers'!$C$8="On",(('Net zero supporting data'!AH139*EF!$H11)+('Net zero supporting data'!AH129*'Net zero supporting data'!AH149))*kgtoGg,"ERROR"))</f>
        <v>14.365186938834844</v>
      </c>
      <c r="AR469" s="93">
        <f>IF('Net zero activities &amp; levers'!$C$8="Off",('Activity data'!BK12*EF!$H11)*kgtoGg,IF('Net zero activities &amp; levers'!$C$8="On",(('Net zero supporting data'!AI139*EF!$H11)+('Net zero supporting data'!AI129*'Net zero supporting data'!AI149))*kgtoGg,"ERROR"))</f>
        <v>14.382351469360023</v>
      </c>
      <c r="AS469" s="93">
        <f>IF('Net zero activities &amp; levers'!$C$8="Off",('Activity data'!BL12*EF!$H11)*kgtoGg,IF('Net zero activities &amp; levers'!$C$8="On",(('Net zero supporting data'!AJ139*EF!$H11)+('Net zero supporting data'!AJ129*'Net zero supporting data'!AJ149))*kgtoGg,"ERROR"))</f>
        <v>14.390026591761927</v>
      </c>
      <c r="AT469" s="93">
        <f>IF('Net zero activities &amp; levers'!$C$8="Off",('Activity data'!BM12*EF!$H11)*kgtoGg,IF('Net zero activities &amp; levers'!$C$8="On",(('Net zero supporting data'!AK139*EF!$H11)+('Net zero supporting data'!AK129*'Net zero supporting data'!AK149))*kgtoGg,"ERROR"))</f>
        <v>14.397170298913217</v>
      </c>
      <c r="AU469" s="93">
        <f>IF('Net zero activities &amp; levers'!$C$8="Off",('Activity data'!BN12*EF!$H11)*kgtoGg,IF('Net zero activities &amp; levers'!$C$8="On",(('Net zero supporting data'!AL139*EF!$H11)+('Net zero supporting data'!AL129*'Net zero supporting data'!AL149))*kgtoGg,"ERROR"))</f>
        <v>14.405089824351077</v>
      </c>
      <c r="AV469" s="93">
        <f>IF('Net zero activities &amp; levers'!$C$8="Off",('Activity data'!BO12*EF!$H11)*kgtoGg,IF('Net zero activities &amp; levers'!$C$8="On",(('Net zero supporting data'!AM139*EF!$H11)+('Net zero supporting data'!AM129*'Net zero supporting data'!AM149))*kgtoGg,"ERROR"))</f>
        <v>14.413912110369287</v>
      </c>
      <c r="AW469" s="93">
        <f>IF('Net zero activities &amp; levers'!$C$8="Off",('Activity data'!BP12*EF!$H11)*kgtoGg,IF('Net zero activities &amp; levers'!$C$8="On",(('Net zero supporting data'!AN139*EF!$H11)+('Net zero supporting data'!AN129*'Net zero supporting data'!AN149))*kgtoGg,"ERROR"))</f>
        <v>14.423546337718829</v>
      </c>
      <c r="AY469" s="79"/>
    </row>
    <row r="470" spans="1:51" x14ac:dyDescent="0.2">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15.123414197798356</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15.283027985940226</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15.545788610572219</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15.742031713029512</v>
      </c>
      <c r="T470" s="93">
        <f>IF('Net zero activities &amp; levers'!$C$8="Off",('Activity data'!AM13*EF!$H12)*kgtoGg,IF('Net zero activities &amp; levers'!$C$8="On",(('Net zero supporting data'!K140*EF!$H12)+('Net zero supporting data'!K130*'Net zero supporting data'!K150))*kgtoGg,"ERROR"))</f>
        <v>15.78777493593066</v>
      </c>
      <c r="U470" s="93">
        <f>IF('Net zero activities &amp; levers'!$C$8="Off",('Activity data'!AN13*EF!$H12)*kgtoGg,IF('Net zero activities &amp; levers'!$C$8="On",(('Net zero supporting data'!L140*EF!$H12)+('Net zero supporting data'!L130*'Net zero supporting data'!L150))*kgtoGg,"ERROR"))</f>
        <v>15.836941189877804</v>
      </c>
      <c r="V470" s="93">
        <f>IF('Net zero activities &amp; levers'!$C$8="Off",('Activity data'!AO13*EF!$H12)*kgtoGg,IF('Net zero activities &amp; levers'!$C$8="On",(('Net zero supporting data'!M140*EF!$H12)+('Net zero supporting data'!M130*'Net zero supporting data'!M150))*kgtoGg,"ERROR"))</f>
        <v>15.890131734595759</v>
      </c>
      <c r="W470" s="93">
        <f>IF('Net zero activities &amp; levers'!$C$8="Off",('Activity data'!AP13*EF!$H12)*kgtoGg,IF('Net zero activities &amp; levers'!$C$8="On",(('Net zero supporting data'!N140*EF!$H12)+('Net zero supporting data'!N130*'Net zero supporting data'!N150))*kgtoGg,"ERROR"))</f>
        <v>15.947930587680338</v>
      </c>
      <c r="X470" s="93">
        <f>IF('Net zero activities &amp; levers'!$C$8="Off",('Activity data'!AQ13*EF!$H12)*kgtoGg,IF('Net zero activities &amp; levers'!$C$8="On",(('Net zero supporting data'!O140*EF!$H12)+('Net zero supporting data'!O130*'Net zero supporting data'!O150))*kgtoGg,"ERROR"))</f>
        <v>16.009309310979074</v>
      </c>
      <c r="Y470" s="93">
        <f>IF('Net zero activities &amp; levers'!$C$8="Off",('Activity data'!AR13*EF!$H12)*kgtoGg,IF('Net zero activities &amp; levers'!$C$8="On",(('Net zero supporting data'!P140*EF!$H12)+('Net zero supporting data'!P130*'Net zero supporting data'!P150))*kgtoGg,"ERROR"))</f>
        <v>16.047680700733103</v>
      </c>
      <c r="Z470" s="93">
        <f>IF('Net zero activities &amp; levers'!$C$8="Off",('Activity data'!AS13*EF!$H12)*kgtoGg,IF('Net zero activities &amp; levers'!$C$8="On",(('Net zero supporting data'!Q140*EF!$H12)+('Net zero supporting data'!Q130*'Net zero supporting data'!Q150))*kgtoGg,"ERROR"))</f>
        <v>16.089188383327485</v>
      </c>
      <c r="AA470" s="93">
        <f>IF('Net zero activities &amp; levers'!$C$8="Off",('Activity data'!AT13*EF!$H12)*kgtoGg,IF('Net zero activities &amp; levers'!$C$8="On",(('Net zero supporting data'!R140*EF!$H12)+('Net zero supporting data'!R130*'Net zero supporting data'!R150))*kgtoGg,"ERROR"))</f>
        <v>16.133588234011135</v>
      </c>
      <c r="AB470" s="93">
        <f>IF('Net zero activities &amp; levers'!$C$8="Off",('Activity data'!AU13*EF!$H12)*kgtoGg,IF('Net zero activities &amp; levers'!$C$8="On",(('Net zero supporting data'!S140*EF!$H12)+('Net zero supporting data'!S130*'Net zero supporting data'!S150))*kgtoGg,"ERROR"))</f>
        <v>16.181852398556252</v>
      </c>
      <c r="AC470" s="93">
        <f>IF('Net zero activities &amp; levers'!$C$8="Off",('Activity data'!AV13*EF!$H12)*kgtoGg,IF('Net zero activities &amp; levers'!$C$8="On",(('Net zero supporting data'!T140*EF!$H12)+('Net zero supporting data'!T130*'Net zero supporting data'!T150))*kgtoGg,"ERROR"))</f>
        <v>16.232869062741507</v>
      </c>
      <c r="AD470" s="93">
        <f>IF('Net zero activities &amp; levers'!$C$8="Off",('Activity data'!AW13*EF!$H12)*kgtoGg,IF('Net zero activities &amp; levers'!$C$8="On",(('Net zero supporting data'!U140*EF!$H12)+('Net zero supporting data'!U130*'Net zero supporting data'!U150))*kgtoGg,"ERROR"))</f>
        <v>16.174772953442893</v>
      </c>
      <c r="AE470" s="93">
        <f>IF('Net zero activities &amp; levers'!$C$8="Off",('Activity data'!AX13*EF!$H12)*kgtoGg,IF('Net zero activities &amp; levers'!$C$8="On",(('Net zero supporting data'!V140*EF!$H12)+('Net zero supporting data'!V130*'Net zero supporting data'!V150))*kgtoGg,"ERROR"))</f>
        <v>16.119628970080377</v>
      </c>
      <c r="AF470" s="93">
        <f>IF('Net zero activities &amp; levers'!$C$8="Off",('Activity data'!AY13*EF!$H12)*kgtoGg,IF('Net zero activities &amp; levers'!$C$8="On",(('Net zero supporting data'!W140*EF!$H12)+('Net zero supporting data'!W130*'Net zero supporting data'!W150))*kgtoGg,"ERROR"))</f>
        <v>16.066825167766172</v>
      </c>
      <c r="AG470" s="93">
        <f>IF('Net zero activities &amp; levers'!$C$8="Off",('Activity data'!AZ13*EF!$H12)*kgtoGg,IF('Net zero activities &amp; levers'!$C$8="On",(('Net zero supporting data'!X140*EF!$H12)+('Net zero supporting data'!X130*'Net zero supporting data'!X150))*kgtoGg,"ERROR"))</f>
        <v>16.016728171602704</v>
      </c>
      <c r="AH470" s="93">
        <f>IF('Net zero activities &amp; levers'!$C$8="Off",('Activity data'!BA13*EF!$H12)*kgtoGg,IF('Net zero activities &amp; levers'!$C$8="On",(('Net zero supporting data'!Y140*EF!$H12)+('Net zero supporting data'!Y130*'Net zero supporting data'!Y150))*kgtoGg,"ERROR"))</f>
        <v>15.966875764352146</v>
      </c>
      <c r="AI470" s="93">
        <f>IF('Net zero activities &amp; levers'!$C$8="Off",('Activity data'!BB13*EF!$H12)*kgtoGg,IF('Net zero activities &amp; levers'!$C$8="On",(('Net zero supporting data'!Z140*EF!$H12)+('Net zero supporting data'!Z130*'Net zero supporting data'!Z150))*kgtoGg,"ERROR"))</f>
        <v>15.89946779688462</v>
      </c>
      <c r="AJ470" s="93">
        <f>IF('Net zero activities &amp; levers'!$C$8="Off",('Activity data'!BC13*EF!$H12)*kgtoGg,IF('Net zero activities &amp; levers'!$C$8="On",(('Net zero supporting data'!AA140*EF!$H12)+('Net zero supporting data'!AA130*'Net zero supporting data'!AA150))*kgtoGg,"ERROR"))</f>
        <v>15.834096775402255</v>
      </c>
      <c r="AK470" s="93">
        <f>IF('Net zero activities &amp; levers'!$C$8="Off",('Activity data'!BD13*EF!$H12)*kgtoGg,IF('Net zero activities &amp; levers'!$C$8="On",(('Net zero supporting data'!AB140*EF!$H12)+('Net zero supporting data'!AB130*'Net zero supporting data'!AB150))*kgtoGg,"ERROR"))</f>
        <v>15.770001069501948</v>
      </c>
      <c r="AL470" s="93">
        <f>IF('Net zero activities &amp; levers'!$C$8="Off",('Activity data'!BE13*EF!$H12)*kgtoGg,IF('Net zero activities &amp; levers'!$C$8="On",(('Net zero supporting data'!AC140*EF!$H12)+('Net zero supporting data'!AC130*'Net zero supporting data'!AC150))*kgtoGg,"ERROR"))</f>
        <v>15.707522588629271</v>
      </c>
      <c r="AM470" s="93">
        <f>IF('Net zero activities &amp; levers'!$C$8="Off",('Activity data'!BF13*EF!$H12)*kgtoGg,IF('Net zero activities &amp; levers'!$C$8="On",(('Net zero supporting data'!AD140*EF!$H12)+('Net zero supporting data'!AD130*'Net zero supporting data'!AD150))*kgtoGg,"ERROR"))</f>
        <v>15.646340637307107</v>
      </c>
      <c r="AN470" s="93">
        <f>IF('Net zero activities &amp; levers'!$C$8="Off",('Activity data'!BG13*EF!$H12)*kgtoGg,IF('Net zero activities &amp; levers'!$C$8="On",(('Net zero supporting data'!AE140*EF!$H12)+('Net zero supporting data'!AE130*'Net zero supporting data'!AE150))*kgtoGg,"ERROR"))</f>
        <v>15.663208554613984</v>
      </c>
      <c r="AO470" s="93">
        <f>IF('Net zero activities &amp; levers'!$C$8="Off",('Activity data'!BH13*EF!$H12)*kgtoGg,IF('Net zero activities &amp; levers'!$C$8="On",(('Net zero supporting data'!AF140*EF!$H12)+('Net zero supporting data'!AF130*'Net zero supporting data'!AF150))*kgtoGg,"ERROR"))</f>
        <v>15.681296099328543</v>
      </c>
      <c r="AP470" s="93">
        <f>IF('Net zero activities &amp; levers'!$C$8="Off",('Activity data'!BI13*EF!$H12)*kgtoGg,IF('Net zero activities &amp; levers'!$C$8="On",(('Net zero supporting data'!AG140*EF!$H12)+('Net zero supporting data'!AG130*'Net zero supporting data'!AG150))*kgtoGg,"ERROR"))</f>
        <v>15.700882300953488</v>
      </c>
      <c r="AQ470" s="93">
        <f>IF('Net zero activities &amp; levers'!$C$8="Off",('Activity data'!BJ13*EF!$H12)*kgtoGg,IF('Net zero activities &amp; levers'!$C$8="On",(('Net zero supporting data'!AH140*EF!$H12)+('Net zero supporting data'!AH130*'Net zero supporting data'!AH150))*kgtoGg,"ERROR"))</f>
        <v>15.722003234239409</v>
      </c>
      <c r="AR470" s="93">
        <f>IF('Net zero activities &amp; levers'!$C$8="Off",('Activity data'!BK13*EF!$H12)*kgtoGg,IF('Net zero activities &amp; levers'!$C$8="On",(('Net zero supporting data'!AI140*EF!$H12)+('Net zero supporting data'!AI130*'Net zero supporting data'!AI150))*kgtoGg,"ERROR"))</f>
        <v>15.744644955192497</v>
      </c>
      <c r="AS470" s="93">
        <f>IF('Net zero activities &amp; levers'!$C$8="Off",('Activity data'!BL13*EF!$H12)*kgtoGg,IF('Net zero activities &amp; levers'!$C$8="On",(('Net zero supporting data'!AJ140*EF!$H12)+('Net zero supporting data'!AJ130*'Net zero supporting data'!AJ150))*kgtoGg,"ERROR"))</f>
        <v>15.752347134607152</v>
      </c>
      <c r="AT470" s="93">
        <f>IF('Net zero activities &amp; levers'!$C$8="Off",('Activity data'!BM13*EF!$H12)*kgtoGg,IF('Net zero activities &amp; levers'!$C$8="On",(('Net zero supporting data'!AK140*EF!$H12)+('Net zero supporting data'!AK130*'Net zero supporting data'!AK150))*kgtoGg,"ERROR"))</f>
        <v>15.759032973268098</v>
      </c>
      <c r="AU470" s="93">
        <f>IF('Net zero activities &amp; levers'!$C$8="Off",('Activity data'!BN13*EF!$H12)*kgtoGg,IF('Net zero activities &amp; levers'!$C$8="On",(('Net zero supporting data'!AL140*EF!$H12)+('Net zero supporting data'!AL130*'Net zero supporting data'!AL150))*kgtoGg,"ERROR"))</f>
        <v>15.766732268239892</v>
      </c>
      <c r="AV470" s="93">
        <f>IF('Net zero activities &amp; levers'!$C$8="Off",('Activity data'!BO13*EF!$H12)*kgtoGg,IF('Net zero activities &amp; levers'!$C$8="On",(('Net zero supporting data'!AM140*EF!$H12)+('Net zero supporting data'!AM130*'Net zero supporting data'!AM150))*kgtoGg,"ERROR"))</f>
        <v>15.775643519060983</v>
      </c>
      <c r="AW470" s="93">
        <f>IF('Net zero activities &amp; levers'!$C$8="Off",('Activity data'!BP13*EF!$H12)*kgtoGg,IF('Net zero activities &amp; levers'!$C$8="On",(('Net zero supporting data'!AN140*EF!$H12)+('Net zero supporting data'!AN130*'Net zero supporting data'!AN150))*kgtoGg,"ERROR"))</f>
        <v>15.785628741829379</v>
      </c>
      <c r="AY470" s="79"/>
    </row>
    <row r="471" spans="1:51" x14ac:dyDescent="0.2">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22.381101687842737</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22.617313721478972</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23.296592154028918</v>
      </c>
      <c r="T471" s="93">
        <f>IF('Net zero activities &amp; levers'!$C$8="Off",('Activity data'!AM14*EF!$H13)*kgtoGg,IF('Net zero activities &amp; levers'!$C$8="On",(('Net zero supporting data'!K141*EF!$H13)+('Net zero supporting data'!K131*'Net zero supporting data'!K151))*kgtoGg,"ERROR"))</f>
        <v>23.36428743168846</v>
      </c>
      <c r="U471" s="93">
        <f>IF('Net zero activities &amp; levers'!$C$8="Off",('Activity data'!AN14*EF!$H13)*kgtoGg,IF('Net zero activities &amp; levers'!$C$8="On",(('Net zero supporting data'!L141*EF!$H13)+('Net zero supporting data'!L131*'Net zero supporting data'!L151))*kgtoGg,"ERROR"))</f>
        <v>23.437048444169463</v>
      </c>
      <c r="V471" s="93">
        <f>IF('Net zero activities &amp; levers'!$C$8="Off",('Activity data'!AO14*EF!$H13)*kgtoGg,IF('Net zero activities &amp; levers'!$C$8="On",(('Net zero supporting data'!M141*EF!$H13)+('Net zero supporting data'!M131*'Net zero supporting data'!M151))*kgtoGg,"ERROR"))</f>
        <v>23.51576499418881</v>
      </c>
      <c r="W471" s="93">
        <f>IF('Net zero activities &amp; levers'!$C$8="Off",('Activity data'!AP14*EF!$H13)*kgtoGg,IF('Net zero activities &amp; levers'!$C$8="On",(('Net zero supporting data'!N141*EF!$H13)+('Net zero supporting data'!N131*'Net zero supporting data'!N151))*kgtoGg,"ERROR"))</f>
        <v>23.601301367881135</v>
      </c>
      <c r="X471" s="93">
        <f>IF('Net zero activities &amp; levers'!$C$8="Off",('Activity data'!AQ14*EF!$H13)*kgtoGg,IF('Net zero activities &amp; levers'!$C$8="On",(('Net zero supporting data'!O141*EF!$H13)+('Net zero supporting data'!O131*'Net zero supporting data'!O151))*kgtoGg,"ERROR"))</f>
        <v>23.692135582275586</v>
      </c>
      <c r="Y471" s="93">
        <f>IF('Net zero activities &amp; levers'!$C$8="Off",('Activity data'!AR14*EF!$H13)*kgtoGg,IF('Net zero activities &amp; levers'!$C$8="On",(('Net zero supporting data'!P141*EF!$H13)+('Net zero supporting data'!P131*'Net zero supporting data'!P151))*kgtoGg,"ERROR"))</f>
        <v>23.748921303063014</v>
      </c>
      <c r="Z471" s="93">
        <f>IF('Net zero activities &amp; levers'!$C$8="Off",('Activity data'!AS14*EF!$H13)*kgtoGg,IF('Net zero activities &amp; levers'!$C$8="On",(('Net zero supporting data'!Q141*EF!$H13)+('Net zero supporting data'!Q131*'Net zero supporting data'!Q151))*kgtoGg,"ERROR"))</f>
        <v>23.810348415540492</v>
      </c>
      <c r="AA471" s="93">
        <f>IF('Net zero activities &amp; levers'!$C$8="Off",('Activity data'!AT14*EF!$H13)*kgtoGg,IF('Net zero activities &amp; levers'!$C$8="On",(('Net zero supporting data'!R141*EF!$H13)+('Net zero supporting data'!R131*'Net zero supporting data'!R151))*kgtoGg,"ERROR"))</f>
        <v>23.876055640118153</v>
      </c>
      <c r="AB471" s="93">
        <f>IF('Net zero activities &amp; levers'!$C$8="Off",('Activity data'!AU14*EF!$H13)*kgtoGg,IF('Net zero activities &amp; levers'!$C$8="On",(('Net zero supporting data'!S141*EF!$H13)+('Net zero supporting data'!S131*'Net zero supporting data'!S151))*kgtoGg,"ERROR"))</f>
        <v>23.947481652818404</v>
      </c>
      <c r="AC471" s="93">
        <f>IF('Net zero activities &amp; levers'!$C$8="Off",('Activity data'!AV14*EF!$H13)*kgtoGg,IF('Net zero activities &amp; levers'!$C$8="On",(('Net zero supporting data'!T141*EF!$H13)+('Net zero supporting data'!T131*'Net zero supporting data'!T151))*kgtoGg,"ERROR"))</f>
        <v>24.022981082641</v>
      </c>
      <c r="AD471" s="93">
        <f>IF('Net zero activities &amp; levers'!$C$8="Off",('Activity data'!AW14*EF!$H13)*kgtoGg,IF('Net zero activities &amp; levers'!$C$8="On",(('Net zero supporting data'!U141*EF!$H13)+('Net zero supporting data'!U131*'Net zero supporting data'!U151))*kgtoGg,"ERROR"))</f>
        <v>24.004534302294772</v>
      </c>
      <c r="AE471" s="93">
        <f>IF('Net zero activities &amp; levers'!$C$8="Off",('Activity data'!AX14*EF!$H13)*kgtoGg,IF('Net zero activities &amp; levers'!$C$8="On",(('Net zero supporting data'!V141*EF!$H13)+('Net zero supporting data'!V131*'Net zero supporting data'!V151))*kgtoGg,"ERROR"))</f>
        <v>23.990759664882049</v>
      </c>
      <c r="AF471" s="93">
        <f>IF('Net zero activities &amp; levers'!$C$8="Off",('Activity data'!AY14*EF!$H13)*kgtoGg,IF('Net zero activities &amp; levers'!$C$8="On",(('Net zero supporting data'!W141*EF!$H13)+('Net zero supporting data'!W131*'Net zero supporting data'!W151))*kgtoGg,"ERROR"))</f>
        <v>23.980786392449151</v>
      </c>
      <c r="AG471" s="93">
        <f>IF('Net zero activities &amp; levers'!$C$8="Off",('Activity data'!AZ14*EF!$H13)*kgtoGg,IF('Net zero activities &amp; levers'!$C$8="On",(('Net zero supporting data'!X141*EF!$H13)+('Net zero supporting data'!X131*'Net zero supporting data'!X151))*kgtoGg,"ERROR"))</f>
        <v>23.975198918085418</v>
      </c>
      <c r="AH471" s="93">
        <f>IF('Net zero activities &amp; levers'!$C$8="Off",('Activity data'!BA14*EF!$H13)*kgtoGg,IF('Net zero activities &amp; levers'!$C$8="On",(('Net zero supporting data'!Y141*EF!$H13)+('Net zero supporting data'!Y131*'Net zero supporting data'!Y151))*kgtoGg,"ERROR"))</f>
        <v>23.97034209362084</v>
      </c>
      <c r="AI471" s="93">
        <f>IF('Net zero activities &amp; levers'!$C$8="Off",('Activity data'!BB14*EF!$H13)*kgtoGg,IF('Net zero activities &amp; levers'!$C$8="On",(('Net zero supporting data'!Z141*EF!$H13)+('Net zero supporting data'!Z131*'Net zero supporting data'!Z151))*kgtoGg,"ERROR"))</f>
        <v>23.939424261455606</v>
      </c>
      <c r="AJ471" s="93">
        <f>IF('Net zero activities &amp; levers'!$C$8="Off",('Activity data'!BC14*EF!$H13)*kgtoGg,IF('Net zero activities &amp; levers'!$C$8="On",(('Net zero supporting data'!AA141*EF!$H13)+('Net zero supporting data'!AA131*'Net zero supporting data'!AA151))*kgtoGg,"ERROR"))</f>
        <v>23.911803974742561</v>
      </c>
      <c r="AK471" s="93">
        <f>IF('Net zero activities &amp; levers'!$C$8="Off",('Activity data'!BD14*EF!$H13)*kgtoGg,IF('Net zero activities &amp; levers'!$C$8="On",(('Net zero supporting data'!AB141*EF!$H13)+('Net zero supporting data'!AB131*'Net zero supporting data'!AB151))*kgtoGg,"ERROR"))</f>
        <v>23.886359164531317</v>
      </c>
      <c r="AL471" s="93">
        <f>IF('Net zero activities &amp; levers'!$C$8="Off",('Activity data'!BE14*EF!$H13)*kgtoGg,IF('Net zero activities &amp; levers'!$C$8="On",(('Net zero supporting data'!AC141*EF!$H13)+('Net zero supporting data'!AC131*'Net zero supporting data'!AC151))*kgtoGg,"ERROR"))</f>
        <v>23.86363111248259</v>
      </c>
      <c r="AM471" s="93">
        <f>IF('Net zero activities &amp; levers'!$C$8="Off",('Activity data'!BF14*EF!$H13)*kgtoGg,IF('Net zero activities &amp; levers'!$C$8="On",(('Net zero supporting data'!AD141*EF!$H13)+('Net zero supporting data'!AD131*'Net zero supporting data'!AD151))*kgtoGg,"ERROR"))</f>
        <v>23.843158223754681</v>
      </c>
      <c r="AN471" s="93">
        <f>IF('Net zero activities &amp; levers'!$C$8="Off",('Activity data'!BG14*EF!$H13)*kgtoGg,IF('Net zero activities &amp; levers'!$C$8="On",(('Net zero supporting data'!AE141*EF!$H13)+('Net zero supporting data'!AE131*'Net zero supporting data'!AE151))*kgtoGg,"ERROR"))</f>
        <v>23.868862919221563</v>
      </c>
      <c r="AO471" s="93">
        <f>IF('Net zero activities &amp; levers'!$C$8="Off",('Activity data'!BH14*EF!$H13)*kgtoGg,IF('Net zero activities &amp; levers'!$C$8="On",(('Net zero supporting data'!AF141*EF!$H13)+('Net zero supporting data'!AF131*'Net zero supporting data'!AF151))*kgtoGg,"ERROR"))</f>
        <v>23.896426181488792</v>
      </c>
      <c r="AP471" s="93">
        <f>IF('Net zero activities &amp; levers'!$C$8="Off",('Activity data'!BI14*EF!$H13)*kgtoGg,IF('Net zero activities &amp; levers'!$C$8="On",(('Net zero supporting data'!AG141*EF!$H13)+('Net zero supporting data'!AG131*'Net zero supporting data'!AG151))*kgtoGg,"ERROR"))</f>
        <v>23.926273218260601</v>
      </c>
      <c r="AQ471" s="93">
        <f>IF('Net zero activities &amp; levers'!$C$8="Off",('Activity data'!BJ14*EF!$H13)*kgtoGg,IF('Net zero activities &amp; levers'!$C$8="On",(('Net zero supporting data'!AH141*EF!$H13)+('Net zero supporting data'!AH131*'Net zero supporting data'!AH151))*kgtoGg,"ERROR"))</f>
        <v>23.958459003157092</v>
      </c>
      <c r="AR471" s="93">
        <f>IF('Net zero activities &amp; levers'!$C$8="Off",('Activity data'!BK14*EF!$H13)*kgtoGg,IF('Net zero activities &amp; levers'!$C$8="On",(('Net zero supporting data'!AI141*EF!$H13)+('Net zero supporting data'!AI131*'Net zero supporting data'!AI151))*kgtoGg,"ERROR"))</f>
        <v>23.992962287193702</v>
      </c>
      <c r="AS471" s="93">
        <f>IF('Net zero activities &amp; levers'!$C$8="Off",('Activity data'!BL14*EF!$H13)*kgtoGg,IF('Net zero activities &amp; levers'!$C$8="On",(('Net zero supporting data'!AJ141*EF!$H13)+('Net zero supporting data'!AJ131*'Net zero supporting data'!AJ151))*kgtoGg,"ERROR"))</f>
        <v>24.004699490588948</v>
      </c>
      <c r="AT471" s="93">
        <f>IF('Net zero activities &amp; levers'!$C$8="Off",('Activity data'!BM14*EF!$H13)*kgtoGg,IF('Net zero activities &amp; levers'!$C$8="On",(('Net zero supporting data'!AK141*EF!$H13)+('Net zero supporting data'!AK131*'Net zero supporting data'!AK151))*kgtoGg,"ERROR"))</f>
        <v>24.014887911814501</v>
      </c>
      <c r="AU471" s="93">
        <f>IF('Net zero activities &amp; levers'!$C$8="Off",('Activity data'!BN14*EF!$H13)*kgtoGg,IF('Net zero activities &amp; levers'!$C$8="On",(('Net zero supporting data'!AL141*EF!$H13)+('Net zero supporting data'!AL131*'Net zero supporting data'!AL151))*kgtoGg,"ERROR"))</f>
        <v>24.026620719662628</v>
      </c>
      <c r="AV471" s="93">
        <f>IF('Net zero activities &amp; levers'!$C$8="Off",('Activity data'!BO14*EF!$H13)*kgtoGg,IF('Net zero activities &amp; levers'!$C$8="On",(('Net zero supporting data'!AM141*EF!$H13)+('Net zero supporting data'!AM131*'Net zero supporting data'!AM151))*kgtoGg,"ERROR"))</f>
        <v>24.040200403770505</v>
      </c>
      <c r="AW471" s="93">
        <f>IF('Net zero activities &amp; levers'!$C$8="Off",('Activity data'!BP14*EF!$H13)*kgtoGg,IF('Net zero activities &amp; levers'!$C$8="On",(('Net zero supporting data'!AN141*EF!$H13)+('Net zero supporting data'!AN131*'Net zero supporting data'!AN151))*kgtoGg,"ERROR"))</f>
        <v>24.055416693117973</v>
      </c>
      <c r="AY471" s="79"/>
    </row>
    <row r="472" spans="1:51" x14ac:dyDescent="0.2">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5.5526214800767892</v>
      </c>
      <c r="L472" s="27">
        <f t="shared" ref="L472:AW479" si="109">L1389</f>
        <v>5.579523571019652</v>
      </c>
      <c r="M472" s="27">
        <f t="shared" si="109"/>
        <v>5.6203482259438022</v>
      </c>
      <c r="N472" s="27">
        <f t="shared" si="109"/>
        <v>5.629075655008374</v>
      </c>
      <c r="O472" s="27">
        <f t="shared" si="109"/>
        <v>5.6165815405282284</v>
      </c>
      <c r="P472" s="27">
        <f t="shared" si="109"/>
        <v>5.5833231296706103</v>
      </c>
      <c r="Q472" s="27">
        <f t="shared" si="109"/>
        <v>5.5648827699457346</v>
      </c>
      <c r="R472" s="27">
        <f t="shared" si="109"/>
        <v>5.5483103177944013</v>
      </c>
      <c r="S472" s="27">
        <f t="shared" si="109"/>
        <v>5.2545848231765602</v>
      </c>
      <c r="T472" s="27">
        <f t="shared" si="109"/>
        <v>5.3277448648735932</v>
      </c>
      <c r="U472" s="27">
        <f t="shared" si="109"/>
        <v>5.3771318788227438</v>
      </c>
      <c r="V472" s="27">
        <f t="shared" si="109"/>
        <v>5.4200550937003218</v>
      </c>
      <c r="W472" s="27">
        <f t="shared" si="109"/>
        <v>5.4726184084270573</v>
      </c>
      <c r="X472" s="27">
        <f t="shared" si="109"/>
        <v>5.5193093093258572</v>
      </c>
      <c r="Y472" s="27">
        <f t="shared" si="109"/>
        <v>5.5623143429133499</v>
      </c>
      <c r="Z472" s="27">
        <f t="shared" si="109"/>
        <v>5.6016190467987945</v>
      </c>
      <c r="AA472" s="27">
        <f t="shared" si="109"/>
        <v>5.6358734850599594</v>
      </c>
      <c r="AB472" s="27">
        <f t="shared" si="109"/>
        <v>5.6864221774832213</v>
      </c>
      <c r="AC472" s="27">
        <f t="shared" si="109"/>
        <v>5.734761216152096</v>
      </c>
      <c r="AD472" s="27">
        <f t="shared" si="109"/>
        <v>5.7937893665421401</v>
      </c>
      <c r="AE472" s="27">
        <f t="shared" si="109"/>
        <v>5.868728906856421</v>
      </c>
      <c r="AF472" s="27">
        <f t="shared" si="109"/>
        <v>5.95097387412393</v>
      </c>
      <c r="AG472" s="27">
        <f t="shared" si="109"/>
        <v>6.0502809540907023</v>
      </c>
      <c r="AH472" s="27">
        <f t="shared" si="109"/>
        <v>6.1220107529838179</v>
      </c>
      <c r="AI472" s="27">
        <f t="shared" si="109"/>
        <v>6.1941308642978408</v>
      </c>
      <c r="AJ472" s="27">
        <f t="shared" si="109"/>
        <v>6.2747694866131836</v>
      </c>
      <c r="AK472" s="27">
        <f t="shared" si="109"/>
        <v>6.3513096084096698</v>
      </c>
      <c r="AL472" s="27">
        <f t="shared" si="109"/>
        <v>6.4323283925814563</v>
      </c>
      <c r="AM472" s="27">
        <f t="shared" si="109"/>
        <v>6.5134158744418782</v>
      </c>
      <c r="AN472" s="27">
        <f t="shared" si="109"/>
        <v>6.6126163316975539</v>
      </c>
      <c r="AO472" s="27">
        <f t="shared" si="109"/>
        <v>6.7066735285892829</v>
      </c>
      <c r="AP472" s="27">
        <f t="shared" si="109"/>
        <v>6.8021224333407027</v>
      </c>
      <c r="AQ472" s="27">
        <f t="shared" si="109"/>
        <v>6.9006513009384864</v>
      </c>
      <c r="AR472" s="27">
        <f t="shared" si="109"/>
        <v>7.0028965831984893</v>
      </c>
      <c r="AS472" s="27">
        <f t="shared" si="109"/>
        <v>7.1267607896665828</v>
      </c>
      <c r="AT472" s="27">
        <f t="shared" si="109"/>
        <v>7.2071584727038323</v>
      </c>
      <c r="AU472" s="27">
        <f t="shared" si="109"/>
        <v>7.2845566532149562</v>
      </c>
      <c r="AV472" s="27">
        <f t="shared" si="109"/>
        <v>7.3636089922437549</v>
      </c>
      <c r="AW472" s="27">
        <f t="shared" si="109"/>
        <v>7.4423534956754249</v>
      </c>
      <c r="AY472" s="79"/>
    </row>
    <row r="473" spans="1:51" x14ac:dyDescent="0.2">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2">
      <c r="A474" s="95" t="str">
        <f t="shared" si="108"/>
        <v>PQ Swine</v>
      </c>
      <c r="B474" s="95" t="s">
        <v>968</v>
      </c>
      <c r="C474" s="95" t="s">
        <v>155</v>
      </c>
      <c r="D474" t="s">
        <v>15</v>
      </c>
      <c r="E474" t="s">
        <v>16</v>
      </c>
      <c r="F474" t="s">
        <v>21</v>
      </c>
      <c r="G474" t="s">
        <v>122</v>
      </c>
      <c r="H474" t="s">
        <v>1020</v>
      </c>
      <c r="I474" t="s">
        <v>121</v>
      </c>
      <c r="J474" t="s">
        <v>286</v>
      </c>
      <c r="K474" s="27">
        <f t="shared" si="110"/>
        <v>1.8400999552016304</v>
      </c>
      <c r="L474" s="27">
        <f t="shared" si="109"/>
        <v>1.8300977880312255</v>
      </c>
      <c r="M474" s="27">
        <f t="shared" si="109"/>
        <v>1.8309187348828158</v>
      </c>
      <c r="N474" s="27">
        <f t="shared" si="109"/>
        <v>1.8141094978660448</v>
      </c>
      <c r="O474" s="27">
        <f t="shared" si="109"/>
        <v>1.7866561368117302</v>
      </c>
      <c r="P474" s="27">
        <f t="shared" si="109"/>
        <v>1.7489975228040084</v>
      </c>
      <c r="Q474" s="27">
        <f t="shared" si="109"/>
        <v>1.7216531928010095</v>
      </c>
      <c r="R474" s="27">
        <f t="shared" si="109"/>
        <v>1.6967284692901876</v>
      </c>
      <c r="S474" s="27">
        <f t="shared" si="109"/>
        <v>1.5117747469441463</v>
      </c>
      <c r="T474" s="27">
        <f t="shared" si="109"/>
        <v>1.5353784458928466</v>
      </c>
      <c r="U474" s="27">
        <f t="shared" si="109"/>
        <v>1.5454031535928081</v>
      </c>
      <c r="V474" s="27">
        <f t="shared" si="109"/>
        <v>1.5520051748391652</v>
      </c>
      <c r="W474" s="27">
        <f t="shared" si="109"/>
        <v>1.564229983889788</v>
      </c>
      <c r="X474" s="27">
        <f t="shared" si="109"/>
        <v>1.5733351038653358</v>
      </c>
      <c r="Y474" s="27">
        <f t="shared" si="109"/>
        <v>1.5781110770621192</v>
      </c>
      <c r="Z474" s="27">
        <f t="shared" si="109"/>
        <v>1.5810372890528743</v>
      </c>
      <c r="AA474" s="27">
        <f t="shared" si="109"/>
        <v>1.5814342334658642</v>
      </c>
      <c r="AB474" s="27">
        <f t="shared" si="109"/>
        <v>1.5906175911874081</v>
      </c>
      <c r="AC474" s="27">
        <f t="shared" si="109"/>
        <v>1.598639197477874</v>
      </c>
      <c r="AD474" s="27">
        <f t="shared" si="109"/>
        <v>1.6101808279098371</v>
      </c>
      <c r="AE474" s="27">
        <f t="shared" si="109"/>
        <v>1.6296768229523677</v>
      </c>
      <c r="AF474" s="27">
        <f t="shared" si="109"/>
        <v>1.6525077177354268</v>
      </c>
      <c r="AG474" s="27">
        <f t="shared" si="109"/>
        <v>1.6834189005947389</v>
      </c>
      <c r="AH474" s="27">
        <f t="shared" si="109"/>
        <v>1.7001060999840301</v>
      </c>
      <c r="AI474" s="27">
        <f t="shared" si="109"/>
        <v>1.714680678931171</v>
      </c>
      <c r="AJ474" s="27">
        <f t="shared" si="109"/>
        <v>1.7329967482102966</v>
      </c>
      <c r="AK474" s="27">
        <f t="shared" si="109"/>
        <v>1.7488990397133231</v>
      </c>
      <c r="AL474" s="27">
        <f t="shared" si="109"/>
        <v>1.7664947607476369</v>
      </c>
      <c r="AM474" s="27">
        <f t="shared" si="109"/>
        <v>1.7836580054040596</v>
      </c>
      <c r="AN474" s="27">
        <f t="shared" si="109"/>
        <v>1.8067654920152938</v>
      </c>
      <c r="AO474" s="27">
        <f t="shared" si="109"/>
        <v>1.8268312610518465</v>
      </c>
      <c r="AP474" s="27">
        <f t="shared" si="109"/>
        <v>1.8468791974694727</v>
      </c>
      <c r="AQ474" s="27">
        <f t="shared" si="109"/>
        <v>1.8676391522371276</v>
      </c>
      <c r="AR474" s="27">
        <f t="shared" si="109"/>
        <v>1.8893444874946981</v>
      </c>
      <c r="AS474" s="27">
        <f t="shared" si="109"/>
        <v>1.9176308190810374</v>
      </c>
      <c r="AT474" s="27">
        <f t="shared" si="109"/>
        <v>1.9263908565050327</v>
      </c>
      <c r="AU474" s="27">
        <f t="shared" si="109"/>
        <v>1.9333876275197814</v>
      </c>
      <c r="AV474" s="27">
        <f t="shared" si="109"/>
        <v>1.9406033255753634</v>
      </c>
      <c r="AW474" s="27">
        <f t="shared" si="109"/>
        <v>1.947207220691618</v>
      </c>
      <c r="AY474" s="79"/>
    </row>
    <row r="475" spans="1:51" x14ac:dyDescent="0.2">
      <c r="A475" s="95" t="str">
        <f t="shared" si="108"/>
        <v>PQ Swine</v>
      </c>
      <c r="B475" s="95" t="s">
        <v>968</v>
      </c>
      <c r="C475" s="95" t="s">
        <v>155</v>
      </c>
      <c r="D475" t="s">
        <v>15</v>
      </c>
      <c r="E475" t="s">
        <v>16</v>
      </c>
      <c r="F475" t="s">
        <v>21</v>
      </c>
      <c r="G475" t="s">
        <v>123</v>
      </c>
      <c r="H475" t="s">
        <v>1020</v>
      </c>
      <c r="I475" t="s">
        <v>121</v>
      </c>
      <c r="J475" t="s">
        <v>286</v>
      </c>
      <c r="K475" s="27">
        <f t="shared" si="110"/>
        <v>0.25496723934882609</v>
      </c>
      <c r="L475" s="27">
        <f t="shared" si="109"/>
        <v>0.25358132281546897</v>
      </c>
      <c r="M475" s="27">
        <f t="shared" si="109"/>
        <v>0.25369507454499346</v>
      </c>
      <c r="N475" s="27">
        <f t="shared" si="109"/>
        <v>0.25136595935447842</v>
      </c>
      <c r="O475" s="27">
        <f t="shared" si="109"/>
        <v>0.24756197704412711</v>
      </c>
      <c r="P475" s="27">
        <f t="shared" si="109"/>
        <v>0.2423439383043785</v>
      </c>
      <c r="Q475" s="27">
        <f t="shared" si="109"/>
        <v>0.23855506351363703</v>
      </c>
      <c r="R475" s="27">
        <f t="shared" si="109"/>
        <v>0.23510145332951488</v>
      </c>
      <c r="S475" s="27">
        <f t="shared" si="109"/>
        <v>0.20947396507239346</v>
      </c>
      <c r="T475" s="27">
        <f t="shared" si="109"/>
        <v>0.21274453194695842</v>
      </c>
      <c r="U475" s="27">
        <f t="shared" si="109"/>
        <v>0.21413357173271183</v>
      </c>
      <c r="V475" s="27">
        <f t="shared" si="109"/>
        <v>0.21504835852271614</v>
      </c>
      <c r="W475" s="27">
        <f t="shared" si="109"/>
        <v>0.21674224792605687</v>
      </c>
      <c r="X475" s="27">
        <f t="shared" si="109"/>
        <v>0.21800386814268849</v>
      </c>
      <c r="Y475" s="27">
        <f t="shared" si="109"/>
        <v>0.21866563474821746</v>
      </c>
      <c r="Z475" s="27">
        <f t="shared" si="109"/>
        <v>0.21907109543578676</v>
      </c>
      <c r="AA475" s="27">
        <f t="shared" si="109"/>
        <v>0.21912609669855451</v>
      </c>
      <c r="AB475" s="27">
        <f t="shared" si="109"/>
        <v>0.22039855766438188</v>
      </c>
      <c r="AC475" s="27">
        <f t="shared" si="109"/>
        <v>0.22151004446445585</v>
      </c>
      <c r="AD475" s="27">
        <f t="shared" si="109"/>
        <v>0.22310927152845497</v>
      </c>
      <c r="AE475" s="27">
        <f t="shared" si="109"/>
        <v>0.22581066827611573</v>
      </c>
      <c r="AF475" s="27">
        <f t="shared" si="109"/>
        <v>0.22897415414993735</v>
      </c>
      <c r="AG475" s="27">
        <f t="shared" si="109"/>
        <v>0.23325725786741008</v>
      </c>
      <c r="AH475" s="27">
        <f t="shared" si="109"/>
        <v>0.2355694633259906</v>
      </c>
      <c r="AI475" s="27">
        <f t="shared" si="109"/>
        <v>0.23758894066379471</v>
      </c>
      <c r="AJ475" s="27">
        <f t="shared" si="109"/>
        <v>0.24012684498068754</v>
      </c>
      <c r="AK475" s="27">
        <f t="shared" si="109"/>
        <v>0.24233029232733053</v>
      </c>
      <c r="AL475" s="27">
        <f t="shared" si="109"/>
        <v>0.24476838402109372</v>
      </c>
      <c r="AM475" s="27">
        <f t="shared" si="109"/>
        <v>0.2471465510853047</v>
      </c>
      <c r="AN475" s="27">
        <f t="shared" si="109"/>
        <v>0.25034836197220872</v>
      </c>
      <c r="AO475" s="27">
        <f t="shared" si="109"/>
        <v>0.25312870753017624</v>
      </c>
      <c r="AP475" s="27">
        <f t="shared" si="109"/>
        <v>0.25590658217149315</v>
      </c>
      <c r="AQ475" s="27">
        <f t="shared" si="109"/>
        <v>0.25878311523218522</v>
      </c>
      <c r="AR475" s="27">
        <f t="shared" si="109"/>
        <v>0.26179064174949174</v>
      </c>
      <c r="AS475" s="27">
        <f t="shared" si="109"/>
        <v>0.26571004181006297</v>
      </c>
      <c r="AT475" s="27">
        <f t="shared" si="109"/>
        <v>0.26692384682770609</v>
      </c>
      <c r="AU475" s="27">
        <f t="shared" si="109"/>
        <v>0.26789333078695698</v>
      </c>
      <c r="AV475" s="27">
        <f t="shared" si="109"/>
        <v>0.26889314963267008</v>
      </c>
      <c r="AW475" s="27">
        <f t="shared" si="109"/>
        <v>0.26980819606913181</v>
      </c>
      <c r="AY475" s="79"/>
    </row>
    <row r="476" spans="1:51" x14ac:dyDescent="0.2">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7.3924283487896005</v>
      </c>
      <c r="M476" s="27">
        <f t="shared" si="109"/>
        <v>7.4507389435191715</v>
      </c>
      <c r="N476" s="27">
        <f t="shared" si="109"/>
        <v>7.4882097119910753</v>
      </c>
      <c r="O476" s="27">
        <f t="shared" si="109"/>
        <v>7.5131092090175455</v>
      </c>
      <c r="P476" s="27">
        <f t="shared" si="109"/>
        <v>7.5251923679492405</v>
      </c>
      <c r="Q476" s="27">
        <f t="shared" si="109"/>
        <v>7.5518885629203734</v>
      </c>
      <c r="R476" s="27">
        <f t="shared" si="109"/>
        <v>7.5825135825669046</v>
      </c>
      <c r="S476" s="27">
        <f t="shared" si="109"/>
        <v>7.3749406226465846</v>
      </c>
      <c r="T476" s="27">
        <f t="shared" si="109"/>
        <v>7.4596947338228921</v>
      </c>
      <c r="U476" s="27">
        <f t="shared" si="109"/>
        <v>7.5261085209621994</v>
      </c>
      <c r="V476" s="27">
        <f t="shared" si="109"/>
        <v>7.5890282866946253</v>
      </c>
      <c r="W476" s="27">
        <f t="shared" si="109"/>
        <v>7.6625876396153867</v>
      </c>
      <c r="X476" s="27">
        <f t="shared" si="109"/>
        <v>7.733033452737752</v>
      </c>
      <c r="Y476" s="27">
        <f t="shared" si="109"/>
        <v>7.7921158726045912</v>
      </c>
      <c r="Z476" s="27">
        <f t="shared" si="109"/>
        <v>7.8495573007710338</v>
      </c>
      <c r="AA476" s="27">
        <f t="shared" si="109"/>
        <v>7.9040412638168576</v>
      </c>
      <c r="AB476" s="27">
        <f t="shared" si="109"/>
        <v>7.9749152148387106</v>
      </c>
      <c r="AC476" s="27">
        <f t="shared" si="109"/>
        <v>8.0454247210614032</v>
      </c>
      <c r="AD476" s="27">
        <f t="shared" si="109"/>
        <v>8.118986526852904</v>
      </c>
      <c r="AE476" s="27">
        <f t="shared" si="109"/>
        <v>8.2087302780498543</v>
      </c>
      <c r="AF476" s="27">
        <f t="shared" si="109"/>
        <v>8.3068407116005449</v>
      </c>
      <c r="AG476" s="27">
        <f t="shared" si="109"/>
        <v>8.4224927361534156</v>
      </c>
      <c r="AH476" s="27">
        <f t="shared" si="109"/>
        <v>8.5140894306414712</v>
      </c>
      <c r="AI476" s="27">
        <f t="shared" si="109"/>
        <v>8.5991817671771109</v>
      </c>
      <c r="AJ476" s="27">
        <f t="shared" si="109"/>
        <v>8.6936031201600006</v>
      </c>
      <c r="AK476" s="27">
        <f t="shared" si="109"/>
        <v>8.7854891773357977</v>
      </c>
      <c r="AL476" s="27">
        <f t="shared" si="109"/>
        <v>8.8829387927935777</v>
      </c>
      <c r="AM476" s="27">
        <f t="shared" si="109"/>
        <v>8.981789259815093</v>
      </c>
      <c r="AN476" s="27">
        <f t="shared" si="109"/>
        <v>9.0910335877436168</v>
      </c>
      <c r="AO476" s="27">
        <f t="shared" si="109"/>
        <v>9.1965466271076242</v>
      </c>
      <c r="AP476" s="27">
        <f t="shared" si="109"/>
        <v>9.3045679627692603</v>
      </c>
      <c r="AQ476" s="27">
        <f t="shared" si="109"/>
        <v>9.416735487095643</v>
      </c>
      <c r="AR476" s="27">
        <f t="shared" si="109"/>
        <v>9.5336904606360946</v>
      </c>
      <c r="AS476" s="27">
        <f t="shared" si="109"/>
        <v>9.6639189531179213</v>
      </c>
      <c r="AT476" s="27">
        <f t="shared" si="109"/>
        <v>9.7529871408715216</v>
      </c>
      <c r="AU476" s="27">
        <f t="shared" si="109"/>
        <v>9.8400068754522785</v>
      </c>
      <c r="AV476" s="27">
        <f t="shared" si="109"/>
        <v>9.9294924345892497</v>
      </c>
      <c r="AW476" s="27">
        <f t="shared" si="109"/>
        <v>10.019533761751701</v>
      </c>
      <c r="AY476" s="79"/>
    </row>
    <row r="477" spans="1:51" x14ac:dyDescent="0.2">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2.1061581299686476</v>
      </c>
      <c r="M477" s="27">
        <f t="shared" si="109"/>
        <v>2.1227712545548472</v>
      </c>
      <c r="N477" s="27">
        <f t="shared" si="109"/>
        <v>2.1334469567638776</v>
      </c>
      <c r="O477" s="27">
        <f t="shared" si="109"/>
        <v>2.1405410097083362</v>
      </c>
      <c r="P477" s="27">
        <f t="shared" si="109"/>
        <v>2.143983592066792</v>
      </c>
      <c r="Q477" s="27">
        <f t="shared" si="109"/>
        <v>2.151589537694508</v>
      </c>
      <c r="R477" s="27">
        <f t="shared" si="109"/>
        <v>2.1603148348588084</v>
      </c>
      <c r="S477" s="27">
        <f t="shared" si="109"/>
        <v>2.1011757459869611</v>
      </c>
      <c r="T477" s="27">
        <f t="shared" si="109"/>
        <v>2.1253228261993073</v>
      </c>
      <c r="U477" s="27">
        <f t="shared" si="109"/>
        <v>2.1442446109127653</v>
      </c>
      <c r="V477" s="27">
        <f t="shared" si="109"/>
        <v>2.162170922793051</v>
      </c>
      <c r="W477" s="27">
        <f t="shared" si="109"/>
        <v>2.1831285326445773</v>
      </c>
      <c r="X477" s="27">
        <f t="shared" si="109"/>
        <v>2.2031990717190912</v>
      </c>
      <c r="Y477" s="27">
        <f t="shared" si="109"/>
        <v>2.2200320950599446</v>
      </c>
      <c r="Z477" s="27">
        <f t="shared" si="109"/>
        <v>2.2363975875911741</v>
      </c>
      <c r="AA477" s="27">
        <f t="shared" si="109"/>
        <v>2.2519204761884857</v>
      </c>
      <c r="AB477" s="27">
        <f t="shared" si="109"/>
        <v>2.2721129949529209</v>
      </c>
      <c r="AC477" s="27">
        <f t="shared" si="109"/>
        <v>2.2922016806681249</v>
      </c>
      <c r="AD477" s="27">
        <f t="shared" si="109"/>
        <v>2.3131599893608721</v>
      </c>
      <c r="AE477" s="27">
        <f t="shared" si="109"/>
        <v>2.3387286553362805</v>
      </c>
      <c r="AF477" s="27">
        <f t="shared" si="109"/>
        <v>2.3666810516948278</v>
      </c>
      <c r="AG477" s="27">
        <f t="shared" si="109"/>
        <v>2.3996311785363349</v>
      </c>
      <c r="AH477" s="27">
        <f t="shared" si="109"/>
        <v>2.4257277619149016</v>
      </c>
      <c r="AI477" s="27">
        <f t="shared" si="109"/>
        <v>2.4499712050619578</v>
      </c>
      <c r="AJ477" s="27">
        <f t="shared" si="109"/>
        <v>2.4768725547733976</v>
      </c>
      <c r="AK477" s="27">
        <f t="shared" si="109"/>
        <v>2.5030515797460584</v>
      </c>
      <c r="AL477" s="27">
        <f t="shared" si="109"/>
        <v>2.5308157040871935</v>
      </c>
      <c r="AM477" s="27">
        <f t="shared" si="109"/>
        <v>2.5589789415168327</v>
      </c>
      <c r="AN477" s="27">
        <f t="shared" si="109"/>
        <v>2.5901034676621961</v>
      </c>
      <c r="AO477" s="27">
        <f t="shared" si="109"/>
        <v>2.6201649217864809</v>
      </c>
      <c r="AP477" s="27">
        <f t="shared" si="109"/>
        <v>2.6509410082873499</v>
      </c>
      <c r="AQ477" s="27">
        <f t="shared" si="109"/>
        <v>2.6828983749511943</v>
      </c>
      <c r="AR477" s="27">
        <f t="shared" si="109"/>
        <v>2.7162197217049746</v>
      </c>
      <c r="AS477" s="27">
        <f t="shared" si="109"/>
        <v>2.7533227932875448</v>
      </c>
      <c r="AT477" s="27">
        <f t="shared" si="109"/>
        <v>2.7786989861849074</v>
      </c>
      <c r="AU477" s="27">
        <f t="shared" si="109"/>
        <v>2.8034915594514418</v>
      </c>
      <c r="AV477" s="27">
        <f t="shared" si="109"/>
        <v>2.8289866645777546</v>
      </c>
      <c r="AW477" s="27">
        <f t="shared" si="109"/>
        <v>2.854640112171523</v>
      </c>
      <c r="AY477" s="79"/>
    </row>
    <row r="478" spans="1:51" x14ac:dyDescent="0.2">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0.43500213637199753</v>
      </c>
      <c r="M478" s="27">
        <f t="shared" si="109"/>
        <v>0.43843338143569016</v>
      </c>
      <c r="N478" s="27">
        <f t="shared" si="109"/>
        <v>0.44063832189202168</v>
      </c>
      <c r="O478" s="27">
        <f t="shared" si="109"/>
        <v>0.44210351490980404</v>
      </c>
      <c r="P478" s="27">
        <f t="shared" si="109"/>
        <v>0.44281453971808232</v>
      </c>
      <c r="Q478" s="27">
        <f t="shared" si="109"/>
        <v>0.44438545813589125</v>
      </c>
      <c r="R478" s="27">
        <f t="shared" si="109"/>
        <v>0.44618756541973886</v>
      </c>
      <c r="S478" s="27">
        <f t="shared" si="109"/>
        <v>0.43397308368814624</v>
      </c>
      <c r="T478" s="27">
        <f t="shared" si="109"/>
        <v>0.43896037848337277</v>
      </c>
      <c r="U478" s="27">
        <f t="shared" si="109"/>
        <v>0.4428684500840781</v>
      </c>
      <c r="V478" s="27">
        <f t="shared" si="109"/>
        <v>0.44657091850477143</v>
      </c>
      <c r="W478" s="27">
        <f t="shared" si="109"/>
        <v>0.45089946579138956</v>
      </c>
      <c r="X478" s="27">
        <f t="shared" si="109"/>
        <v>0.45504479906495582</v>
      </c>
      <c r="Y478" s="27">
        <f t="shared" si="109"/>
        <v>0.4585214616244665</v>
      </c>
      <c r="Z478" s="27">
        <f t="shared" si="109"/>
        <v>0.46190156120605425</v>
      </c>
      <c r="AA478" s="27">
        <f t="shared" si="109"/>
        <v>0.46510763087689888</v>
      </c>
      <c r="AB478" s="27">
        <f t="shared" si="109"/>
        <v>0.46927815761763869</v>
      </c>
      <c r="AC478" s="27">
        <f t="shared" si="109"/>
        <v>0.47342723886594434</v>
      </c>
      <c r="AD478" s="27">
        <f t="shared" si="109"/>
        <v>0.4777559304899795</v>
      </c>
      <c r="AE478" s="27">
        <f t="shared" si="109"/>
        <v>0.48303683706827621</v>
      </c>
      <c r="AF478" s="27">
        <f t="shared" si="109"/>
        <v>0.48881007506008173</v>
      </c>
      <c r="AG478" s="27">
        <f t="shared" si="109"/>
        <v>0.49561553537468644</v>
      </c>
      <c r="AH478" s="27">
        <f t="shared" si="109"/>
        <v>0.50100547707002141</v>
      </c>
      <c r="AI478" s="27">
        <f t="shared" si="109"/>
        <v>0.50601267449357823</v>
      </c>
      <c r="AJ478" s="27">
        <f t="shared" si="109"/>
        <v>0.51156883118915397</v>
      </c>
      <c r="AK478" s="27">
        <f t="shared" si="109"/>
        <v>0.51697580022400658</v>
      </c>
      <c r="AL478" s="27">
        <f t="shared" si="109"/>
        <v>0.52271015284978539</v>
      </c>
      <c r="AM478" s="27">
        <f t="shared" si="109"/>
        <v>0.52852693757963265</v>
      </c>
      <c r="AN478" s="27">
        <f t="shared" si="109"/>
        <v>0.5349553415888797</v>
      </c>
      <c r="AO478" s="27">
        <f t="shared" si="109"/>
        <v>0.54116418060264715</v>
      </c>
      <c r="AP478" s="27">
        <f t="shared" si="109"/>
        <v>0.54752061851039679</v>
      </c>
      <c r="AQ478" s="27">
        <f t="shared" si="109"/>
        <v>0.55412103591201056</v>
      </c>
      <c r="AR478" s="27">
        <f t="shared" si="109"/>
        <v>0.56100316732391087</v>
      </c>
      <c r="AS478" s="27">
        <f t="shared" si="109"/>
        <v>0.56866636942385063</v>
      </c>
      <c r="AT478" s="27">
        <f t="shared" si="109"/>
        <v>0.57390752295656533</v>
      </c>
      <c r="AU478" s="27">
        <f t="shared" si="109"/>
        <v>0.57902813673368103</v>
      </c>
      <c r="AV478" s="27">
        <f t="shared" si="109"/>
        <v>0.58429385018566193</v>
      </c>
      <c r="AW478" s="27">
        <f t="shared" si="109"/>
        <v>0.5895922674079066</v>
      </c>
      <c r="AY478" s="79"/>
    </row>
    <row r="479" spans="1:51" x14ac:dyDescent="0.2">
      <c r="A479" s="95" t="str">
        <f t="shared" si="108"/>
        <v>PQ Cattle MMCH4</v>
      </c>
      <c r="B479" s="95" t="s">
        <v>968</v>
      </c>
      <c r="C479" s="95" t="s">
        <v>1229</v>
      </c>
      <c r="D479" t="s">
        <v>15</v>
      </c>
      <c r="E479" t="s">
        <v>22</v>
      </c>
      <c r="F479" t="s">
        <v>67</v>
      </c>
      <c r="G479" t="s">
        <v>122</v>
      </c>
      <c r="H479" t="s">
        <v>1227</v>
      </c>
      <c r="I479" t="s">
        <v>121</v>
      </c>
      <c r="J479" t="s">
        <v>286</v>
      </c>
      <c r="K479" s="27">
        <f t="shared" si="110"/>
        <v>9.4871637196006553E-2</v>
      </c>
      <c r="L479" s="27">
        <f t="shared" si="109"/>
        <v>9.4048845784615531E-2</v>
      </c>
      <c r="M479" s="27">
        <f t="shared" si="109"/>
        <v>9.3735634002294246E-2</v>
      </c>
      <c r="N479" s="27">
        <f t="shared" si="109"/>
        <v>9.2483917307495084E-2</v>
      </c>
      <c r="O479" s="27">
        <f t="shared" si="109"/>
        <v>9.0667019955957398E-2</v>
      </c>
      <c r="P479" s="27">
        <f t="shared" ref="L479:AW485" si="111">P1396</f>
        <v>8.8322512540543865E-2</v>
      </c>
      <c r="Q479" s="27">
        <f t="shared" si="111"/>
        <v>8.6473330972337892E-2</v>
      </c>
      <c r="R479" s="27">
        <f t="shared" si="111"/>
        <v>8.4723794986300283E-2</v>
      </c>
      <c r="S479" s="27">
        <f t="shared" si="111"/>
        <v>7.5194221843696937E-2</v>
      </c>
      <c r="T479" s="27">
        <f t="shared" si="111"/>
        <v>7.6632536915557561E-2</v>
      </c>
      <c r="U479" s="27">
        <f t="shared" si="111"/>
        <v>7.7401549005272907E-2</v>
      </c>
      <c r="V479" s="27">
        <f t="shared" si="111"/>
        <v>7.7993527400119084E-2</v>
      </c>
      <c r="W479" s="27">
        <f t="shared" si="111"/>
        <v>7.8850028173398812E-2</v>
      </c>
      <c r="X479" s="27">
        <f t="shared" si="111"/>
        <v>7.9545124288710786E-2</v>
      </c>
      <c r="Y479" s="27">
        <f t="shared" si="111"/>
        <v>7.9993221888415164E-2</v>
      </c>
      <c r="Z479" s="27">
        <f t="shared" si="111"/>
        <v>8.0342032341122221E-2</v>
      </c>
      <c r="AA479" s="27">
        <f t="shared" si="111"/>
        <v>8.0558218611879576E-2</v>
      </c>
      <c r="AB479" s="27">
        <f t="shared" si="111"/>
        <v>8.1198214942881639E-2</v>
      </c>
      <c r="AC479" s="27">
        <f t="shared" si="111"/>
        <v>8.1774057106542911E-2</v>
      </c>
      <c r="AD479" s="27">
        <f t="shared" si="111"/>
        <v>8.1803756887802739E-2</v>
      </c>
      <c r="AE479" s="27">
        <f t="shared" si="111"/>
        <v>8.2189518118440233E-2</v>
      </c>
      <c r="AF479" s="27">
        <f t="shared" si="111"/>
        <v>8.2699636683975147E-2</v>
      </c>
      <c r="AG479" s="27">
        <f t="shared" si="111"/>
        <v>8.3556074547621109E-2</v>
      </c>
      <c r="AH479" s="27">
        <f t="shared" si="111"/>
        <v>8.3692861347297365E-2</v>
      </c>
      <c r="AI479" s="27">
        <f t="shared" si="111"/>
        <v>8.3678502694708126E-2</v>
      </c>
      <c r="AJ479" s="27">
        <f t="shared" si="111"/>
        <v>8.380415826329729E-2</v>
      </c>
      <c r="AK479" s="27">
        <f t="shared" si="111"/>
        <v>8.3780965761712248E-2</v>
      </c>
      <c r="AL479" s="27">
        <f t="shared" si="111"/>
        <v>8.3798710851856847E-2</v>
      </c>
      <c r="AM479" s="27">
        <f t="shared" si="111"/>
        <v>8.3758438816059183E-2</v>
      </c>
      <c r="AN479" s="27">
        <f t="shared" si="111"/>
        <v>8.4359602001058728E-2</v>
      </c>
      <c r="AO479" s="27">
        <f t="shared" si="111"/>
        <v>8.4799386999346651E-2</v>
      </c>
      <c r="AP479" s="27">
        <f t="shared" si="111"/>
        <v>8.5213797519739967E-2</v>
      </c>
      <c r="AQ479" s="27">
        <f t="shared" si="111"/>
        <v>8.5634541045958551E-2</v>
      </c>
      <c r="AR479" s="27">
        <f t="shared" si="111"/>
        <v>8.6070741793779534E-2</v>
      </c>
      <c r="AS479" s="27">
        <f t="shared" si="111"/>
        <v>8.6754318409979284E-2</v>
      </c>
      <c r="AT479" s="27">
        <f t="shared" si="111"/>
        <v>8.6561782662480824E-2</v>
      </c>
      <c r="AU479" s="27">
        <f t="shared" si="111"/>
        <v>8.6273112387571071E-2</v>
      </c>
      <c r="AV479" s="27">
        <f t="shared" si="111"/>
        <v>8.5974128279328724E-2</v>
      </c>
      <c r="AW479" s="27">
        <f t="shared" si="111"/>
        <v>8.5629055859458861E-2</v>
      </c>
      <c r="AY479" s="79"/>
    </row>
    <row r="480" spans="1:51" x14ac:dyDescent="0.2">
      <c r="A480" s="95" t="str">
        <f t="shared" si="108"/>
        <v>PQ Cattle MMCH4</v>
      </c>
      <c r="B480" s="95" t="s">
        <v>968</v>
      </c>
      <c r="C480" s="95" t="s">
        <v>1229</v>
      </c>
      <c r="D480" t="s">
        <v>15</v>
      </c>
      <c r="E480" t="s">
        <v>22</v>
      </c>
      <c r="F480" t="s">
        <v>67</v>
      </c>
      <c r="G480" t="s">
        <v>123</v>
      </c>
      <c r="H480" t="s">
        <v>1227</v>
      </c>
      <c r="I480" t="s">
        <v>121</v>
      </c>
      <c r="J480" t="s">
        <v>286</v>
      </c>
      <c r="K480" s="27">
        <f t="shared" si="110"/>
        <v>6.9689449734106304E-2</v>
      </c>
      <c r="L480" s="27">
        <f t="shared" si="111"/>
        <v>6.908505539244103E-2</v>
      </c>
      <c r="M480" s="27">
        <f t="shared" si="111"/>
        <v>6.8854980763127793E-2</v>
      </c>
      <c r="N480" s="27">
        <f t="shared" si="111"/>
        <v>6.7935512624264269E-2</v>
      </c>
      <c r="O480" s="27">
        <f t="shared" si="111"/>
        <v>6.6600882165738284E-2</v>
      </c>
      <c r="P480" s="27">
        <f t="shared" si="111"/>
        <v>6.4878687456057696E-2</v>
      </c>
      <c r="Q480" s="27">
        <f t="shared" si="111"/>
        <v>6.3520342119606069E-2</v>
      </c>
      <c r="R480" s="27">
        <f t="shared" si="111"/>
        <v>6.2235193009075998E-2</v>
      </c>
      <c r="S480" s="27">
        <f t="shared" si="111"/>
        <v>5.5235095528552075E-2</v>
      </c>
      <c r="T480" s="27">
        <f t="shared" si="111"/>
        <v>5.629163243320303E-2</v>
      </c>
      <c r="U480" s="27">
        <f t="shared" si="111"/>
        <v>5.6856522330279623E-2</v>
      </c>
      <c r="V480" s="27">
        <f t="shared" si="111"/>
        <v>5.7291369348952612E-2</v>
      </c>
      <c r="W480" s="27">
        <f t="shared" si="111"/>
        <v>5.7920525431327162E-2</v>
      </c>
      <c r="X480" s="27">
        <f t="shared" si="111"/>
        <v>5.8431119189589487E-2</v>
      </c>
      <c r="Y480" s="27">
        <f t="shared" si="111"/>
        <v>5.8760276312556113E-2</v>
      </c>
      <c r="Z480" s="27">
        <f t="shared" si="111"/>
        <v>5.9016500503780274E-2</v>
      </c>
      <c r="AA480" s="27">
        <f t="shared" si="111"/>
        <v>5.9175303521145986E-2</v>
      </c>
      <c r="AB480" s="27">
        <f t="shared" si="111"/>
        <v>5.9645422868272187E-2</v>
      </c>
      <c r="AC480" s="27">
        <f t="shared" si="111"/>
        <v>6.0068416765134525E-2</v>
      </c>
      <c r="AD480" s="27">
        <f t="shared" si="111"/>
        <v>6.0090233205478502E-2</v>
      </c>
      <c r="AE480" s="27">
        <f t="shared" si="111"/>
        <v>6.0373600170426478E-2</v>
      </c>
      <c r="AF480" s="27">
        <f t="shared" si="111"/>
        <v>6.0748315767015518E-2</v>
      </c>
      <c r="AG480" s="27">
        <f t="shared" si="111"/>
        <v>6.1377425638131498E-2</v>
      </c>
      <c r="AH480" s="27">
        <f t="shared" si="111"/>
        <v>6.1477904528156692E-2</v>
      </c>
      <c r="AI480" s="27">
        <f t="shared" si="111"/>
        <v>6.1467357154595496E-2</v>
      </c>
      <c r="AJ480" s="27">
        <f t="shared" si="111"/>
        <v>6.1559659424165428E-2</v>
      </c>
      <c r="AK480" s="27">
        <f t="shared" si="111"/>
        <v>6.1542623008212359E-2</v>
      </c>
      <c r="AL480" s="27">
        <f t="shared" si="111"/>
        <v>6.155565794261645E-2</v>
      </c>
      <c r="AM480" s="27">
        <f t="shared" si="111"/>
        <v>6.1526075486812389E-2</v>
      </c>
      <c r="AN480" s="27">
        <f t="shared" si="111"/>
        <v>6.1967669337211172E-2</v>
      </c>
      <c r="AO480" s="27">
        <f t="shared" si="111"/>
        <v>6.2290720308374216E-2</v>
      </c>
      <c r="AP480" s="27">
        <f t="shared" si="111"/>
        <v>6.2595132058648639E-2</v>
      </c>
      <c r="AQ480" s="27">
        <f t="shared" si="111"/>
        <v>6.2904195817723246E-2</v>
      </c>
      <c r="AR480" s="27">
        <f t="shared" si="111"/>
        <v>6.3224613921465334E-2</v>
      </c>
      <c r="AS480" s="27">
        <f t="shared" si="111"/>
        <v>6.3726745850902156E-2</v>
      </c>
      <c r="AT480" s="27">
        <f t="shared" si="111"/>
        <v>6.3585315696496877E-2</v>
      </c>
      <c r="AU480" s="27">
        <f t="shared" si="111"/>
        <v>6.3373268416533846E-2</v>
      </c>
      <c r="AV480" s="27">
        <f t="shared" si="111"/>
        <v>6.3153644948461887E-2</v>
      </c>
      <c r="AW480" s="27">
        <f t="shared" si="111"/>
        <v>6.2900166587911782E-2</v>
      </c>
      <c r="AY480" s="79"/>
    </row>
    <row r="481" spans="1:51" x14ac:dyDescent="0.2">
      <c r="A481" s="95" t="str">
        <f t="shared" si="108"/>
        <v>PQ Cattle MMCH4</v>
      </c>
      <c r="B481" s="95" t="s">
        <v>968</v>
      </c>
      <c r="C481" s="95" t="s">
        <v>1229</v>
      </c>
      <c r="D481" t="s">
        <v>15</v>
      </c>
      <c r="E481" t="s">
        <v>22</v>
      </c>
      <c r="F481" t="s">
        <v>67</v>
      </c>
      <c r="G481" t="s">
        <v>135</v>
      </c>
      <c r="H481" t="s">
        <v>1227</v>
      </c>
      <c r="I481" t="s">
        <v>121</v>
      </c>
      <c r="J481" t="s">
        <v>286</v>
      </c>
      <c r="K481" s="27">
        <f t="shared" si="110"/>
        <v>0.47107022937833831</v>
      </c>
      <c r="L481" s="27">
        <f t="shared" si="111"/>
        <v>0.48695387967725956</v>
      </c>
      <c r="M481" s="27">
        <f t="shared" si="111"/>
        <v>0.50580611066616787</v>
      </c>
      <c r="N481" s="27">
        <f t="shared" si="111"/>
        <v>0.51986569055899412</v>
      </c>
      <c r="O481" s="27">
        <f t="shared" si="111"/>
        <v>0.53070826286138573</v>
      </c>
      <c r="P481" s="27">
        <f t="shared" si="111"/>
        <v>0.53817886796858128</v>
      </c>
      <c r="Q481" s="27">
        <f t="shared" si="111"/>
        <v>0.54837935702304741</v>
      </c>
      <c r="R481" s="27">
        <f t="shared" si="111"/>
        <v>0.55907244781022658</v>
      </c>
      <c r="S481" s="27">
        <f t="shared" si="111"/>
        <v>0.51624279949509155</v>
      </c>
      <c r="T481" s="27">
        <f t="shared" si="111"/>
        <v>0.53879307932677856</v>
      </c>
      <c r="U481" s="27">
        <f t="shared" si="111"/>
        <v>0.55713109899852753</v>
      </c>
      <c r="V481" s="27">
        <f t="shared" si="111"/>
        <v>0.57456229359809852</v>
      </c>
      <c r="W481" s="27">
        <f t="shared" si="111"/>
        <v>0.59433872658918863</v>
      </c>
      <c r="X481" s="27">
        <f t="shared" si="111"/>
        <v>0.61332693480888556</v>
      </c>
      <c r="Y481" s="27">
        <f t="shared" si="111"/>
        <v>0.63078242094770143</v>
      </c>
      <c r="Z481" s="27">
        <f t="shared" si="111"/>
        <v>0.64777903840881934</v>
      </c>
      <c r="AA481" s="27">
        <f t="shared" si="111"/>
        <v>0.66400113500174907</v>
      </c>
      <c r="AB481" s="27">
        <f t="shared" si="111"/>
        <v>0.68407603128870909</v>
      </c>
      <c r="AC481" s="27">
        <f t="shared" si="111"/>
        <v>0.70404867201485544</v>
      </c>
      <c r="AD481" s="27">
        <f t="shared" si="111"/>
        <v>0.72766101903000513</v>
      </c>
      <c r="AE481" s="27">
        <f t="shared" si="111"/>
        <v>0.75538392864169213</v>
      </c>
      <c r="AF481" s="27">
        <f t="shared" si="111"/>
        <v>0.78539118200338776</v>
      </c>
      <c r="AG481" s="27">
        <f t="shared" si="111"/>
        <v>0.8200419216488164</v>
      </c>
      <c r="AH481" s="27">
        <f t="shared" si="111"/>
        <v>0.8489366901406914</v>
      </c>
      <c r="AI481" s="27">
        <f t="shared" si="111"/>
        <v>0.87738791798686844</v>
      </c>
      <c r="AJ481" s="27">
        <f t="shared" si="111"/>
        <v>0.90845821020325546</v>
      </c>
      <c r="AK481" s="27">
        <f t="shared" si="111"/>
        <v>0.93913064377113187</v>
      </c>
      <c r="AL481" s="27">
        <f t="shared" si="111"/>
        <v>0.97151128715932467</v>
      </c>
      <c r="AM481" s="27">
        <f t="shared" si="111"/>
        <v>1.0045387395175103</v>
      </c>
      <c r="AN481" s="27">
        <f t="shared" si="111"/>
        <v>1.0402953867873999</v>
      </c>
      <c r="AO481" s="27">
        <f t="shared" si="111"/>
        <v>1.0753258690752492</v>
      </c>
      <c r="AP481" s="27">
        <f t="shared" si="111"/>
        <v>1.1112943424505797</v>
      </c>
      <c r="AQ481" s="27">
        <f t="shared" si="111"/>
        <v>1.1486611306142331</v>
      </c>
      <c r="AR481" s="27">
        <f t="shared" si="111"/>
        <v>1.1876258937828315</v>
      </c>
      <c r="AS481" s="27">
        <f t="shared" si="111"/>
        <v>1.2315704356820807</v>
      </c>
      <c r="AT481" s="27">
        <f t="shared" si="111"/>
        <v>1.2644650423303223</v>
      </c>
      <c r="AU481" s="27">
        <f t="shared" si="111"/>
        <v>1.2970080883934705</v>
      </c>
      <c r="AV481" s="27">
        <f t="shared" si="111"/>
        <v>1.3304588860507658</v>
      </c>
      <c r="AW481" s="27">
        <f t="shared" si="111"/>
        <v>1.3642912097880298</v>
      </c>
      <c r="AY481" s="79"/>
    </row>
    <row r="482" spans="1:51" x14ac:dyDescent="0.2">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3.6781380176720842E-2</v>
      </c>
      <c r="T482" s="27">
        <f t="shared" si="111"/>
        <v>3.6837395233082854E-2</v>
      </c>
      <c r="U482" s="27">
        <f t="shared" si="111"/>
        <v>3.6900705652170011E-2</v>
      </c>
      <c r="V482" s="27">
        <f t="shared" si="111"/>
        <v>3.6972125402225033E-2</v>
      </c>
      <c r="W482" s="27">
        <f t="shared" si="111"/>
        <v>3.7052467371172147E-2</v>
      </c>
      <c r="X482" s="27">
        <f t="shared" si="111"/>
        <v>3.7140056258746688E-2</v>
      </c>
      <c r="Y482" s="27">
        <f t="shared" si="111"/>
        <v>3.7193327101982677E-2</v>
      </c>
      <c r="Z482" s="27">
        <f t="shared" si="111"/>
        <v>3.725282757032642E-2</v>
      </c>
      <c r="AA482" s="27">
        <f t="shared" si="111"/>
        <v>3.7318121191736012E-2</v>
      </c>
      <c r="AB482" s="27">
        <f t="shared" si="111"/>
        <v>3.7390686259807883E-2</v>
      </c>
      <c r="AC482" s="27">
        <f t="shared" si="111"/>
        <v>3.7468739847843706E-2</v>
      </c>
      <c r="AD482" s="27">
        <f t="shared" si="111"/>
        <v>3.751974247344389E-2</v>
      </c>
      <c r="AE482" s="27">
        <f t="shared" si="111"/>
        <v>3.7576993148623769E-2</v>
      </c>
      <c r="AF482" s="27">
        <f t="shared" si="111"/>
        <v>3.7639577283476555E-2</v>
      </c>
      <c r="AG482" s="27">
        <f t="shared" si="111"/>
        <v>3.7708144828082185E-2</v>
      </c>
      <c r="AH482" s="27">
        <f t="shared" si="111"/>
        <v>3.7778741786852331E-2</v>
      </c>
      <c r="AI482" s="27">
        <f t="shared" si="111"/>
        <v>3.7822008909384815E-2</v>
      </c>
      <c r="AJ482" s="27">
        <f t="shared" si="111"/>
        <v>3.7869806060801224E-2</v>
      </c>
      <c r="AK482" s="27">
        <f t="shared" si="111"/>
        <v>3.7920914851450743E-2</v>
      </c>
      <c r="AL482" s="27">
        <f t="shared" si="111"/>
        <v>3.7975943332366417E-2</v>
      </c>
      <c r="AM482" s="27">
        <f t="shared" si="111"/>
        <v>3.8034394238678673E-2</v>
      </c>
      <c r="AN482" s="27">
        <f t="shared" si="111"/>
        <v>3.8068290997096535E-2</v>
      </c>
      <c r="AO482" s="27">
        <f t="shared" si="111"/>
        <v>3.8104751343434065E-2</v>
      </c>
      <c r="AP482" s="27">
        <f t="shared" si="111"/>
        <v>3.8144241244256513E-2</v>
      </c>
      <c r="AQ482" s="27">
        <f t="shared" si="111"/>
        <v>3.8186815214812375E-2</v>
      </c>
      <c r="AR482" s="27">
        <f t="shared" si="111"/>
        <v>3.8232443493664919E-2</v>
      </c>
      <c r="AS482" s="27">
        <f t="shared" si="111"/>
        <v>3.825284618540576E-2</v>
      </c>
      <c r="AT482" s="27">
        <f t="shared" si="111"/>
        <v>3.8271836221950122E-2</v>
      </c>
      <c r="AU482" s="27">
        <f t="shared" si="111"/>
        <v>3.8292888607538426E-2</v>
      </c>
      <c r="AV482" s="27">
        <f t="shared" si="111"/>
        <v>3.8316340791445545E-2</v>
      </c>
      <c r="AW482" s="27">
        <f t="shared" si="111"/>
        <v>3.8341951349881082E-2</v>
      </c>
      <c r="AY482" s="79"/>
    </row>
    <row r="483" spans="1:51" x14ac:dyDescent="0.2">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4.2006089356439562E-3</v>
      </c>
      <c r="T483" s="27">
        <f t="shared" si="111"/>
        <v>4.2070061220778072E-3</v>
      </c>
      <c r="U483" s="27">
        <f t="shared" si="111"/>
        <v>4.2142364737084185E-3</v>
      </c>
      <c r="V483" s="27">
        <f t="shared" si="111"/>
        <v>4.2223929495889085E-3</v>
      </c>
      <c r="W483" s="27">
        <f t="shared" si="111"/>
        <v>4.2315683853948781E-3</v>
      </c>
      <c r="X483" s="27">
        <f t="shared" si="111"/>
        <v>4.2415714538507386E-3</v>
      </c>
      <c r="Y483" s="27">
        <f t="shared" si="111"/>
        <v>4.2476552380652311E-3</v>
      </c>
      <c r="Z483" s="27">
        <f t="shared" si="111"/>
        <v>4.2544504751607076E-3</v>
      </c>
      <c r="AA483" s="27">
        <f t="shared" si="111"/>
        <v>4.261907317949531E-3</v>
      </c>
      <c r="AB483" s="27">
        <f t="shared" si="111"/>
        <v>4.2701945946067351E-3</v>
      </c>
      <c r="AC483" s="27">
        <f t="shared" si="111"/>
        <v>4.2791086864050034E-3</v>
      </c>
      <c r="AD483" s="27">
        <f t="shared" si="111"/>
        <v>4.284933429353965E-3</v>
      </c>
      <c r="AE483" s="27">
        <f t="shared" si="111"/>
        <v>4.2914717293464286E-3</v>
      </c>
      <c r="AF483" s="27">
        <f t="shared" si="111"/>
        <v>4.2986191358556219E-3</v>
      </c>
      <c r="AG483" s="27">
        <f t="shared" si="111"/>
        <v>4.3064498762786759E-3</v>
      </c>
      <c r="AH483" s="27">
        <f t="shared" si="111"/>
        <v>4.3145123854725761E-3</v>
      </c>
      <c r="AI483" s="27">
        <f t="shared" si="111"/>
        <v>4.3194536970997174E-3</v>
      </c>
      <c r="AJ483" s="27">
        <f t="shared" si="111"/>
        <v>4.3249123596179112E-3</v>
      </c>
      <c r="AK483" s="27">
        <f t="shared" si="111"/>
        <v>4.3307492271215465E-3</v>
      </c>
      <c r="AL483" s="27">
        <f t="shared" si="111"/>
        <v>4.3370337419368866E-3</v>
      </c>
      <c r="AM483" s="27">
        <f t="shared" si="111"/>
        <v>4.3437091140456031E-3</v>
      </c>
      <c r="AN483" s="27">
        <f t="shared" si="111"/>
        <v>4.3475802854267562E-3</v>
      </c>
      <c r="AO483" s="27">
        <f t="shared" si="111"/>
        <v>4.3517442307677472E-3</v>
      </c>
      <c r="AP483" s="27">
        <f t="shared" si="111"/>
        <v>4.3562541656713728E-3</v>
      </c>
      <c r="AQ483" s="27">
        <f t="shared" si="111"/>
        <v>4.3611163160388556E-3</v>
      </c>
      <c r="AR483" s="27">
        <f t="shared" si="111"/>
        <v>4.3663272829722651E-3</v>
      </c>
      <c r="AS483" s="27">
        <f t="shared" si="111"/>
        <v>4.3686573676190608E-3</v>
      </c>
      <c r="AT483" s="27">
        <f t="shared" si="111"/>
        <v>4.3708261203089602E-3</v>
      </c>
      <c r="AU483" s="27">
        <f t="shared" si="111"/>
        <v>4.3732304030899213E-3</v>
      </c>
      <c r="AV483" s="27">
        <f t="shared" si="111"/>
        <v>4.3759087542775948E-3</v>
      </c>
      <c r="AW483" s="27">
        <f t="shared" si="111"/>
        <v>4.3788336021243655E-3</v>
      </c>
      <c r="AY483" s="79"/>
    </row>
    <row r="484" spans="1:51" x14ac:dyDescent="0.2">
      <c r="A484" s="95" t="str">
        <f t="shared" si="108"/>
        <v>PQ Goats MMCH4</v>
      </c>
      <c r="B484" s="95" t="s">
        <v>968</v>
      </c>
      <c r="C484" s="95" t="s">
        <v>1325</v>
      </c>
      <c r="D484" t="s">
        <v>15</v>
      </c>
      <c r="E484" t="s">
        <v>22</v>
      </c>
      <c r="F484" t="s">
        <v>19</v>
      </c>
      <c r="G484" t="s">
        <v>122</v>
      </c>
      <c r="H484" t="s">
        <v>1227</v>
      </c>
      <c r="I484" t="s">
        <v>121</v>
      </c>
      <c r="J484" t="s">
        <v>286</v>
      </c>
      <c r="K484" s="27">
        <f t="shared" si="110"/>
        <v>1.5789672763163298E-2</v>
      </c>
      <c r="L484" s="27">
        <f t="shared" si="111"/>
        <v>1.5830718290757027E-2</v>
      </c>
      <c r="M484" s="27">
        <f t="shared" si="111"/>
        <v>1.588733914557475E-2</v>
      </c>
      <c r="N484" s="27">
        <f t="shared" si="111"/>
        <v>1.5956318300360574E-2</v>
      </c>
      <c r="O484" s="27">
        <f t="shared" si="111"/>
        <v>1.6037557372574476E-2</v>
      </c>
      <c r="P484" s="27">
        <f t="shared" si="111"/>
        <v>1.6130561898613765E-2</v>
      </c>
      <c r="Q484" s="27">
        <f t="shared" si="111"/>
        <v>1.623065478441902E-2</v>
      </c>
      <c r="R484" s="27">
        <f t="shared" si="111"/>
        <v>1.6337439810579345E-2</v>
      </c>
      <c r="S484" s="27">
        <f t="shared" si="111"/>
        <v>1.643554333202487E-2</v>
      </c>
      <c r="T484" s="27">
        <f t="shared" si="111"/>
        <v>1.6483301762184554E-2</v>
      </c>
      <c r="U484" s="27">
        <f t="shared" si="111"/>
        <v>1.6534634024242746E-2</v>
      </c>
      <c r="V484" s="27">
        <f t="shared" si="111"/>
        <v>1.6590167866284391E-2</v>
      </c>
      <c r="W484" s="27">
        <f t="shared" si="111"/>
        <v>1.6650513034667372E-2</v>
      </c>
      <c r="X484" s="27">
        <f t="shared" si="111"/>
        <v>1.6714595783630822E-2</v>
      </c>
      <c r="Y484" s="27">
        <f t="shared" si="111"/>
        <v>1.675465761621437E-2</v>
      </c>
      <c r="Z484" s="27">
        <f t="shared" si="111"/>
        <v>1.6797993910304499E-2</v>
      </c>
      <c r="AA484" s="27">
        <f t="shared" si="111"/>
        <v>1.6844349786289844E-2</v>
      </c>
      <c r="AB484" s="27">
        <f t="shared" si="111"/>
        <v>1.6894740217603017E-2</v>
      </c>
      <c r="AC484" s="27">
        <f t="shared" si="111"/>
        <v>1.6948004409300596E-2</v>
      </c>
      <c r="AD484" s="27">
        <f t="shared" si="111"/>
        <v>1.6982631842965532E-2</v>
      </c>
      <c r="AE484" s="27">
        <f t="shared" si="111"/>
        <v>1.7020769407942386E-2</v>
      </c>
      <c r="AF484" s="27">
        <f t="shared" si="111"/>
        <v>1.706182735565186E-2</v>
      </c>
      <c r="AG484" s="27">
        <f t="shared" si="111"/>
        <v>1.7106247534338585E-2</v>
      </c>
      <c r="AH484" s="27">
        <f t="shared" si="111"/>
        <v>1.7151443283113514E-2</v>
      </c>
      <c r="AI484" s="27">
        <f t="shared" si="111"/>
        <v>1.7178196369350997E-2</v>
      </c>
      <c r="AJ484" s="27">
        <f t="shared" si="111"/>
        <v>1.7207475551738096E-2</v>
      </c>
      <c r="AK484" s="27">
        <f t="shared" si="111"/>
        <v>1.7238492794342867E-2</v>
      </c>
      <c r="AL484" s="27">
        <f t="shared" si="111"/>
        <v>1.7271654863993541E-2</v>
      </c>
      <c r="AM484" s="27">
        <f t="shared" si="111"/>
        <v>1.7306645282033659E-2</v>
      </c>
      <c r="AN484" s="27">
        <f t="shared" si="111"/>
        <v>1.7325303131063272E-2</v>
      </c>
      <c r="AO484" s="27">
        <f t="shared" si="111"/>
        <v>1.7345310027733502E-2</v>
      </c>
      <c r="AP484" s="27">
        <f t="shared" si="111"/>
        <v>1.73669746106416E-2</v>
      </c>
      <c r="AQ484" s="27">
        <f t="shared" si="111"/>
        <v>1.7390336782594662E-2</v>
      </c>
      <c r="AR484" s="27">
        <f t="shared" si="111"/>
        <v>1.7415381119938025E-2</v>
      </c>
      <c r="AS484" s="27">
        <f t="shared" si="111"/>
        <v>1.7423900612777786E-2</v>
      </c>
      <c r="AT484" s="27">
        <f t="shared" si="111"/>
        <v>1.7431295916305947E-2</v>
      </c>
      <c r="AU484" s="27">
        <f t="shared" si="111"/>
        <v>1.7439812218621446E-2</v>
      </c>
      <c r="AV484" s="27">
        <f t="shared" si="111"/>
        <v>1.7449669082955088E-2</v>
      </c>
      <c r="AW484" s="27">
        <f t="shared" si="111"/>
        <v>1.7460713883303017E-2</v>
      </c>
      <c r="AY484" s="79"/>
    </row>
    <row r="485" spans="1:51" x14ac:dyDescent="0.2">
      <c r="A485" s="95" t="str">
        <f t="shared" si="108"/>
        <v>PQ Goats MMCH4</v>
      </c>
      <c r="B485" s="95" t="s">
        <v>968</v>
      </c>
      <c r="C485" s="95" t="s">
        <v>1325</v>
      </c>
      <c r="D485" t="s">
        <v>15</v>
      </c>
      <c r="E485" t="s">
        <v>22</v>
      </c>
      <c r="F485" t="s">
        <v>19</v>
      </c>
      <c r="G485" t="s">
        <v>123</v>
      </c>
      <c r="H485" t="s">
        <v>1227</v>
      </c>
      <c r="I485" t="s">
        <v>121</v>
      </c>
      <c r="J485" t="s">
        <v>286</v>
      </c>
      <c r="K485" s="27">
        <f t="shared" si="110"/>
        <v>2.6592218800664796E-2</v>
      </c>
      <c r="L485" s="27">
        <f t="shared" si="111"/>
        <v>2.6661345733624896E-2</v>
      </c>
      <c r="M485" s="27">
        <f t="shared" si="111"/>
        <v>2.6756703894783639E-2</v>
      </c>
      <c r="N485" s="27">
        <f t="shared" si="111"/>
        <v>2.6872875319249701E-2</v>
      </c>
      <c r="O485" s="27">
        <f t="shared" si="111"/>
        <v>2.7009694315810229E-2</v>
      </c>
      <c r="P485" s="27">
        <f t="shared" si="111"/>
        <v>2.7166328132291764E-2</v>
      </c>
      <c r="Q485" s="27">
        <f t="shared" si="111"/>
        <v>2.7334899828466049E-2</v>
      </c>
      <c r="R485" s="27">
        <f t="shared" si="111"/>
        <v>2.7514742110372921E-2</v>
      </c>
      <c r="S485" s="27">
        <f t="shared" si="111"/>
        <v>2.7679963413342622E-2</v>
      </c>
      <c r="T485" s="27">
        <f t="shared" si="111"/>
        <v>2.7760395898767241E-2</v>
      </c>
      <c r="U485" s="27">
        <f t="shared" si="111"/>
        <v>2.7846847262557959E-2</v>
      </c>
      <c r="V485" s="27">
        <f t="shared" si="111"/>
        <v>2.7940374728298613E-2</v>
      </c>
      <c r="W485" s="27">
        <f t="shared" si="111"/>
        <v>2.8042005201917224E-2</v>
      </c>
      <c r="X485" s="27">
        <f t="shared" si="111"/>
        <v>2.8149930331674167E-2</v>
      </c>
      <c r="Y485" s="27">
        <f t="shared" si="111"/>
        <v>2.8217400572102636E-2</v>
      </c>
      <c r="Z485" s="27">
        <f t="shared" si="111"/>
        <v>2.8290385505466368E-2</v>
      </c>
      <c r="AA485" s="27">
        <f t="shared" si="111"/>
        <v>2.8368455875599344E-2</v>
      </c>
      <c r="AB485" s="27">
        <f t="shared" si="111"/>
        <v>2.8453321052670396E-2</v>
      </c>
      <c r="AC485" s="27">
        <f t="shared" si="111"/>
        <v>2.8543026080830765E-2</v>
      </c>
      <c r="AD485" s="27">
        <f t="shared" si="111"/>
        <v>2.8601343964065915E-2</v>
      </c>
      <c r="AE485" s="27">
        <f t="shared" si="111"/>
        <v>2.8665573444157176E-2</v>
      </c>
      <c r="AF485" s="27">
        <f t="shared" si="111"/>
        <v>2.87347212944878E-2</v>
      </c>
      <c r="AG485" s="27">
        <f t="shared" si="111"/>
        <v>2.8809531654937933E-2</v>
      </c>
      <c r="AH485" s="27">
        <f t="shared" si="111"/>
        <v>2.8885648193786462E-2</v>
      </c>
      <c r="AI485" s="27">
        <f t="shared" si="111"/>
        <v>2.8930704474147112E-2</v>
      </c>
      <c r="AJ485" s="27">
        <f t="shared" si="111"/>
        <v>2.8980015085964157E-2</v>
      </c>
      <c r="AK485" s="27">
        <f t="shared" si="111"/>
        <v>2.9032252856455738E-2</v>
      </c>
      <c r="AL485" s="27">
        <f t="shared" si="111"/>
        <v>2.9088102843042599E-2</v>
      </c>
      <c r="AM485" s="27">
        <f t="shared" si="111"/>
        <v>2.914703204736533E-2</v>
      </c>
      <c r="AN485" s="27">
        <f t="shared" si="111"/>
        <v>2.9178454712748408E-2</v>
      </c>
      <c r="AO485" s="27">
        <f t="shared" si="111"/>
        <v>2.9212149380254012E-2</v>
      </c>
      <c r="AP485" s="27">
        <f t="shared" si="111"/>
        <v>2.9248635844385265E-2</v>
      </c>
      <c r="AQ485" s="27">
        <f t="shared" ref="L485:AW492" si="112">AQ1402</f>
        <v>2.9287981307559392E-2</v>
      </c>
      <c r="AR485" s="27">
        <f t="shared" si="112"/>
        <v>2.9330159793987943E-2</v>
      </c>
      <c r="AS485" s="27">
        <f t="shared" si="112"/>
        <v>2.9344507920200803E-2</v>
      </c>
      <c r="AT485" s="27">
        <f t="shared" si="112"/>
        <v>2.9356962740035762E-2</v>
      </c>
      <c r="AU485" s="27">
        <f t="shared" si="112"/>
        <v>2.9371305492918821E-2</v>
      </c>
      <c r="AV485" s="27">
        <f t="shared" si="112"/>
        <v>2.9387905956841046E-2</v>
      </c>
      <c r="AW485" s="27">
        <f t="shared" si="112"/>
        <v>2.9406507086317708E-2</v>
      </c>
      <c r="AY485" s="79"/>
    </row>
    <row r="486" spans="1:51" x14ac:dyDescent="0.2">
      <c r="A486" s="95" t="str">
        <f t="shared" si="108"/>
        <v>PQ Horses MMCH4</v>
      </c>
      <c r="B486" s="95" t="s">
        <v>968</v>
      </c>
      <c r="C486" s="95" t="s">
        <v>1326</v>
      </c>
      <c r="D486" t="s">
        <v>15</v>
      </c>
      <c r="E486" t="s">
        <v>22</v>
      </c>
      <c r="F486" t="s">
        <v>20</v>
      </c>
      <c r="G486" t="s">
        <v>3</v>
      </c>
      <c r="H486" t="s">
        <v>1227</v>
      </c>
      <c r="I486" t="s">
        <v>121</v>
      </c>
      <c r="J486" t="s">
        <v>286</v>
      </c>
      <c r="K486" s="27">
        <f t="shared" si="110"/>
        <v>4.1336182129460544E-3</v>
      </c>
      <c r="L486" s="27">
        <f t="shared" si="112"/>
        <v>4.1536453250924079E-3</v>
      </c>
      <c r="M486" s="27">
        <f t="shared" si="112"/>
        <v>4.1840370126470534E-3</v>
      </c>
      <c r="N486" s="27">
        <f t="shared" si="112"/>
        <v>4.1905340987284569E-3</v>
      </c>
      <c r="O486" s="27">
        <f t="shared" si="112"/>
        <v>4.1812329246154597E-3</v>
      </c>
      <c r="P486" s="27">
        <f t="shared" si="112"/>
        <v>4.1564738854214548E-3</v>
      </c>
      <c r="Q486" s="27">
        <f t="shared" si="112"/>
        <v>4.1427460620707141E-3</v>
      </c>
      <c r="R486" s="27">
        <f t="shared" si="112"/>
        <v>4.1304087921358321E-3</v>
      </c>
      <c r="S486" s="27">
        <f t="shared" si="112"/>
        <v>3.9117464794758833E-3</v>
      </c>
      <c r="T486" s="27">
        <f t="shared" si="112"/>
        <v>3.9662100660725645E-3</v>
      </c>
      <c r="U486" s="27">
        <f t="shared" si="112"/>
        <v>4.0029759542347092E-3</v>
      </c>
      <c r="V486" s="27">
        <f t="shared" si="112"/>
        <v>4.034929903088018E-3</v>
      </c>
      <c r="W486" s="27">
        <f t="shared" si="112"/>
        <v>4.0740603707179208E-3</v>
      </c>
      <c r="X486" s="27">
        <f t="shared" si="112"/>
        <v>4.1088191524981379E-3</v>
      </c>
      <c r="Y486" s="27">
        <f t="shared" si="112"/>
        <v>4.1408340108354943E-3</v>
      </c>
      <c r="Z486" s="27">
        <f t="shared" si="112"/>
        <v>4.1700941792835473E-3</v>
      </c>
      <c r="AA486" s="27">
        <f t="shared" si="112"/>
        <v>4.1955947055446379E-3</v>
      </c>
      <c r="AB486" s="27">
        <f t="shared" si="112"/>
        <v>4.2332253987930647E-3</v>
      </c>
      <c r="AC486" s="27">
        <f t="shared" si="112"/>
        <v>4.2692111275798939E-3</v>
      </c>
      <c r="AD486" s="27">
        <f t="shared" si="112"/>
        <v>4.3131543062035933E-3</v>
      </c>
      <c r="AE486" s="27">
        <f t="shared" si="112"/>
        <v>4.3689426306597803E-3</v>
      </c>
      <c r="AF486" s="27">
        <f t="shared" si="112"/>
        <v>4.4301694396255923E-3</v>
      </c>
      <c r="AG486" s="27">
        <f t="shared" si="112"/>
        <v>4.5040980436008553E-3</v>
      </c>
      <c r="AH486" s="27">
        <f t="shared" si="112"/>
        <v>4.5574968938879535E-3</v>
      </c>
      <c r="AI486" s="27">
        <f t="shared" si="112"/>
        <v>4.6111863100883922E-3</v>
      </c>
      <c r="AJ486" s="27">
        <f t="shared" si="112"/>
        <v>4.6712172844787037E-3</v>
      </c>
      <c r="AK486" s="27">
        <f t="shared" si="112"/>
        <v>4.7281971529271986E-3</v>
      </c>
      <c r="AL486" s="27">
        <f t="shared" si="112"/>
        <v>4.7885111366995289E-3</v>
      </c>
      <c r="AM486" s="27">
        <f t="shared" si="112"/>
        <v>4.8488762620845097E-3</v>
      </c>
      <c r="AN486" s="27">
        <f t="shared" si="112"/>
        <v>4.9227254913748455E-3</v>
      </c>
      <c r="AO486" s="27">
        <f t="shared" si="112"/>
        <v>4.9927458490609099E-3</v>
      </c>
      <c r="AP486" s="27">
        <f t="shared" si="112"/>
        <v>5.0638022559314124E-3</v>
      </c>
      <c r="AQ486" s="27">
        <f t="shared" si="112"/>
        <v>5.1371515240319849E-3</v>
      </c>
      <c r="AR486" s="27">
        <f t="shared" si="112"/>
        <v>5.2132674563810976E-3</v>
      </c>
      <c r="AS486" s="27">
        <f t="shared" si="112"/>
        <v>5.3054774767517902E-3</v>
      </c>
      <c r="AT486" s="27">
        <f t="shared" si="112"/>
        <v>5.3653290852350754E-3</v>
      </c>
      <c r="AU486" s="27">
        <f t="shared" si="112"/>
        <v>5.4229477307266892E-3</v>
      </c>
      <c r="AV486" s="27">
        <f t="shared" si="112"/>
        <v>5.4817978053370176E-3</v>
      </c>
      <c r="AW486" s="27">
        <f t="shared" si="112"/>
        <v>5.5404187134472614E-3</v>
      </c>
      <c r="AY486" s="79"/>
    </row>
    <row r="487" spans="1:51" x14ac:dyDescent="0.2">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2">
      <c r="A488" s="95" t="str">
        <f t="shared" si="108"/>
        <v>PQ Swine MMCH4</v>
      </c>
      <c r="B488" s="95" t="s">
        <v>968</v>
      </c>
      <c r="C488" s="95" t="s">
        <v>1230</v>
      </c>
      <c r="D488" t="s">
        <v>15</v>
      </c>
      <c r="E488" t="s">
        <v>22</v>
      </c>
      <c r="F488" t="s">
        <v>21</v>
      </c>
      <c r="G488" t="s">
        <v>122</v>
      </c>
      <c r="H488" t="s">
        <v>1227</v>
      </c>
      <c r="I488" t="s">
        <v>121</v>
      </c>
      <c r="J488" t="s">
        <v>286</v>
      </c>
      <c r="K488" s="27">
        <f t="shared" si="110"/>
        <v>23.279067868377396</v>
      </c>
      <c r="L488" s="27">
        <f t="shared" si="112"/>
        <v>23.152530650802607</v>
      </c>
      <c r="M488" s="27">
        <f t="shared" si="112"/>
        <v>23.162916433064311</v>
      </c>
      <c r="N488" s="27">
        <f t="shared" si="112"/>
        <v>22.950263110497293</v>
      </c>
      <c r="O488" s="27">
        <f t="shared" si="112"/>
        <v>22.602951186820608</v>
      </c>
      <c r="P488" s="27">
        <f t="shared" si="112"/>
        <v>22.126532811374954</v>
      </c>
      <c r="Q488" s="27">
        <f t="shared" si="112"/>
        <v>21.780600237355969</v>
      </c>
      <c r="R488" s="27">
        <f t="shared" si="112"/>
        <v>21.465278056857684</v>
      </c>
      <c r="S488" s="27">
        <f t="shared" si="112"/>
        <v>19.125432200749973</v>
      </c>
      <c r="T488" s="27">
        <f t="shared" si="112"/>
        <v>19.424042125834905</v>
      </c>
      <c r="U488" s="27">
        <f t="shared" si="112"/>
        <v>19.550864503199985</v>
      </c>
      <c r="V488" s="27">
        <f t="shared" si="112"/>
        <v>19.634386542439195</v>
      </c>
      <c r="W488" s="27">
        <f t="shared" si="112"/>
        <v>19.789042358153409</v>
      </c>
      <c r="X488" s="27">
        <f t="shared" si="112"/>
        <v>19.904231049540165</v>
      </c>
      <c r="Y488" s="27">
        <f t="shared" si="112"/>
        <v>19.9646517912891</v>
      </c>
      <c r="Z488" s="27">
        <f t="shared" si="112"/>
        <v>20.001671240877961</v>
      </c>
      <c r="AA488" s="27">
        <f t="shared" si="112"/>
        <v>20.006692976737387</v>
      </c>
      <c r="AB488" s="27">
        <f t="shared" si="112"/>
        <v>20.122871452289811</v>
      </c>
      <c r="AC488" s="27">
        <f t="shared" si="112"/>
        <v>20.224352633636123</v>
      </c>
      <c r="AD488" s="27">
        <f t="shared" si="112"/>
        <v>20.37036557025834</v>
      </c>
      <c r="AE488" s="27">
        <f t="shared" si="112"/>
        <v>20.617009015074299</v>
      </c>
      <c r="AF488" s="27">
        <f t="shared" si="112"/>
        <v>20.905842210058196</v>
      </c>
      <c r="AG488" s="27">
        <f t="shared" si="112"/>
        <v>21.296898968491135</v>
      </c>
      <c r="AH488" s="27">
        <f t="shared" si="112"/>
        <v>21.508008395464572</v>
      </c>
      <c r="AI488" s="27">
        <f t="shared" si="112"/>
        <v>21.692391103319341</v>
      </c>
      <c r="AJ488" s="27">
        <f t="shared" si="112"/>
        <v>21.924107330813051</v>
      </c>
      <c r="AK488" s="27">
        <f t="shared" si="112"/>
        <v>22.125286903757015</v>
      </c>
      <c r="AL488" s="27">
        <f t="shared" si="112"/>
        <v>22.347890019958896</v>
      </c>
      <c r="AM488" s="27">
        <f t="shared" si="112"/>
        <v>22.565021886121382</v>
      </c>
      <c r="AN488" s="27">
        <f t="shared" si="112"/>
        <v>22.857354238812295</v>
      </c>
      <c r="AO488" s="27">
        <f t="shared" si="112"/>
        <v>23.111205883073605</v>
      </c>
      <c r="AP488" s="27">
        <f t="shared" si="112"/>
        <v>23.364831927228202</v>
      </c>
      <c r="AQ488" s="27">
        <f t="shared" si="112"/>
        <v>23.627465701341702</v>
      </c>
      <c r="AR488" s="27">
        <f t="shared" si="112"/>
        <v>23.902059465195961</v>
      </c>
      <c r="AS488" s="27">
        <f t="shared" si="112"/>
        <v>24.259909282475949</v>
      </c>
      <c r="AT488" s="27">
        <f t="shared" si="112"/>
        <v>24.370732341378943</v>
      </c>
      <c r="AU488" s="27">
        <f t="shared" si="112"/>
        <v>24.459248352072496</v>
      </c>
      <c r="AV488" s="27">
        <f t="shared" si="112"/>
        <v>24.550534004397402</v>
      </c>
      <c r="AW488" s="27">
        <f t="shared" si="112"/>
        <v>24.634079749927345</v>
      </c>
      <c r="AY488" s="79"/>
    </row>
    <row r="489" spans="1:51" x14ac:dyDescent="0.2">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7.7508449141861155E-2</v>
      </c>
      <c r="M489" s="27">
        <f t="shared" si="112"/>
        <v>7.7543217949140625E-2</v>
      </c>
      <c r="N489" s="27">
        <f t="shared" si="112"/>
        <v>7.6831311787104617E-2</v>
      </c>
      <c r="O489" s="27">
        <f t="shared" si="112"/>
        <v>7.5668604825232064E-2</v>
      </c>
      <c r="P489" s="27">
        <f t="shared" si="112"/>
        <v>7.4073684167079407E-2</v>
      </c>
      <c r="Q489" s="27">
        <f t="shared" si="112"/>
        <v>7.291559489708703E-2</v>
      </c>
      <c r="R489" s="27">
        <f t="shared" si="112"/>
        <v>7.1859980996426695E-2</v>
      </c>
      <c r="S489" s="27">
        <f t="shared" si="112"/>
        <v>6.4026806028504468E-2</v>
      </c>
      <c r="T489" s="27">
        <f t="shared" si="112"/>
        <v>6.5026471790350593E-2</v>
      </c>
      <c r="U489" s="27">
        <f t="shared" si="112"/>
        <v>6.5451039019493229E-2</v>
      </c>
      <c r="V489" s="27">
        <f t="shared" si="112"/>
        <v>6.5730648355864951E-2</v>
      </c>
      <c r="W489" s="27">
        <f t="shared" si="112"/>
        <v>6.6248394454879955E-2</v>
      </c>
      <c r="X489" s="27">
        <f t="shared" si="112"/>
        <v>6.6634015230540536E-2</v>
      </c>
      <c r="Y489" s="27">
        <f t="shared" si="112"/>
        <v>6.6836287632620187E-2</v>
      </c>
      <c r="Z489" s="27">
        <f t="shared" si="112"/>
        <v>6.696021879889287E-2</v>
      </c>
      <c r="AA489" s="27">
        <f t="shared" si="112"/>
        <v>6.6977030220690986E-2</v>
      </c>
      <c r="AB489" s="27">
        <f t="shared" si="112"/>
        <v>6.7365964527680941E-2</v>
      </c>
      <c r="AC489" s="27">
        <f t="shared" si="112"/>
        <v>6.77056962443503E-2</v>
      </c>
      <c r="AD489" s="27">
        <f t="shared" si="112"/>
        <v>6.8194508307399856E-2</v>
      </c>
      <c r="AE489" s="27">
        <f t="shared" si="112"/>
        <v>6.9020204262067689E-2</v>
      </c>
      <c r="AF489" s="27">
        <f t="shared" si="112"/>
        <v>6.9987140159553041E-2</v>
      </c>
      <c r="AG489" s="27">
        <f t="shared" si="112"/>
        <v>7.1296293069432901E-2</v>
      </c>
      <c r="AH489" s="27">
        <f t="shared" si="112"/>
        <v>7.2003030684025804E-2</v>
      </c>
      <c r="AI489" s="27">
        <f t="shared" si="112"/>
        <v>7.262029442724019E-2</v>
      </c>
      <c r="AJ489" s="27">
        <f t="shared" si="112"/>
        <v>7.339601807079868E-2</v>
      </c>
      <c r="AK489" s="27">
        <f t="shared" si="112"/>
        <v>7.4069513203278647E-2</v>
      </c>
      <c r="AL489" s="27">
        <f t="shared" si="112"/>
        <v>7.4814728599866626E-2</v>
      </c>
      <c r="AM489" s="27">
        <f t="shared" si="112"/>
        <v>7.5541627722012866E-2</v>
      </c>
      <c r="AN489" s="27">
        <f t="shared" si="112"/>
        <v>7.6520277858916103E-2</v>
      </c>
      <c r="AO489" s="27">
        <f t="shared" si="112"/>
        <v>7.7370104927739061E-2</v>
      </c>
      <c r="AP489" s="27">
        <f t="shared" si="112"/>
        <v>7.821917674804682E-2</v>
      </c>
      <c r="AQ489" s="27">
        <f t="shared" si="112"/>
        <v>7.9098404026949301E-2</v>
      </c>
      <c r="AR489" s="27">
        <f t="shared" si="112"/>
        <v>8.0017670136618924E-2</v>
      </c>
      <c r="AS489" s="27">
        <f t="shared" si="112"/>
        <v>8.1215655133654599E-2</v>
      </c>
      <c r="AT489" s="27">
        <f t="shared" si="112"/>
        <v>8.1586660945256045E-2</v>
      </c>
      <c r="AU489" s="27">
        <f t="shared" si="112"/>
        <v>8.1882988755660815E-2</v>
      </c>
      <c r="AV489" s="27">
        <f t="shared" si="112"/>
        <v>8.2188588581758509E-2</v>
      </c>
      <c r="AW489" s="27">
        <f t="shared" si="112"/>
        <v>8.2468277280419264E-2</v>
      </c>
      <c r="AY489" s="79"/>
    </row>
    <row r="490" spans="1:51" x14ac:dyDescent="0.2">
      <c r="A490" s="95" t="str">
        <f t="shared" si="108"/>
        <v>PQ Poultry MMCH4</v>
      </c>
      <c r="B490" s="95" t="s">
        <v>968</v>
      </c>
      <c r="C490" s="95" t="s">
        <v>1231</v>
      </c>
      <c r="D490" t="s">
        <v>15</v>
      </c>
      <c r="E490" t="s">
        <v>22</v>
      </c>
      <c r="F490" t="s">
        <v>28</v>
      </c>
      <c r="G490" t="s">
        <v>131</v>
      </c>
      <c r="H490" t="s">
        <v>1227</v>
      </c>
      <c r="I490" t="s">
        <v>121</v>
      </c>
      <c r="J490" t="s">
        <v>286</v>
      </c>
      <c r="K490" s="27">
        <f t="shared" si="110"/>
        <v>0.55586528215230246</v>
      </c>
      <c r="L490" s="27">
        <f t="shared" si="112"/>
        <v>0.56716712532642333</v>
      </c>
      <c r="M490" s="27">
        <f t="shared" si="112"/>
        <v>0.58037790885594753</v>
      </c>
      <c r="N490" s="27">
        <f t="shared" si="112"/>
        <v>0.5905201523722613</v>
      </c>
      <c r="O490" s="27">
        <f t="shared" si="112"/>
        <v>0.59866182774590171</v>
      </c>
      <c r="P490" s="27">
        <f t="shared" si="112"/>
        <v>0.60475451589519702</v>
      </c>
      <c r="Q490" s="27">
        <f t="shared" si="112"/>
        <v>0.61256702388185857</v>
      </c>
      <c r="R490" s="27">
        <f t="shared" si="112"/>
        <v>0.6206898695388976</v>
      </c>
      <c r="S490" s="27">
        <f t="shared" si="112"/>
        <v>0.59586205354866417</v>
      </c>
      <c r="T490" s="27">
        <f t="shared" si="112"/>
        <v>0.61166609228342095</v>
      </c>
      <c r="U490" s="27">
        <f t="shared" si="112"/>
        <v>0.62485299056124621</v>
      </c>
      <c r="V490" s="27">
        <f t="shared" si="112"/>
        <v>0.63746316411560699</v>
      </c>
      <c r="W490" s="27">
        <f t="shared" si="112"/>
        <v>0.65148292230650084</v>
      </c>
      <c r="X490" s="27">
        <f t="shared" si="112"/>
        <v>0.66499795751984347</v>
      </c>
      <c r="Y490" s="27">
        <f t="shared" si="112"/>
        <v>0.67713280709524293</v>
      </c>
      <c r="Z490" s="27">
        <f t="shared" si="112"/>
        <v>0.68896443146114195</v>
      </c>
      <c r="AA490" s="27">
        <f t="shared" si="112"/>
        <v>0.70030539755417098</v>
      </c>
      <c r="AB490" s="27">
        <f t="shared" si="112"/>
        <v>0.71394199916813561</v>
      </c>
      <c r="AC490" s="27">
        <f t="shared" si="112"/>
        <v>0.72748510796814947</v>
      </c>
      <c r="AD490" s="27">
        <f t="shared" si="112"/>
        <v>0.7416801333370433</v>
      </c>
      <c r="AE490" s="27">
        <f t="shared" si="112"/>
        <v>0.75821054657652254</v>
      </c>
      <c r="AF490" s="27">
        <f t="shared" si="112"/>
        <v>0.77596254129215869</v>
      </c>
      <c r="AG490" s="27">
        <f t="shared" si="112"/>
        <v>0.7963033454053372</v>
      </c>
      <c r="AH490" s="27">
        <f t="shared" si="112"/>
        <v>0.81311713883147885</v>
      </c>
      <c r="AI490" s="27">
        <f t="shared" si="112"/>
        <v>0.82920457779762036</v>
      </c>
      <c r="AJ490" s="27">
        <f t="shared" si="112"/>
        <v>0.8466799763081283</v>
      </c>
      <c r="AK490" s="27">
        <f t="shared" si="112"/>
        <v>0.86378648630356591</v>
      </c>
      <c r="AL490" s="27">
        <f t="shared" si="112"/>
        <v>0.8817359545427027</v>
      </c>
      <c r="AM490" s="27">
        <f t="shared" si="112"/>
        <v>0.89991137533731791</v>
      </c>
      <c r="AN490" s="27">
        <f t="shared" si="112"/>
        <v>0.91990012979739244</v>
      </c>
      <c r="AO490" s="27">
        <f t="shared" si="112"/>
        <v>0.93935460788893066</v>
      </c>
      <c r="AP490" s="27">
        <f t="shared" si="112"/>
        <v>0.95921858565138518</v>
      </c>
      <c r="AQ490" s="27">
        <f t="shared" si="112"/>
        <v>0.97974614943757377</v>
      </c>
      <c r="AR490" s="27">
        <f t="shared" si="112"/>
        <v>1.0010418670441812</v>
      </c>
      <c r="AS490" s="27">
        <f t="shared" si="112"/>
        <v>1.024648468705007</v>
      </c>
      <c r="AT490" s="27">
        <f t="shared" si="112"/>
        <v>1.0419667302828659</v>
      </c>
      <c r="AU490" s="27">
        <f t="shared" si="112"/>
        <v>1.0589838516681485</v>
      </c>
      <c r="AV490" s="27">
        <f t="shared" si="112"/>
        <v>1.0763973931983826</v>
      </c>
      <c r="AW490" s="27">
        <f t="shared" si="112"/>
        <v>1.093914171709288</v>
      </c>
      <c r="AY490" s="79"/>
    </row>
    <row r="491" spans="1:51" x14ac:dyDescent="0.2">
      <c r="A491" s="95" t="str">
        <f t="shared" si="108"/>
        <v>PQ Poultry MMCH4</v>
      </c>
      <c r="B491" s="95" t="s">
        <v>968</v>
      </c>
      <c r="C491" s="95" t="s">
        <v>1231</v>
      </c>
      <c r="D491" t="s">
        <v>15</v>
      </c>
      <c r="E491" t="s">
        <v>22</v>
      </c>
      <c r="F491" t="s">
        <v>28</v>
      </c>
      <c r="G491" t="s">
        <v>132</v>
      </c>
      <c r="H491" t="s">
        <v>1227</v>
      </c>
      <c r="I491" t="s">
        <v>121</v>
      </c>
      <c r="J491" t="s">
        <v>286</v>
      </c>
      <c r="K491" s="27">
        <f t="shared" si="110"/>
        <v>2.2100196981344111</v>
      </c>
      <c r="L491" s="27">
        <f t="shared" si="112"/>
        <v>2.239121707445149</v>
      </c>
      <c r="M491" s="27">
        <f t="shared" si="112"/>
        <v>2.2858678822724823</v>
      </c>
      <c r="N491" s="27">
        <f t="shared" si="112"/>
        <v>2.2992900748078591</v>
      </c>
      <c r="O491" s="27">
        <f t="shared" si="112"/>
        <v>2.2910596881616572</v>
      </c>
      <c r="P491" s="27">
        <f t="shared" si="112"/>
        <v>2.2612642885898917</v>
      </c>
      <c r="Q491" s="27">
        <f t="shared" si="112"/>
        <v>2.2487211059946204</v>
      </c>
      <c r="R491" s="27">
        <f t="shared" si="112"/>
        <v>2.2390235702415171</v>
      </c>
      <c r="S491" s="27">
        <f t="shared" si="112"/>
        <v>1.9141242898278399</v>
      </c>
      <c r="T491" s="27">
        <f t="shared" si="112"/>
        <v>1.9984899724616512</v>
      </c>
      <c r="U491" s="27">
        <f t="shared" si="112"/>
        <v>2.0566281324498989</v>
      </c>
      <c r="V491" s="27">
        <f t="shared" si="112"/>
        <v>2.1082245232127885</v>
      </c>
      <c r="W491" s="27">
        <f t="shared" si="112"/>
        <v>2.1717516772979577</v>
      </c>
      <c r="X491" s="27">
        <f t="shared" si="112"/>
        <v>2.2294138068766221</v>
      </c>
      <c r="Y491" s="27">
        <f t="shared" si="112"/>
        <v>2.2803087574477758</v>
      </c>
      <c r="Z491" s="27">
        <f t="shared" si="112"/>
        <v>2.3275959555736767</v>
      </c>
      <c r="AA491" s="27">
        <f t="shared" si="112"/>
        <v>2.3696866416984408</v>
      </c>
      <c r="AB491" s="27">
        <f t="shared" si="112"/>
        <v>2.4313567650804138</v>
      </c>
      <c r="AC491" s="27">
        <f t="shared" si="112"/>
        <v>2.4911768272254537</v>
      </c>
      <c r="AD491" s="27">
        <f t="shared" si="112"/>
        <v>2.5611651092780447</v>
      </c>
      <c r="AE491" s="27">
        <f t="shared" si="112"/>
        <v>2.6503466863676968</v>
      </c>
      <c r="AF491" s="27">
        <f t="shared" si="112"/>
        <v>2.7487492134063758</v>
      </c>
      <c r="AG491" s="27">
        <f t="shared" si="112"/>
        <v>2.8678706867563997</v>
      </c>
      <c r="AH491" s="27">
        <f t="shared" si="112"/>
        <v>2.9554288288988109</v>
      </c>
      <c r="AI491" s="27">
        <f t="shared" si="112"/>
        <v>3.0407668489306769</v>
      </c>
      <c r="AJ491" s="27">
        <f t="shared" si="112"/>
        <v>3.1366479798785045</v>
      </c>
      <c r="AK491" s="27">
        <f t="shared" si="112"/>
        <v>3.228263044676527</v>
      </c>
      <c r="AL491" s="27">
        <f t="shared" si="112"/>
        <v>3.3257213723703618</v>
      </c>
      <c r="AM491" s="27">
        <f t="shared" si="112"/>
        <v>3.4238536012880374</v>
      </c>
      <c r="AN491" s="27">
        <f t="shared" si="112"/>
        <v>3.5403209104075128</v>
      </c>
      <c r="AO491" s="27">
        <f t="shared" si="112"/>
        <v>3.6511369162882397</v>
      </c>
      <c r="AP491" s="27">
        <f t="shared" si="112"/>
        <v>3.7640318136014432</v>
      </c>
      <c r="AQ491" s="27">
        <f t="shared" si="112"/>
        <v>3.8810201496437728</v>
      </c>
      <c r="AR491" s="27">
        <f t="shared" si="112"/>
        <v>4.0028778541582692</v>
      </c>
      <c r="AS491" s="27">
        <f t="shared" si="112"/>
        <v>4.1464729012292834</v>
      </c>
      <c r="AT491" s="27">
        <f t="shared" si="112"/>
        <v>4.2389508928341062</v>
      </c>
      <c r="AU491" s="27">
        <f t="shared" si="112"/>
        <v>4.3281678617131494</v>
      </c>
      <c r="AV491" s="27">
        <f t="shared" si="112"/>
        <v>4.4196303430169497</v>
      </c>
      <c r="AW491" s="27">
        <f t="shared" si="112"/>
        <v>4.5110296667808401</v>
      </c>
      <c r="AY491" s="79"/>
    </row>
    <row r="492" spans="1:51" x14ac:dyDescent="0.2">
      <c r="A492" s="95" t="str">
        <f t="shared" si="108"/>
        <v>PQ Poultry MMCH4</v>
      </c>
      <c r="B492" s="95" t="s">
        <v>968</v>
      </c>
      <c r="C492" s="95" t="s">
        <v>1231</v>
      </c>
      <c r="D492" t="s">
        <v>15</v>
      </c>
      <c r="E492" t="s">
        <v>22</v>
      </c>
      <c r="F492" t="s">
        <v>28</v>
      </c>
      <c r="G492" t="s">
        <v>134</v>
      </c>
      <c r="H492" t="s">
        <v>1227</v>
      </c>
      <c r="I492" t="s">
        <v>121</v>
      </c>
      <c r="J492" t="s">
        <v>286</v>
      </c>
      <c r="K492" s="27">
        <f t="shared" si="110"/>
        <v>2.3161053423012622E-2</v>
      </c>
      <c r="L492" s="27">
        <f t="shared" si="112"/>
        <v>2.3631963555267661E-2</v>
      </c>
      <c r="M492" s="27">
        <f t="shared" si="112"/>
        <v>2.4182412868997839E-2</v>
      </c>
      <c r="N492" s="27">
        <f t="shared" si="112"/>
        <v>2.460500634884424E-2</v>
      </c>
      <c r="O492" s="27">
        <f t="shared" si="112"/>
        <v>2.4944242822745932E-2</v>
      </c>
      <c r="P492" s="27">
        <f t="shared" si="112"/>
        <v>2.5198104828966564E-2</v>
      </c>
      <c r="Q492" s="27">
        <f t="shared" si="112"/>
        <v>2.5523625995077459E-2</v>
      </c>
      <c r="R492" s="27">
        <f t="shared" si="112"/>
        <v>2.5862077897454098E-2</v>
      </c>
      <c r="S492" s="27">
        <f t="shared" si="112"/>
        <v>2.4827585564527698E-2</v>
      </c>
      <c r="T492" s="27">
        <f t="shared" si="112"/>
        <v>2.5486087178475895E-2</v>
      </c>
      <c r="U492" s="27">
        <f t="shared" si="112"/>
        <v>2.6035541273385285E-2</v>
      </c>
      <c r="V492" s="27">
        <f t="shared" si="112"/>
        <v>2.6560965171483649E-2</v>
      </c>
      <c r="W492" s="27">
        <f t="shared" si="112"/>
        <v>2.7145121762770889E-2</v>
      </c>
      <c r="X492" s="27">
        <f t="shared" si="112"/>
        <v>2.7708248229993501E-2</v>
      </c>
      <c r="Y492" s="27">
        <f t="shared" si="112"/>
        <v>2.8213866962301819E-2</v>
      </c>
      <c r="Z492" s="27">
        <f t="shared" si="112"/>
        <v>2.8706851310880941E-2</v>
      </c>
      <c r="AA492" s="27">
        <f t="shared" si="112"/>
        <v>2.9179391564757153E-2</v>
      </c>
      <c r="AB492" s="27">
        <f t="shared" si="112"/>
        <v>2.9747583298672345E-2</v>
      </c>
      <c r="AC492" s="27">
        <f t="shared" si="112"/>
        <v>3.0311879498672922E-2</v>
      </c>
      <c r="AD492" s="27">
        <f t="shared" si="112"/>
        <v>3.0903338889043501E-2</v>
      </c>
      <c r="AE492" s="27">
        <f t="shared" si="112"/>
        <v>3.1592106107355133E-2</v>
      </c>
      <c r="AF492" s="27">
        <f t="shared" ref="L492:AW499" si="113">AF1409</f>
        <v>3.2331772553839976E-2</v>
      </c>
      <c r="AG492" s="27">
        <f t="shared" si="113"/>
        <v>3.3179306058555749E-2</v>
      </c>
      <c r="AH492" s="27">
        <f t="shared" si="113"/>
        <v>3.3879880784644982E-2</v>
      </c>
      <c r="AI492" s="27">
        <f t="shared" si="113"/>
        <v>3.4550190741567552E-2</v>
      </c>
      <c r="AJ492" s="27">
        <f t="shared" si="113"/>
        <v>3.5278332346172038E-2</v>
      </c>
      <c r="AK492" s="27">
        <f t="shared" si="113"/>
        <v>3.5991103595981948E-2</v>
      </c>
      <c r="AL492" s="27">
        <f t="shared" si="113"/>
        <v>3.6738998105945983E-2</v>
      </c>
      <c r="AM492" s="27">
        <f t="shared" si="113"/>
        <v>3.7496307305721614E-2</v>
      </c>
      <c r="AN492" s="27">
        <f t="shared" si="113"/>
        <v>3.8329172074891393E-2</v>
      </c>
      <c r="AO492" s="27">
        <f t="shared" si="113"/>
        <v>3.9139775328705488E-2</v>
      </c>
      <c r="AP492" s="27">
        <f t="shared" si="113"/>
        <v>3.9967441068807751E-2</v>
      </c>
      <c r="AQ492" s="27">
        <f t="shared" si="113"/>
        <v>4.0822756226565615E-2</v>
      </c>
      <c r="AR492" s="27">
        <f t="shared" si="113"/>
        <v>4.1710077793507598E-2</v>
      </c>
      <c r="AS492" s="27">
        <f t="shared" si="113"/>
        <v>4.2693686196041997E-2</v>
      </c>
      <c r="AT492" s="27">
        <f t="shared" si="113"/>
        <v>4.3415280428452788E-2</v>
      </c>
      <c r="AU492" s="27">
        <f t="shared" si="113"/>
        <v>4.4124327152839558E-2</v>
      </c>
      <c r="AV492" s="27">
        <f t="shared" si="113"/>
        <v>4.4849891383265984E-2</v>
      </c>
      <c r="AW492" s="27">
        <f t="shared" si="113"/>
        <v>4.5579757154553702E-2</v>
      </c>
      <c r="AY492" s="79"/>
    </row>
    <row r="493" spans="1:51" x14ac:dyDescent="0.2">
      <c r="A493" s="95" t="str">
        <f t="shared" si="108"/>
        <v>PQ Poultry MMCH4</v>
      </c>
      <c r="B493" s="95" t="s">
        <v>968</v>
      </c>
      <c r="C493" s="95" t="s">
        <v>1231</v>
      </c>
      <c r="D493" t="s">
        <v>15</v>
      </c>
      <c r="E493" t="s">
        <v>22</v>
      </c>
      <c r="F493" t="s">
        <v>28</v>
      </c>
      <c r="G493" t="s">
        <v>133</v>
      </c>
      <c r="H493" t="s">
        <v>1227</v>
      </c>
      <c r="I493" t="s">
        <v>121</v>
      </c>
      <c r="J493" t="s">
        <v>286</v>
      </c>
      <c r="K493" s="27">
        <f t="shared" si="110"/>
        <v>9.2084154088933862E-2</v>
      </c>
      <c r="L493" s="27">
        <f t="shared" si="113"/>
        <v>9.3296737810214622E-2</v>
      </c>
      <c r="M493" s="27">
        <f t="shared" si="113"/>
        <v>9.5244495094686854E-2</v>
      </c>
      <c r="N493" s="27">
        <f t="shared" si="113"/>
        <v>9.5803753116994225E-2</v>
      </c>
      <c r="O493" s="27">
        <f t="shared" si="113"/>
        <v>9.5460820340069155E-2</v>
      </c>
      <c r="P493" s="27">
        <f t="shared" si="113"/>
        <v>9.4219345357912251E-2</v>
      </c>
      <c r="Q493" s="27">
        <f t="shared" si="113"/>
        <v>9.3696712749775937E-2</v>
      </c>
      <c r="R493" s="27">
        <f t="shared" si="113"/>
        <v>9.3292648760063296E-2</v>
      </c>
      <c r="S493" s="27">
        <f t="shared" si="113"/>
        <v>7.9755178742826727E-2</v>
      </c>
      <c r="T493" s="27">
        <f t="shared" si="113"/>
        <v>8.3270415519235544E-2</v>
      </c>
      <c r="U493" s="27">
        <f t="shared" si="113"/>
        <v>8.5692838852079192E-2</v>
      </c>
      <c r="V493" s="27">
        <f t="shared" si="113"/>
        <v>8.7842688467199587E-2</v>
      </c>
      <c r="W493" s="27">
        <f t="shared" si="113"/>
        <v>9.0489653220748326E-2</v>
      </c>
      <c r="X493" s="27">
        <f t="shared" si="113"/>
        <v>9.289224195319265E-2</v>
      </c>
      <c r="Y493" s="27">
        <f t="shared" si="113"/>
        <v>9.5012864893657414E-2</v>
      </c>
      <c r="Z493" s="27">
        <f t="shared" si="113"/>
        <v>9.6983164815569928E-2</v>
      </c>
      <c r="AA493" s="27">
        <f t="shared" si="113"/>
        <v>9.8736943404101787E-2</v>
      </c>
      <c r="AB493" s="27">
        <f t="shared" si="113"/>
        <v>0.10130653187835065</v>
      </c>
      <c r="AC493" s="27">
        <f t="shared" si="113"/>
        <v>0.10379903446772733</v>
      </c>
      <c r="AD493" s="27">
        <f t="shared" si="113"/>
        <v>0.1067152128865853</v>
      </c>
      <c r="AE493" s="27">
        <f t="shared" si="113"/>
        <v>0.11043111193198749</v>
      </c>
      <c r="AF493" s="27">
        <f t="shared" si="113"/>
        <v>0.11453121722526576</v>
      </c>
      <c r="AG493" s="27">
        <f t="shared" si="113"/>
        <v>0.11949461194818344</v>
      </c>
      <c r="AH493" s="27">
        <f t="shared" si="113"/>
        <v>0.12314286787078389</v>
      </c>
      <c r="AI493" s="27">
        <f t="shared" si="113"/>
        <v>0.12669861870544499</v>
      </c>
      <c r="AJ493" s="27">
        <f t="shared" si="113"/>
        <v>0.13069366582827113</v>
      </c>
      <c r="AK493" s="27">
        <f t="shared" si="113"/>
        <v>0.13451096019485542</v>
      </c>
      <c r="AL493" s="27">
        <f t="shared" si="113"/>
        <v>0.13857172384876518</v>
      </c>
      <c r="AM493" s="27">
        <f t="shared" si="113"/>
        <v>0.14266056672033503</v>
      </c>
      <c r="AN493" s="27">
        <f t="shared" si="113"/>
        <v>0.14751337126697986</v>
      </c>
      <c r="AO493" s="27">
        <f t="shared" si="113"/>
        <v>0.15213070484534344</v>
      </c>
      <c r="AP493" s="27">
        <f t="shared" si="113"/>
        <v>0.15683465890006026</v>
      </c>
      <c r="AQ493" s="27">
        <f t="shared" si="113"/>
        <v>0.16170917290182402</v>
      </c>
      <c r="AR493" s="27">
        <f t="shared" si="113"/>
        <v>0.16678657725659471</v>
      </c>
      <c r="AS493" s="27">
        <f t="shared" si="113"/>
        <v>0.17276970421788695</v>
      </c>
      <c r="AT493" s="27">
        <f t="shared" si="113"/>
        <v>0.17662295386808796</v>
      </c>
      <c r="AU493" s="27">
        <f t="shared" si="113"/>
        <v>0.18034032757138141</v>
      </c>
      <c r="AV493" s="27">
        <f t="shared" si="113"/>
        <v>0.18415126429237305</v>
      </c>
      <c r="AW493" s="27">
        <f t="shared" si="113"/>
        <v>0.18795956944920184</v>
      </c>
      <c r="AY493" s="79"/>
    </row>
    <row r="494" spans="1:51" x14ac:dyDescent="0.2">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5.9806569587962537E-2</v>
      </c>
      <c r="M494" s="27">
        <f t="shared" si="113"/>
        <v>6.0278316688762053E-2</v>
      </c>
      <c r="N494" s="27">
        <f t="shared" si="113"/>
        <v>6.0581464452445992E-2</v>
      </c>
      <c r="O494" s="27">
        <f t="shared" si="113"/>
        <v>6.0782907527895308E-2</v>
      </c>
      <c r="P494" s="27">
        <f t="shared" si="113"/>
        <v>6.0880663265441157E-2</v>
      </c>
      <c r="Q494" s="27">
        <f t="shared" si="113"/>
        <v>6.1096642070638009E-2</v>
      </c>
      <c r="R494" s="27">
        <f t="shared" si="113"/>
        <v>6.1344406036983767E-2</v>
      </c>
      <c r="S494" s="27">
        <f t="shared" si="113"/>
        <v>5.9665089567979834E-2</v>
      </c>
      <c r="T494" s="27">
        <f t="shared" si="113"/>
        <v>6.0350771242359769E-2</v>
      </c>
      <c r="U494" s="27">
        <f t="shared" si="113"/>
        <v>6.0888075169397142E-2</v>
      </c>
      <c r="V494" s="27">
        <f t="shared" si="113"/>
        <v>6.139711160102531E-2</v>
      </c>
      <c r="W494" s="27">
        <f t="shared" si="113"/>
        <v>6.1992224918562065E-2</v>
      </c>
      <c r="X494" s="27">
        <f t="shared" si="113"/>
        <v>6.2562148930794551E-2</v>
      </c>
      <c r="Y494" s="27">
        <f t="shared" si="113"/>
        <v>6.3040140287419597E-2</v>
      </c>
      <c r="Z494" s="27">
        <f t="shared" si="113"/>
        <v>6.3504855616237185E-2</v>
      </c>
      <c r="AA494" s="27">
        <f t="shared" si="113"/>
        <v>6.3945644322408624E-2</v>
      </c>
      <c r="AB494" s="27">
        <f t="shared" si="113"/>
        <v>6.4519032075900526E-2</v>
      </c>
      <c r="AC494" s="27">
        <f t="shared" si="113"/>
        <v>6.5089471381032354E-2</v>
      </c>
      <c r="AD494" s="27">
        <f t="shared" si="113"/>
        <v>6.5684604542898692E-2</v>
      </c>
      <c r="AE494" s="27">
        <f t="shared" si="113"/>
        <v>6.6410653636350389E-2</v>
      </c>
      <c r="AF494" s="27">
        <f t="shared" si="113"/>
        <v>6.7204391254708923E-2</v>
      </c>
      <c r="AG494" s="27">
        <f t="shared" si="113"/>
        <v>6.8140044673053207E-2</v>
      </c>
      <c r="AH494" s="27">
        <f t="shared" si="113"/>
        <v>6.888108453498494E-2</v>
      </c>
      <c r="AI494" s="27">
        <f t="shared" si="113"/>
        <v>6.9569502535986497E-2</v>
      </c>
      <c r="AJ494" s="27">
        <f t="shared" si="113"/>
        <v>7.0333394582188791E-2</v>
      </c>
      <c r="AK494" s="27">
        <f t="shared" si="113"/>
        <v>7.1076775459671046E-2</v>
      </c>
      <c r="AL494" s="27">
        <f t="shared" si="113"/>
        <v>7.1865166896586383E-2</v>
      </c>
      <c r="AM494" s="27">
        <f t="shared" si="113"/>
        <v>7.2664891568343645E-2</v>
      </c>
      <c r="AN494" s="27">
        <f t="shared" si="113"/>
        <v>7.3548705139755158E-2</v>
      </c>
      <c r="AO494" s="27">
        <f t="shared" si="113"/>
        <v>7.4402331665901211E-2</v>
      </c>
      <c r="AP494" s="27">
        <f t="shared" si="113"/>
        <v>7.5276250928073038E-2</v>
      </c>
      <c r="AQ494" s="27">
        <f t="shared" si="113"/>
        <v>7.6183713879707002E-2</v>
      </c>
      <c r="AR494" s="27">
        <f t="shared" si="113"/>
        <v>7.7129908476892481E-2</v>
      </c>
      <c r="AS494" s="27">
        <f t="shared" si="113"/>
        <v>7.8183489117849933E-2</v>
      </c>
      <c r="AT494" s="27">
        <f t="shared" si="113"/>
        <v>7.890407273633461E-2</v>
      </c>
      <c r="AU494" s="27">
        <f t="shared" si="113"/>
        <v>7.960808386314952E-2</v>
      </c>
      <c r="AV494" s="27">
        <f t="shared" si="113"/>
        <v>8.0332044119121343E-2</v>
      </c>
      <c r="AW494" s="27">
        <f t="shared" si="113"/>
        <v>8.1060500675567429E-2</v>
      </c>
      <c r="AY494" s="79"/>
    </row>
    <row r="495" spans="1:51" x14ac:dyDescent="0.2">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0.26187096745907495</v>
      </c>
      <c r="M495" s="27">
        <f t="shared" si="113"/>
        <v>0.26393657447404822</v>
      </c>
      <c r="N495" s="27">
        <f t="shared" si="113"/>
        <v>0.26526394701365208</v>
      </c>
      <c r="O495" s="27">
        <f t="shared" si="113"/>
        <v>0.26614599213711054</v>
      </c>
      <c r="P495" s="27">
        <f t="shared" si="113"/>
        <v>0.26657402855087203</v>
      </c>
      <c r="Q495" s="27">
        <f t="shared" si="113"/>
        <v>0.26751972028770321</v>
      </c>
      <c r="R495" s="27">
        <f t="shared" si="113"/>
        <v>0.26860458755254496</v>
      </c>
      <c r="S495" s="27">
        <f t="shared" si="113"/>
        <v>0.26125147849717245</v>
      </c>
      <c r="T495" s="27">
        <f t="shared" si="113"/>
        <v>0.26425382631073058</v>
      </c>
      <c r="U495" s="27">
        <f t="shared" si="113"/>
        <v>0.26660648255171249</v>
      </c>
      <c r="V495" s="27">
        <f t="shared" si="113"/>
        <v>0.26883536582893036</v>
      </c>
      <c r="W495" s="27">
        <f t="shared" si="113"/>
        <v>0.27144114812483544</v>
      </c>
      <c r="X495" s="27">
        <f t="shared" si="113"/>
        <v>0.27393663571908672</v>
      </c>
      <c r="Y495" s="27">
        <f t="shared" si="113"/>
        <v>0.27602958403327432</v>
      </c>
      <c r="Z495" s="27">
        <f t="shared" si="113"/>
        <v>0.27806440150548434</v>
      </c>
      <c r="AA495" s="27">
        <f t="shared" si="113"/>
        <v>0.27999445309890292</v>
      </c>
      <c r="AB495" s="27">
        <f t="shared" si="113"/>
        <v>0.28250510714193849</v>
      </c>
      <c r="AC495" s="27">
        <f t="shared" si="113"/>
        <v>0.2850028510142375</v>
      </c>
      <c r="AD495" s="27">
        <f t="shared" si="113"/>
        <v>0.2876087202011619</v>
      </c>
      <c r="AE495" s="27">
        <f t="shared" si="113"/>
        <v>0.29078782209305915</v>
      </c>
      <c r="AF495" s="27">
        <f t="shared" si="113"/>
        <v>0.29426330713525839</v>
      </c>
      <c r="AG495" s="27">
        <f t="shared" si="113"/>
        <v>0.29836018925968516</v>
      </c>
      <c r="AH495" s="27">
        <f t="shared" si="113"/>
        <v>0.30160493021217166</v>
      </c>
      <c r="AI495" s="27">
        <f t="shared" si="113"/>
        <v>0.30461925939340617</v>
      </c>
      <c r="AJ495" s="27">
        <f t="shared" si="113"/>
        <v>0.30796406165428591</v>
      </c>
      <c r="AK495" s="27">
        <f t="shared" si="113"/>
        <v>0.31121905305268976</v>
      </c>
      <c r="AL495" s="27">
        <f t="shared" si="113"/>
        <v>0.31467112913302436</v>
      </c>
      <c r="AM495" s="27">
        <f t="shared" si="113"/>
        <v>0.31817282927962681</v>
      </c>
      <c r="AN495" s="27">
        <f t="shared" si="113"/>
        <v>0.32204272378442023</v>
      </c>
      <c r="AO495" s="27">
        <f t="shared" si="113"/>
        <v>0.32578044032276504</v>
      </c>
      <c r="AP495" s="27">
        <f t="shared" si="113"/>
        <v>0.32960701128717151</v>
      </c>
      <c r="AQ495" s="27">
        <f t="shared" si="113"/>
        <v>0.33358045772817063</v>
      </c>
      <c r="AR495" s="27">
        <f t="shared" si="113"/>
        <v>0.33772349579700817</v>
      </c>
      <c r="AS495" s="27">
        <f t="shared" si="113"/>
        <v>0.34233673784791513</v>
      </c>
      <c r="AT495" s="27">
        <f t="shared" si="113"/>
        <v>0.34549190843549077</v>
      </c>
      <c r="AU495" s="27">
        <f t="shared" si="113"/>
        <v>0.34857451417849072</v>
      </c>
      <c r="AV495" s="27">
        <f t="shared" si="113"/>
        <v>0.35174446981947466</v>
      </c>
      <c r="AW495" s="27">
        <f t="shared" si="113"/>
        <v>0.3549341131062021</v>
      </c>
      <c r="AY495" s="79"/>
    </row>
    <row r="496" spans="1:51" x14ac:dyDescent="0.2">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1.1651711689683767E-2</v>
      </c>
      <c r="M496" s="27">
        <f t="shared" si="113"/>
        <v>1.1743619004328788E-2</v>
      </c>
      <c r="N496" s="27">
        <f t="shared" si="113"/>
        <v>1.1802679244134426E-2</v>
      </c>
      <c r="O496" s="27">
        <f t="shared" si="113"/>
        <v>1.1841925043604104E-2</v>
      </c>
      <c r="P496" s="27">
        <f t="shared" si="113"/>
        <v>1.1860970136438286E-2</v>
      </c>
      <c r="Q496" s="27">
        <f t="shared" si="113"/>
        <v>1.1903047834366352E-2</v>
      </c>
      <c r="R496" s="27">
        <f t="shared" si="113"/>
        <v>1.1951318021451857E-2</v>
      </c>
      <c r="S496" s="27">
        <f t="shared" si="113"/>
        <v>1.1624148088994974E-2</v>
      </c>
      <c r="T496" s="27">
        <f t="shared" si="113"/>
        <v>1.1757734837671872E-2</v>
      </c>
      <c r="U496" s="27">
        <f t="shared" si="113"/>
        <v>1.1862414147833051E-2</v>
      </c>
      <c r="V496" s="27">
        <f t="shared" si="113"/>
        <v>1.1961586291992786E-2</v>
      </c>
      <c r="W496" s="27">
        <f t="shared" si="113"/>
        <v>1.2077528216874986E-2</v>
      </c>
      <c r="X496" s="27">
        <f t="shared" si="113"/>
        <v>1.218856267882977E-2</v>
      </c>
      <c r="Y496" s="27">
        <f t="shared" si="113"/>
        <v>1.2281686519837978E-2</v>
      </c>
      <c r="Z496" s="27">
        <f t="shared" si="113"/>
        <v>1.2372223881643949E-2</v>
      </c>
      <c r="AA496" s="27">
        <f t="shared" si="113"/>
        <v>1.2458099780491892E-2</v>
      </c>
      <c r="AB496" s="27">
        <f t="shared" si="113"/>
        <v>1.256980905985888E-2</v>
      </c>
      <c r="AC496" s="27">
        <f t="shared" si="113"/>
        <v>1.2680943912863346E-2</v>
      </c>
      <c r="AD496" s="27">
        <f t="shared" si="113"/>
        <v>1.2796889703882807E-2</v>
      </c>
      <c r="AE496" s="27">
        <f t="shared" si="113"/>
        <v>1.2938340965303392E-2</v>
      </c>
      <c r="AF496" s="27">
        <f t="shared" si="113"/>
        <v>1.3092979526753859E-2</v>
      </c>
      <c r="AG496" s="27">
        <f t="shared" si="113"/>
        <v>1.3275266588980031E-2</v>
      </c>
      <c r="AH496" s="27">
        <f t="shared" si="113"/>
        <v>1.3419638400994631E-2</v>
      </c>
      <c r="AI496" s="27">
        <f t="shared" si="113"/>
        <v>1.3553758249782499E-2</v>
      </c>
      <c r="AJ496" s="27">
        <f t="shared" si="113"/>
        <v>1.3702582199153161E-2</v>
      </c>
      <c r="AK496" s="27">
        <f t="shared" si="113"/>
        <v>1.3847410095481636E-2</v>
      </c>
      <c r="AL496" s="27">
        <f t="shared" si="113"/>
        <v>1.4001007096360315E-2</v>
      </c>
      <c r="AM496" s="27">
        <f t="shared" si="113"/>
        <v>1.4156812075155119E-2</v>
      </c>
      <c r="AN496" s="27">
        <f t="shared" si="113"/>
        <v>1.432899952868179E-2</v>
      </c>
      <c r="AO496" s="27">
        <f t="shared" si="113"/>
        <v>1.4495305843219548E-2</v>
      </c>
      <c r="AP496" s="27">
        <f t="shared" si="113"/>
        <v>1.4665565655026861E-2</v>
      </c>
      <c r="AQ496" s="27">
        <f t="shared" si="113"/>
        <v>1.4842360558234895E-2</v>
      </c>
      <c r="AR496" s="27">
        <f t="shared" si="113"/>
        <v>1.5026701287433988E-2</v>
      </c>
      <c r="AS496" s="27">
        <f t="shared" si="113"/>
        <v>1.5231963317255199E-2</v>
      </c>
      <c r="AT496" s="27">
        <f t="shared" si="113"/>
        <v>1.5372349776949124E-2</v>
      </c>
      <c r="AU496" s="27">
        <f t="shared" si="113"/>
        <v>1.550950752955876E-2</v>
      </c>
      <c r="AV496" s="27">
        <f t="shared" si="113"/>
        <v>1.5650551836822808E-2</v>
      </c>
      <c r="AW496" s="27">
        <f t="shared" si="113"/>
        <v>1.5792472128065831E-2</v>
      </c>
      <c r="AY496" s="79"/>
    </row>
    <row r="497" spans="1:51" x14ac:dyDescent="0.2">
      <c r="A497" s="95" t="str">
        <f t="shared" si="108"/>
        <v>PQ Cattle MMN2O</v>
      </c>
      <c r="B497" s="95" t="s">
        <v>968</v>
      </c>
      <c r="C497" s="95" t="s">
        <v>1232</v>
      </c>
      <c r="D497" t="s">
        <v>15</v>
      </c>
      <c r="E497" t="s">
        <v>657</v>
      </c>
      <c r="F497" t="s">
        <v>67</v>
      </c>
      <c r="G497" t="s">
        <v>122</v>
      </c>
      <c r="H497" t="s">
        <v>1227</v>
      </c>
      <c r="I497" t="s">
        <v>139</v>
      </c>
      <c r="J497" t="s">
        <v>287</v>
      </c>
      <c r="K497" s="27">
        <f t="shared" si="110"/>
        <v>0.52525224947331306</v>
      </c>
      <c r="L497" s="27">
        <f t="shared" si="113"/>
        <v>0.5206969044571037</v>
      </c>
      <c r="M497" s="27">
        <f t="shared" si="113"/>
        <v>0.51896282251134873</v>
      </c>
      <c r="N497" s="27">
        <f t="shared" si="113"/>
        <v>0.51203275332440912</v>
      </c>
      <c r="O497" s="27">
        <f t="shared" si="113"/>
        <v>0.50197358865556707</v>
      </c>
      <c r="P497" s="27">
        <f t="shared" si="113"/>
        <v>0.48899333628247271</v>
      </c>
      <c r="Q497" s="27">
        <f t="shared" si="113"/>
        <v>0.47875543160314177</v>
      </c>
      <c r="R497" s="27">
        <f t="shared" si="113"/>
        <v>0.46906920988966794</v>
      </c>
      <c r="S497" s="27">
        <f t="shared" si="113"/>
        <v>0.41630918721469751</v>
      </c>
      <c r="T497" s="27">
        <f t="shared" si="113"/>
        <v>0.4242723493279994</v>
      </c>
      <c r="U497" s="27">
        <f t="shared" si="113"/>
        <v>0.42852994772024217</v>
      </c>
      <c r="V497" s="27">
        <f t="shared" si="113"/>
        <v>0.43180740758836011</v>
      </c>
      <c r="W497" s="27">
        <f t="shared" si="113"/>
        <v>0.43654938286292333</v>
      </c>
      <c r="X497" s="27">
        <f t="shared" si="113"/>
        <v>0.44039774902333312</v>
      </c>
      <c r="Y497" s="27">
        <f t="shared" si="113"/>
        <v>0.44287861979972809</v>
      </c>
      <c r="Z497" s="27">
        <f t="shared" si="113"/>
        <v>0.44480979206932508</v>
      </c>
      <c r="AA497" s="27">
        <f t="shared" si="113"/>
        <v>0.44600669694391831</v>
      </c>
      <c r="AB497" s="27">
        <f t="shared" si="113"/>
        <v>0.44955000580259225</v>
      </c>
      <c r="AC497" s="27">
        <f t="shared" si="113"/>
        <v>0.45273812820401932</v>
      </c>
      <c r="AD497" s="27">
        <f t="shared" si="113"/>
        <v>0.45290255961235854</v>
      </c>
      <c r="AE497" s="27">
        <f t="shared" si="113"/>
        <v>0.45503830808408913</v>
      </c>
      <c r="AF497" s="27">
        <f t="shared" si="113"/>
        <v>0.45786255495032313</v>
      </c>
      <c r="AG497" s="27">
        <f t="shared" si="113"/>
        <v>0.46260418192872943</v>
      </c>
      <c r="AH497" s="27">
        <f t="shared" si="113"/>
        <v>0.46336149545626742</v>
      </c>
      <c r="AI497" s="27">
        <f t="shared" si="113"/>
        <v>0.46328199946784754</v>
      </c>
      <c r="AJ497" s="27">
        <f t="shared" si="113"/>
        <v>0.46397768547065105</v>
      </c>
      <c r="AK497" s="27">
        <f t="shared" si="113"/>
        <v>0.46384928130278269</v>
      </c>
      <c r="AL497" s="27">
        <f t="shared" si="113"/>
        <v>0.46394752613960677</v>
      </c>
      <c r="AM497" s="27">
        <f t="shared" si="113"/>
        <v>0.46372456195327277</v>
      </c>
      <c r="AN497" s="27">
        <f t="shared" si="113"/>
        <v>0.46705287296965353</v>
      </c>
      <c r="AO497" s="27">
        <f t="shared" si="113"/>
        <v>0.46948772142871509</v>
      </c>
      <c r="AP497" s="27">
        <f t="shared" si="113"/>
        <v>0.47178208531317378</v>
      </c>
      <c r="AQ497" s="27">
        <f t="shared" si="113"/>
        <v>0.47411151157933035</v>
      </c>
      <c r="AR497" s="27">
        <f t="shared" si="113"/>
        <v>0.47652651600833112</v>
      </c>
      <c r="AS497" s="27">
        <f t="shared" si="113"/>
        <v>0.48031110501678759</v>
      </c>
      <c r="AT497" s="27">
        <f t="shared" si="113"/>
        <v>0.47924514012499747</v>
      </c>
      <c r="AU497" s="27">
        <f t="shared" si="113"/>
        <v>0.47764693105288908</v>
      </c>
      <c r="AV497" s="27">
        <f t="shared" si="113"/>
        <v>0.47599161993934092</v>
      </c>
      <c r="AW497" s="27">
        <f t="shared" si="113"/>
        <v>0.4740811431084902</v>
      </c>
      <c r="AY497" s="79"/>
    </row>
    <row r="498" spans="1:51" x14ac:dyDescent="0.2">
      <c r="A498" s="95" t="str">
        <f t="shared" si="108"/>
        <v>PQ Cattle MMN2O</v>
      </c>
      <c r="B498" s="95" t="s">
        <v>968</v>
      </c>
      <c r="C498" s="95" t="s">
        <v>1232</v>
      </c>
      <c r="D498" t="s">
        <v>15</v>
      </c>
      <c r="E498" t="s">
        <v>657</v>
      </c>
      <c r="F498" t="s">
        <v>67</v>
      </c>
      <c r="G498" t="s">
        <v>123</v>
      </c>
      <c r="H498" t="s">
        <v>1227</v>
      </c>
      <c r="I498" t="s">
        <v>139</v>
      </c>
      <c r="J498" t="s">
        <v>287</v>
      </c>
      <c r="K498" s="27">
        <f t="shared" si="110"/>
        <v>0.80452586370517887</v>
      </c>
      <c r="L498" s="27">
        <f t="shared" si="113"/>
        <v>0.79754846782098077</v>
      </c>
      <c r="M498" s="27">
        <f t="shared" si="113"/>
        <v>0.79489238443144172</v>
      </c>
      <c r="N498" s="27">
        <f t="shared" si="113"/>
        <v>0.78427763712907439</v>
      </c>
      <c r="O498" s="27">
        <f t="shared" si="113"/>
        <v>0.76887007218962333</v>
      </c>
      <c r="P498" s="27">
        <f t="shared" si="113"/>
        <v>0.74898829393537225</v>
      </c>
      <c r="Q498" s="27">
        <f t="shared" si="113"/>
        <v>0.73330695394505496</v>
      </c>
      <c r="R498" s="27">
        <f t="shared" si="113"/>
        <v>0.71847062359542491</v>
      </c>
      <c r="S498" s="27">
        <f t="shared" si="113"/>
        <v>0.63765839888958464</v>
      </c>
      <c r="T498" s="27">
        <f t="shared" si="113"/>
        <v>0.64985552871330754</v>
      </c>
      <c r="U498" s="27">
        <f t="shared" si="113"/>
        <v>0.65637686779803062</v>
      </c>
      <c r="V498" s="27">
        <f t="shared" si="113"/>
        <v>0.66139693431616664</v>
      </c>
      <c r="W498" s="27">
        <f t="shared" si="113"/>
        <v>0.66866019069871818</v>
      </c>
      <c r="X498" s="27">
        <f t="shared" si="113"/>
        <v>0.67455471111659759</v>
      </c>
      <c r="Y498" s="27">
        <f t="shared" si="113"/>
        <v>0.67835464668302581</v>
      </c>
      <c r="Z498" s="27">
        <f t="shared" si="113"/>
        <v>0.68131261219334738</v>
      </c>
      <c r="AA498" s="27">
        <f t="shared" si="113"/>
        <v>0.68314590453806523</v>
      </c>
      <c r="AB498" s="27">
        <f t="shared" si="113"/>
        <v>0.68857317043317978</v>
      </c>
      <c r="AC498" s="27">
        <f t="shared" si="113"/>
        <v>0.69345639926499891</v>
      </c>
      <c r="AD498" s="27">
        <f t="shared" si="113"/>
        <v>0.69370825791186275</v>
      </c>
      <c r="AE498" s="27">
        <f t="shared" si="113"/>
        <v>0.69697957161989321</v>
      </c>
      <c r="AF498" s="27">
        <f t="shared" si="113"/>
        <v>0.70130545437746739</v>
      </c>
      <c r="AG498" s="27">
        <f t="shared" si="113"/>
        <v>0.70856817727678933</v>
      </c>
      <c r="AH498" s="27">
        <f t="shared" si="113"/>
        <v>0.70972815007166834</v>
      </c>
      <c r="AI498" s="27">
        <f t="shared" si="113"/>
        <v>0.70960638652128127</v>
      </c>
      <c r="AJ498" s="27">
        <f t="shared" si="113"/>
        <v>0.71067196478931216</v>
      </c>
      <c r="AK498" s="27">
        <f t="shared" si="113"/>
        <v>0.71047528886043954</v>
      </c>
      <c r="AL498" s="27">
        <f t="shared" si="113"/>
        <v>0.71062576991459914</v>
      </c>
      <c r="AM498" s="27">
        <f t="shared" si="113"/>
        <v>0.71028425694675268</v>
      </c>
      <c r="AN498" s="27">
        <f t="shared" si="113"/>
        <v>0.71538221187758488</v>
      </c>
      <c r="AO498" s="27">
        <f t="shared" si="113"/>
        <v>0.71911165532400878</v>
      </c>
      <c r="AP498" s="27">
        <f t="shared" si="113"/>
        <v>0.7226259193517196</v>
      </c>
      <c r="AQ498" s="27">
        <f t="shared" si="113"/>
        <v>0.72619388822876152</v>
      </c>
      <c r="AR498" s="27">
        <f t="shared" si="113"/>
        <v>0.72989293668793909</v>
      </c>
      <c r="AS498" s="27">
        <f t="shared" si="113"/>
        <v>0.73568977000726443</v>
      </c>
      <c r="AT498" s="27">
        <f t="shared" si="113"/>
        <v>0.73405703768463881</v>
      </c>
      <c r="AU498" s="27">
        <f t="shared" si="113"/>
        <v>0.73160906999785846</v>
      </c>
      <c r="AV498" s="27">
        <f t="shared" si="113"/>
        <v>0.72907363944108583</v>
      </c>
      <c r="AW498" s="27">
        <f t="shared" si="113"/>
        <v>0.72614737301582033</v>
      </c>
      <c r="AY498" s="79"/>
    </row>
    <row r="499" spans="1:51" x14ac:dyDescent="0.2">
      <c r="A499" s="95" t="str">
        <f t="shared" si="108"/>
        <v>PQ Cattle MMN2O</v>
      </c>
      <c r="B499" s="95" t="s">
        <v>968</v>
      </c>
      <c r="C499" s="95" t="s">
        <v>1232</v>
      </c>
      <c r="D499" t="s">
        <v>15</v>
      </c>
      <c r="E499" t="s">
        <v>657</v>
      </c>
      <c r="F499" t="s">
        <v>67</v>
      </c>
      <c r="G499" t="s">
        <v>135</v>
      </c>
      <c r="H499" t="s">
        <v>1227</v>
      </c>
      <c r="I499" t="s">
        <v>139</v>
      </c>
      <c r="J499" t="s">
        <v>287</v>
      </c>
      <c r="K499" s="27">
        <f t="shared" si="110"/>
        <v>0.97926119892671493</v>
      </c>
      <c r="L499" s="27">
        <f t="shared" si="113"/>
        <v>1.0122801448609147</v>
      </c>
      <c r="M499" s="27">
        <f t="shared" si="113"/>
        <v>1.0514701788925804</v>
      </c>
      <c r="N499" s="27">
        <f t="shared" si="113"/>
        <v>1.0806972456941153</v>
      </c>
      <c r="O499" s="27">
        <f t="shared" si="113"/>
        <v>1.1032367943433716</v>
      </c>
      <c r="P499" s="27">
        <f t="shared" si="113"/>
        <v>1.1187666946803865</v>
      </c>
      <c r="Q499" s="27">
        <f t="shared" si="113"/>
        <v>1.1399714801203362</v>
      </c>
      <c r="R499" s="27">
        <f t="shared" si="113"/>
        <v>1.1622002864669057</v>
      </c>
      <c r="S499" s="27">
        <f t="shared" si="113"/>
        <v>1.0731659766272925</v>
      </c>
      <c r="T499" s="27">
        <f t="shared" si="113"/>
        <v>1.1200435177813</v>
      </c>
      <c r="U499" s="27">
        <f t="shared" ref="L499:AW505" si="114">U1416</f>
        <v>1.1581646088835691</v>
      </c>
      <c r="V499" s="27">
        <f t="shared" si="114"/>
        <v>1.1944005912440496</v>
      </c>
      <c r="W499" s="27">
        <f t="shared" si="114"/>
        <v>1.2355118571945767</v>
      </c>
      <c r="X499" s="27">
        <f t="shared" si="114"/>
        <v>1.2749845608108272</v>
      </c>
      <c r="Y499" s="27">
        <f t="shared" si="114"/>
        <v>1.3112710404440306</v>
      </c>
      <c r="Z499" s="27">
        <f t="shared" si="114"/>
        <v>1.3466036234744594</v>
      </c>
      <c r="AA499" s="27">
        <f t="shared" si="114"/>
        <v>1.3803261318564077</v>
      </c>
      <c r="AB499" s="27">
        <f t="shared" si="114"/>
        <v>1.4220578435636848</v>
      </c>
      <c r="AC499" s="27">
        <f t="shared" si="114"/>
        <v>1.4635769863229917</v>
      </c>
      <c r="AD499" s="27">
        <f t="shared" si="114"/>
        <v>1.5126623536535566</v>
      </c>
      <c r="AE499" s="27">
        <f t="shared" si="114"/>
        <v>1.5702927620533913</v>
      </c>
      <c r="AF499" s="27">
        <f t="shared" si="114"/>
        <v>1.6326718662100064</v>
      </c>
      <c r="AG499" s="27">
        <f t="shared" si="114"/>
        <v>1.7047038536562504</v>
      </c>
      <c r="AH499" s="27">
        <f t="shared" si="114"/>
        <v>1.7647703233064436</v>
      </c>
      <c r="AI499" s="27">
        <f t="shared" si="114"/>
        <v>1.823914760279997</v>
      </c>
      <c r="AJ499" s="27">
        <f t="shared" si="114"/>
        <v>1.8885037105241573</v>
      </c>
      <c r="AK499" s="27">
        <f t="shared" si="114"/>
        <v>1.9522655918668117</v>
      </c>
      <c r="AL499" s="27">
        <f t="shared" si="114"/>
        <v>2.0195785012565346</v>
      </c>
      <c r="AM499" s="27">
        <f t="shared" si="114"/>
        <v>2.0882359976906724</v>
      </c>
      <c r="AN499" s="27">
        <f t="shared" si="114"/>
        <v>2.1625669468600144</v>
      </c>
      <c r="AO499" s="27">
        <f t="shared" si="114"/>
        <v>2.2353883436386872</v>
      </c>
      <c r="AP499" s="27">
        <f t="shared" si="114"/>
        <v>2.310159637098629</v>
      </c>
      <c r="AQ499" s="27">
        <f t="shared" si="114"/>
        <v>2.387837748545981</v>
      </c>
      <c r="AR499" s="27">
        <f t="shared" si="114"/>
        <v>2.4688377318111754</v>
      </c>
      <c r="AS499" s="27">
        <f t="shared" si="114"/>
        <v>2.5601896833945608</v>
      </c>
      <c r="AT499" s="27">
        <f t="shared" si="114"/>
        <v>2.6285710200523447</v>
      </c>
      <c r="AU499" s="27">
        <f t="shared" si="114"/>
        <v>2.6962215322627681</v>
      </c>
      <c r="AV499" s="27">
        <f t="shared" si="114"/>
        <v>2.7657590792696469</v>
      </c>
      <c r="AW499" s="27">
        <f t="shared" si="114"/>
        <v>2.8360897430204677</v>
      </c>
      <c r="AY499" s="79"/>
    </row>
    <row r="500" spans="1:51" x14ac:dyDescent="0.2">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0.1195503235691774</v>
      </c>
      <c r="T500" s="27">
        <f t="shared" si="114"/>
        <v>0.11973238900774033</v>
      </c>
      <c r="U500" s="27">
        <f t="shared" si="114"/>
        <v>0.11993816652481025</v>
      </c>
      <c r="V500" s="27">
        <f t="shared" si="114"/>
        <v>0.12017030175701968</v>
      </c>
      <c r="W500" s="27">
        <f t="shared" si="114"/>
        <v>0.12043143682964785</v>
      </c>
      <c r="X500" s="27">
        <f t="shared" si="114"/>
        <v>0.12071612652319091</v>
      </c>
      <c r="Y500" s="27">
        <f t="shared" si="114"/>
        <v>0.12088927246048492</v>
      </c>
      <c r="Z500" s="27">
        <f t="shared" si="114"/>
        <v>0.12108266651499933</v>
      </c>
      <c r="AA500" s="27">
        <f t="shared" si="114"/>
        <v>0.12129489002398719</v>
      </c>
      <c r="AB500" s="27">
        <f t="shared" si="114"/>
        <v>0.12153074787723062</v>
      </c>
      <c r="AC500" s="27">
        <f t="shared" si="114"/>
        <v>0.12178444503760315</v>
      </c>
      <c r="AD500" s="27">
        <f t="shared" si="114"/>
        <v>0.12195021859922818</v>
      </c>
      <c r="AE500" s="27">
        <f t="shared" si="114"/>
        <v>0.12213630016303641</v>
      </c>
      <c r="AF500" s="27">
        <f t="shared" si="114"/>
        <v>0.12233971704233786</v>
      </c>
      <c r="AG500" s="27">
        <f t="shared" si="114"/>
        <v>0.12256258176640643</v>
      </c>
      <c r="AH500" s="27">
        <f t="shared" si="114"/>
        <v>0.12279204268449652</v>
      </c>
      <c r="AI500" s="27">
        <f t="shared" si="114"/>
        <v>0.12293267358180958</v>
      </c>
      <c r="AJ500" s="27">
        <f t="shared" si="114"/>
        <v>0.1230880284078129</v>
      </c>
      <c r="AK500" s="27">
        <f t="shared" si="114"/>
        <v>0.12325414703713089</v>
      </c>
      <c r="AL500" s="27">
        <f t="shared" si="114"/>
        <v>0.12343300581478904</v>
      </c>
      <c r="AM500" s="27">
        <f t="shared" si="114"/>
        <v>0.12362298848343736</v>
      </c>
      <c r="AN500" s="27">
        <f t="shared" si="114"/>
        <v>0.12373316293630814</v>
      </c>
      <c r="AO500" s="27">
        <f t="shared" si="114"/>
        <v>0.12385166980530417</v>
      </c>
      <c r="AP500" s="27">
        <f t="shared" si="114"/>
        <v>0.12398002361906417</v>
      </c>
      <c r="AQ500" s="27">
        <f t="shared" si="114"/>
        <v>0.12411840156820916</v>
      </c>
      <c r="AR500" s="27">
        <f t="shared" si="114"/>
        <v>0.12426670691930036</v>
      </c>
      <c r="AS500" s="27">
        <f t="shared" si="114"/>
        <v>0.12433302167931155</v>
      </c>
      <c r="AT500" s="27">
        <f t="shared" si="114"/>
        <v>0.12439474489368146</v>
      </c>
      <c r="AU500" s="27">
        <f t="shared" si="114"/>
        <v>0.1244631713501356</v>
      </c>
      <c r="AV500" s="27">
        <f t="shared" si="114"/>
        <v>0.12453939785824997</v>
      </c>
      <c r="AW500" s="27">
        <f t="shared" si="114"/>
        <v>0.12462263971956801</v>
      </c>
      <c r="AY500" s="79"/>
    </row>
    <row r="501" spans="1:51" x14ac:dyDescent="0.2">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6.3928512589691663E-2</v>
      </c>
      <c r="T501" s="27">
        <f t="shared" si="114"/>
        <v>6.4025870525110232E-2</v>
      </c>
      <c r="U501" s="27">
        <f t="shared" si="114"/>
        <v>6.4135908291616708E-2</v>
      </c>
      <c r="V501" s="27">
        <f t="shared" si="114"/>
        <v>6.4260040620762821E-2</v>
      </c>
      <c r="W501" s="27">
        <f t="shared" si="114"/>
        <v>6.4399680366434092E-2</v>
      </c>
      <c r="X501" s="27">
        <f t="shared" si="114"/>
        <v>6.4551915744093219E-2</v>
      </c>
      <c r="Y501" s="27">
        <f t="shared" si="114"/>
        <v>6.4644504052528431E-2</v>
      </c>
      <c r="Z501" s="27">
        <f t="shared" si="114"/>
        <v>6.4747919868393122E-2</v>
      </c>
      <c r="AA501" s="27">
        <f t="shared" si="114"/>
        <v>6.4861404573922254E-2</v>
      </c>
      <c r="AB501" s="27">
        <f t="shared" si="114"/>
        <v>6.4987527542813464E-2</v>
      </c>
      <c r="AC501" s="27">
        <f t="shared" si="114"/>
        <v>6.5123189928548972E-2</v>
      </c>
      <c r="AD501" s="27">
        <f t="shared" si="114"/>
        <v>6.5211835922177344E-2</v>
      </c>
      <c r="AE501" s="27">
        <f t="shared" si="114"/>
        <v>6.5311341446206636E-2</v>
      </c>
      <c r="AF501" s="27">
        <f t="shared" si="114"/>
        <v>6.5420116881865359E-2</v>
      </c>
      <c r="AG501" s="27">
        <f t="shared" si="114"/>
        <v>6.5539291886106743E-2</v>
      </c>
      <c r="AH501" s="27">
        <f t="shared" si="114"/>
        <v>6.5661994148660446E-2</v>
      </c>
      <c r="AI501" s="27">
        <f t="shared" si="114"/>
        <v>6.5737195317682587E-2</v>
      </c>
      <c r="AJ501" s="27">
        <f t="shared" si="114"/>
        <v>6.5820269981585744E-2</v>
      </c>
      <c r="AK501" s="27">
        <f t="shared" si="114"/>
        <v>6.5909100497210327E-2</v>
      </c>
      <c r="AL501" s="27">
        <f t="shared" si="114"/>
        <v>6.6004743698148058E-2</v>
      </c>
      <c r="AM501" s="27">
        <f t="shared" si="114"/>
        <v>6.6106335304610589E-2</v>
      </c>
      <c r="AN501" s="27">
        <f t="shared" si="114"/>
        <v>6.6165250150569468E-2</v>
      </c>
      <c r="AO501" s="27">
        <f t="shared" si="114"/>
        <v>6.6228620684754519E-2</v>
      </c>
      <c r="AP501" s="27">
        <f t="shared" si="114"/>
        <v>6.6297256788396222E-2</v>
      </c>
      <c r="AQ501" s="27">
        <f t="shared" si="114"/>
        <v>6.6371253212662962E-2</v>
      </c>
      <c r="AR501" s="27">
        <f t="shared" si="114"/>
        <v>6.6450558230176079E-2</v>
      </c>
      <c r="AS501" s="27">
        <f t="shared" si="114"/>
        <v>6.6486019480666153E-2</v>
      </c>
      <c r="AT501" s="27">
        <f t="shared" si="114"/>
        <v>6.6519025441412388E-2</v>
      </c>
      <c r="AU501" s="27">
        <f t="shared" si="114"/>
        <v>6.6555615903506504E-2</v>
      </c>
      <c r="AV501" s="27">
        <f t="shared" si="114"/>
        <v>6.6596377376484356E-2</v>
      </c>
      <c r="AW501" s="27">
        <f t="shared" si="114"/>
        <v>6.6640890249560589E-2</v>
      </c>
      <c r="AY501" s="79"/>
    </row>
    <row r="502" spans="1:51" x14ac:dyDescent="0.2">
      <c r="A502" s="95" t="str">
        <f t="shared" si="108"/>
        <v>PQ Goats MMN2O</v>
      </c>
      <c r="B502" s="95" t="s">
        <v>968</v>
      </c>
      <c r="C502" s="95" t="s">
        <v>1329</v>
      </c>
      <c r="D502" t="s">
        <v>15</v>
      </c>
      <c r="E502" t="s">
        <v>657</v>
      </c>
      <c r="F502" t="s">
        <v>19</v>
      </c>
      <c r="G502" t="s">
        <v>122</v>
      </c>
      <c r="H502" t="s">
        <v>1227</v>
      </c>
      <c r="I502" t="s">
        <v>139</v>
      </c>
      <c r="J502" t="s">
        <v>287</v>
      </c>
      <c r="K502" s="27">
        <f t="shared" si="110"/>
        <v>1.4486129996083083E-2</v>
      </c>
      <c r="L502" s="27">
        <f t="shared" si="114"/>
        <v>1.4523786941695514E-2</v>
      </c>
      <c r="M502" s="27">
        <f t="shared" si="114"/>
        <v>1.457573336741831E-2</v>
      </c>
      <c r="N502" s="27">
        <f t="shared" si="114"/>
        <v>1.4639017833045652E-2</v>
      </c>
      <c r="O502" s="27">
        <f t="shared" si="114"/>
        <v>1.4713550078172181E-2</v>
      </c>
      <c r="P502" s="27">
        <f t="shared" si="114"/>
        <v>1.4798876460462532E-2</v>
      </c>
      <c r="Q502" s="27">
        <f t="shared" si="114"/>
        <v>1.4890706011157254E-2</v>
      </c>
      <c r="R502" s="27">
        <f t="shared" si="114"/>
        <v>1.4988675221399694E-2</v>
      </c>
      <c r="S502" s="27">
        <f t="shared" si="114"/>
        <v>1.5078679643027025E-2</v>
      </c>
      <c r="T502" s="27">
        <f t="shared" si="114"/>
        <v>1.5122495296339114E-2</v>
      </c>
      <c r="U502" s="27">
        <f t="shared" si="114"/>
        <v>1.516958973789732E-2</v>
      </c>
      <c r="V502" s="27">
        <f t="shared" si="114"/>
        <v>1.5220538890996555E-2</v>
      </c>
      <c r="W502" s="27">
        <f t="shared" si="114"/>
        <v>1.5275902163367263E-2</v>
      </c>
      <c r="X502" s="27">
        <f t="shared" si="114"/>
        <v>1.5334694454120529E-2</v>
      </c>
      <c r="Y502" s="27">
        <f t="shared" si="114"/>
        <v>1.5371448915304845E-2</v>
      </c>
      <c r="Z502" s="27">
        <f t="shared" si="114"/>
        <v>1.5411207509365298E-2</v>
      </c>
      <c r="AA502" s="27">
        <f t="shared" si="114"/>
        <v>1.545373639870192E-2</v>
      </c>
      <c r="AB502" s="27">
        <f t="shared" si="114"/>
        <v>1.5499966763922934E-2</v>
      </c>
      <c r="AC502" s="27">
        <f t="shared" si="114"/>
        <v>1.5548833641447303E-2</v>
      </c>
      <c r="AD502" s="27">
        <f t="shared" si="114"/>
        <v>1.5580602349578561E-2</v>
      </c>
      <c r="AE502" s="27">
        <f t="shared" si="114"/>
        <v>1.5615591404277505E-2</v>
      </c>
      <c r="AF502" s="27">
        <f t="shared" si="114"/>
        <v>1.5653259744642323E-2</v>
      </c>
      <c r="AG502" s="27">
        <f t="shared" si="114"/>
        <v>1.5694012741398929E-2</v>
      </c>
      <c r="AH502" s="27">
        <f t="shared" si="114"/>
        <v>1.5735477279761712E-2</v>
      </c>
      <c r="AI502" s="27">
        <f t="shared" si="114"/>
        <v>1.5760021720349279E-2</v>
      </c>
      <c r="AJ502" s="27">
        <f t="shared" si="114"/>
        <v>1.5786883711006117E-2</v>
      </c>
      <c r="AK502" s="27">
        <f t="shared" si="114"/>
        <v>1.5815340273420818E-2</v>
      </c>
      <c r="AL502" s="27">
        <f t="shared" si="114"/>
        <v>1.5845764593107773E-2</v>
      </c>
      <c r="AM502" s="27">
        <f t="shared" si="114"/>
        <v>1.5877866318833773E-2</v>
      </c>
      <c r="AN502" s="27">
        <f t="shared" si="114"/>
        <v>1.5894983838021428E-2</v>
      </c>
      <c r="AO502" s="27">
        <f t="shared" si="114"/>
        <v>1.5913339031971951E-2</v>
      </c>
      <c r="AP502" s="27">
        <f t="shared" si="114"/>
        <v>1.593321505910849E-2</v>
      </c>
      <c r="AQ502" s="27">
        <f t="shared" si="114"/>
        <v>1.5954648527995344E-2</v>
      </c>
      <c r="AR502" s="27">
        <f t="shared" si="114"/>
        <v>1.597762528830339E-2</v>
      </c>
      <c r="AS502" s="27">
        <f t="shared" si="114"/>
        <v>1.598544144020398E-2</v>
      </c>
      <c r="AT502" s="27">
        <f t="shared" si="114"/>
        <v>1.5992226212116378E-2</v>
      </c>
      <c r="AU502" s="27">
        <f t="shared" si="114"/>
        <v>1.600003943689176E-2</v>
      </c>
      <c r="AV502" s="27">
        <f t="shared" si="114"/>
        <v>1.6009082551352239E-2</v>
      </c>
      <c r="AW502" s="27">
        <f t="shared" si="114"/>
        <v>1.6019215529788255E-2</v>
      </c>
      <c r="AY502" s="79"/>
    </row>
    <row r="503" spans="1:51" x14ac:dyDescent="0.2">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0.11605647283191661</v>
      </c>
      <c r="O503" s="27">
        <f t="shared" si="114"/>
        <v>0.11664735601685972</v>
      </c>
      <c r="P503" s="27">
        <f t="shared" si="114"/>
        <v>0.11732381389682567</v>
      </c>
      <c r="Q503" s="27">
        <f t="shared" si="114"/>
        <v>0.11805182815822723</v>
      </c>
      <c r="R503" s="27">
        <f t="shared" si="114"/>
        <v>0.11882851694408277</v>
      </c>
      <c r="S503" s="27">
        <f t="shared" si="114"/>
        <v>0.11954206178926803</v>
      </c>
      <c r="T503" s="27">
        <f t="shared" si="114"/>
        <v>0.11988942731858297</v>
      </c>
      <c r="U503" s="27">
        <f t="shared" si="114"/>
        <v>0.12026278670919023</v>
      </c>
      <c r="V503" s="27">
        <f t="shared" si="114"/>
        <v>0.12066670581564304</v>
      </c>
      <c r="W503" s="27">
        <f t="shared" si="114"/>
        <v>0.12110561955897305</v>
      </c>
      <c r="X503" s="27">
        <f t="shared" si="114"/>
        <v>0.121571718171076</v>
      </c>
      <c r="Y503" s="27">
        <f t="shared" si="114"/>
        <v>0.12186310337017453</v>
      </c>
      <c r="Z503" s="27">
        <f t="shared" si="114"/>
        <v>0.12217830499394715</v>
      </c>
      <c r="AA503" s="27">
        <f t="shared" si="114"/>
        <v>0.12251546920442616</v>
      </c>
      <c r="AB503" s="27">
        <f t="shared" si="114"/>
        <v>0.12288197829584693</v>
      </c>
      <c r="AC503" s="27">
        <f t="shared" si="114"/>
        <v>0.12326938935774111</v>
      </c>
      <c r="AD503" s="27">
        <f t="shared" si="114"/>
        <v>0.12352124807218419</v>
      </c>
      <c r="AE503" s="27">
        <f t="shared" si="114"/>
        <v>0.12379863732892218</v>
      </c>
      <c r="AF503" s="27">
        <f t="shared" si="114"/>
        <v>0.12409726765849963</v>
      </c>
      <c r="AG503" s="27">
        <f t="shared" si="114"/>
        <v>0.12442035279404921</v>
      </c>
      <c r="AH503" s="27">
        <f t="shared" si="114"/>
        <v>0.12474907895074024</v>
      </c>
      <c r="AI503" s="27">
        <f t="shared" si="114"/>
        <v>0.12494366449156763</v>
      </c>
      <c r="AJ503" s="27">
        <f t="shared" si="114"/>
        <v>0.12515662330645747</v>
      </c>
      <c r="AK503" s="27">
        <f t="shared" si="114"/>
        <v>0.12538222370536653</v>
      </c>
      <c r="AL503" s="27">
        <f t="shared" si="114"/>
        <v>0.12562342426072123</v>
      </c>
      <c r="AM503" s="27">
        <f t="shared" si="114"/>
        <v>0.12587792310088028</v>
      </c>
      <c r="AN503" s="27">
        <f t="shared" si="114"/>
        <v>0.12601362885130757</v>
      </c>
      <c r="AO503" s="27">
        <f t="shared" si="114"/>
        <v>0.12615914674686166</v>
      </c>
      <c r="AP503" s="27">
        <f t="shared" si="114"/>
        <v>0.1263167216354017</v>
      </c>
      <c r="AQ503" s="27">
        <f t="shared" si="114"/>
        <v>0.12648664374547289</v>
      </c>
      <c r="AR503" s="27">
        <f t="shared" si="114"/>
        <v>0.12666880089487106</v>
      </c>
      <c r="AS503" s="27">
        <f t="shared" si="114"/>
        <v>0.12673076646052897</v>
      </c>
      <c r="AT503" s="27">
        <f t="shared" si="114"/>
        <v>0.12678455536263306</v>
      </c>
      <c r="AU503" s="27">
        <f t="shared" si="114"/>
        <v>0.1268464977223743</v>
      </c>
      <c r="AV503" s="27">
        <f t="shared" si="114"/>
        <v>0.12691819050802894</v>
      </c>
      <c r="AW503" s="27">
        <f t="shared" si="114"/>
        <v>0.12699852361165501</v>
      </c>
      <c r="AY503" s="79"/>
    </row>
    <row r="504" spans="1:51" x14ac:dyDescent="0.2">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2">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2">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9.6937181363551561E-2</v>
      </c>
      <c r="M506" s="27">
        <f t="shared" si="115"/>
        <v>9.6980665528366608E-2</v>
      </c>
      <c r="N506" s="27">
        <f t="shared" si="115"/>
        <v>9.6090308702663593E-2</v>
      </c>
      <c r="O506" s="27">
        <f t="shared" si="115"/>
        <v>9.4636150647850539E-2</v>
      </c>
      <c r="P506" s="27">
        <f t="shared" si="115"/>
        <v>9.2641437622218353E-2</v>
      </c>
      <c r="Q506" s="27">
        <f t="shared" si="115"/>
        <v>9.1193054757597203E-2</v>
      </c>
      <c r="R506" s="27">
        <f t="shared" si="115"/>
        <v>8.9872834352323586E-2</v>
      </c>
      <c r="S506" s="27">
        <f t="shared" si="115"/>
        <v>8.007614881771638E-2</v>
      </c>
      <c r="T506" s="27">
        <f t="shared" si="115"/>
        <v>8.1326396788510474E-2</v>
      </c>
      <c r="U506" s="27">
        <f t="shared" si="115"/>
        <v>8.1857388582928847E-2</v>
      </c>
      <c r="V506" s="27">
        <f t="shared" si="115"/>
        <v>8.2207086470719101E-2</v>
      </c>
      <c r="W506" s="27">
        <f t="shared" si="115"/>
        <v>8.285461390877466E-2</v>
      </c>
      <c r="X506" s="27">
        <f t="shared" si="115"/>
        <v>8.333689669834958E-2</v>
      </c>
      <c r="Y506" s="27">
        <f t="shared" si="115"/>
        <v>8.3589871912565908E-2</v>
      </c>
      <c r="Z506" s="27">
        <f t="shared" si="115"/>
        <v>8.3744868407458789E-2</v>
      </c>
      <c r="AA506" s="27">
        <f t="shared" si="115"/>
        <v>8.3765893880963477E-2</v>
      </c>
      <c r="AB506" s="27">
        <f t="shared" si="115"/>
        <v>8.4252320791482468E-2</v>
      </c>
      <c r="AC506" s="27">
        <f t="shared" si="115"/>
        <v>8.467721169561411E-2</v>
      </c>
      <c r="AD506" s="27">
        <f t="shared" si="115"/>
        <v>8.5288552318902811E-2</v>
      </c>
      <c r="AE506" s="27">
        <f t="shared" si="115"/>
        <v>8.6321222168383255E-2</v>
      </c>
      <c r="AF506" s="27">
        <f t="shared" si="115"/>
        <v>8.7530536010928472E-2</v>
      </c>
      <c r="AG506" s="27">
        <f t="shared" si="115"/>
        <v>8.9167849032446608E-2</v>
      </c>
      <c r="AH506" s="27">
        <f t="shared" si="115"/>
        <v>9.0051741731639295E-2</v>
      </c>
      <c r="AI506" s="27">
        <f t="shared" si="115"/>
        <v>9.0823732502808008E-2</v>
      </c>
      <c r="AJ506" s="27">
        <f t="shared" si="115"/>
        <v>9.1793903682288E-2</v>
      </c>
      <c r="AK506" s="27">
        <f t="shared" si="115"/>
        <v>9.2636221139642705E-2</v>
      </c>
      <c r="AL506" s="27">
        <f t="shared" si="115"/>
        <v>9.3568236692189041E-2</v>
      </c>
      <c r="AM506" s="27">
        <f t="shared" si="115"/>
        <v>9.4477344703207677E-2</v>
      </c>
      <c r="AN506" s="27">
        <f t="shared" si="115"/>
        <v>9.5701309146604296E-2</v>
      </c>
      <c r="AO506" s="27">
        <f t="shared" si="115"/>
        <v>9.6764158959885563E-2</v>
      </c>
      <c r="AP506" s="27">
        <f t="shared" si="115"/>
        <v>9.7826064209534019E-2</v>
      </c>
      <c r="AQ506" s="27">
        <f t="shared" si="115"/>
        <v>9.8925683865692504E-2</v>
      </c>
      <c r="AR506" s="27">
        <f t="shared" si="115"/>
        <v>0.1000753787258143</v>
      </c>
      <c r="AS506" s="27">
        <f t="shared" si="115"/>
        <v>0.10157365781943821</v>
      </c>
      <c r="AT506" s="27">
        <f t="shared" si="115"/>
        <v>0.10203766217050345</v>
      </c>
      <c r="AU506" s="27">
        <f t="shared" si="115"/>
        <v>0.10240826928518969</v>
      </c>
      <c r="AV506" s="27">
        <f t="shared" si="115"/>
        <v>0.10279047259457187</v>
      </c>
      <c r="AW506" s="27">
        <f t="shared" si="115"/>
        <v>0.10314026973807801</v>
      </c>
      <c r="AY506" s="79"/>
    </row>
    <row r="507" spans="1:51" x14ac:dyDescent="0.2">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3.7923788015899976E-2</v>
      </c>
      <c r="M507" s="27">
        <f t="shared" si="115"/>
        <v>3.7940799901590251E-2</v>
      </c>
      <c r="N507" s="27">
        <f t="shared" si="115"/>
        <v>3.759247428451009E-2</v>
      </c>
      <c r="O507" s="27">
        <f t="shared" si="115"/>
        <v>3.7023578211438583E-2</v>
      </c>
      <c r="P507" s="27">
        <f t="shared" si="115"/>
        <v>3.6243206089281214E-2</v>
      </c>
      <c r="Q507" s="27">
        <f t="shared" si="115"/>
        <v>3.5676569387541844E-2</v>
      </c>
      <c r="R507" s="27">
        <f t="shared" si="115"/>
        <v>3.5160072434777256E-2</v>
      </c>
      <c r="S507" s="27">
        <f t="shared" si="115"/>
        <v>3.132741070223205E-2</v>
      </c>
      <c r="T507" s="27">
        <f t="shared" si="115"/>
        <v>3.1816533021911265E-2</v>
      </c>
      <c r="U507" s="27">
        <f t="shared" si="115"/>
        <v>3.2024267762765575E-2</v>
      </c>
      <c r="V507" s="27">
        <f t="shared" si="115"/>
        <v>3.2161076656727829E-2</v>
      </c>
      <c r="W507" s="27">
        <f t="shared" si="115"/>
        <v>3.2414402500845374E-2</v>
      </c>
      <c r="X507" s="27">
        <f t="shared" si="115"/>
        <v>3.2603081292804072E-2</v>
      </c>
      <c r="Y507" s="27">
        <f t="shared" si="115"/>
        <v>3.2702050318540822E-2</v>
      </c>
      <c r="Z507" s="27">
        <f t="shared" si="115"/>
        <v>3.2762688085523954E-2</v>
      </c>
      <c r="AA507" s="27">
        <f t="shared" si="115"/>
        <v>3.2770913676457285E-2</v>
      </c>
      <c r="AB507" s="27">
        <f t="shared" si="115"/>
        <v>3.2961213732434436E-2</v>
      </c>
      <c r="AC507" s="27">
        <f t="shared" si="115"/>
        <v>3.3127439656806437E-2</v>
      </c>
      <c r="AD507" s="27">
        <f t="shared" si="115"/>
        <v>3.3366608486320448E-2</v>
      </c>
      <c r="AE507" s="27">
        <f t="shared" si="115"/>
        <v>3.377060983968385E-2</v>
      </c>
      <c r="AF507" s="27">
        <f t="shared" si="115"/>
        <v>3.4243717899607513E-2</v>
      </c>
      <c r="AG507" s="27">
        <f t="shared" si="115"/>
        <v>3.4884267903953659E-2</v>
      </c>
      <c r="AH507" s="27">
        <f t="shared" si="115"/>
        <v>3.523006462386518E-2</v>
      </c>
      <c r="AI507" s="27">
        <f t="shared" si="115"/>
        <v>3.5532083043879219E-2</v>
      </c>
      <c r="AJ507" s="27">
        <f t="shared" si="115"/>
        <v>3.5911633652141173E-2</v>
      </c>
      <c r="AK507" s="27">
        <f t="shared" si="115"/>
        <v>3.6241165295680604E-2</v>
      </c>
      <c r="AL507" s="27">
        <f t="shared" si="115"/>
        <v>3.6605788650157255E-2</v>
      </c>
      <c r="AM507" s="27">
        <f t="shared" si="115"/>
        <v>3.6961450110584139E-2</v>
      </c>
      <c r="AN507" s="27">
        <f t="shared" si="115"/>
        <v>3.7440289782188468E-2</v>
      </c>
      <c r="AO507" s="27">
        <f t="shared" si="115"/>
        <v>3.7856098148438051E-2</v>
      </c>
      <c r="AP507" s="27">
        <f t="shared" si="115"/>
        <v>3.82715369822701E-2</v>
      </c>
      <c r="AQ507" s="27">
        <f t="shared" si="115"/>
        <v>3.8701730455524434E-2</v>
      </c>
      <c r="AR507" s="27">
        <f t="shared" si="115"/>
        <v>3.9151514362431208E-2</v>
      </c>
      <c r="AS507" s="27">
        <f t="shared" si="115"/>
        <v>3.973767147919479E-2</v>
      </c>
      <c r="AT507" s="27">
        <f t="shared" si="115"/>
        <v>3.9919199375928846E-2</v>
      </c>
      <c r="AU507" s="27">
        <f t="shared" si="115"/>
        <v>4.0064188382797468E-2</v>
      </c>
      <c r="AV507" s="27">
        <f t="shared" si="115"/>
        <v>4.0213714055816842E-2</v>
      </c>
      <c r="AW507" s="27">
        <f t="shared" si="115"/>
        <v>4.0350561780624759E-2</v>
      </c>
      <c r="AY507" s="79"/>
    </row>
    <row r="508" spans="1:51" x14ac:dyDescent="0.2">
      <c r="A508" s="95" t="str">
        <f t="shared" si="108"/>
        <v>PQ Poultry MMN2O</v>
      </c>
      <c r="B508" s="95" t="s">
        <v>968</v>
      </c>
      <c r="C508" s="95" t="s">
        <v>1234</v>
      </c>
      <c r="D508" t="s">
        <v>15</v>
      </c>
      <c r="E508" t="s">
        <v>657</v>
      </c>
      <c r="F508" t="s">
        <v>28</v>
      </c>
      <c r="G508" t="s">
        <v>131</v>
      </c>
      <c r="H508" t="s">
        <v>1227</v>
      </c>
      <c r="I508" t="s">
        <v>139</v>
      </c>
      <c r="J508" t="s">
        <v>287</v>
      </c>
      <c r="K508" s="27">
        <f t="shared" si="110"/>
        <v>0.32784224726088984</v>
      </c>
      <c r="L508" s="27">
        <f t="shared" si="115"/>
        <v>0.33450793008613738</v>
      </c>
      <c r="M508" s="27">
        <f t="shared" si="115"/>
        <v>0.34229948156355033</v>
      </c>
      <c r="N508" s="27">
        <f t="shared" si="115"/>
        <v>0.34828124731402299</v>
      </c>
      <c r="O508" s="27">
        <f t="shared" si="115"/>
        <v>0.35308310351311484</v>
      </c>
      <c r="P508" s="27">
        <f t="shared" si="115"/>
        <v>0.35667649320457151</v>
      </c>
      <c r="Q508" s="27">
        <f t="shared" si="115"/>
        <v>0.36128421068096001</v>
      </c>
      <c r="R508" s="27">
        <f t="shared" si="115"/>
        <v>0.36607496135357964</v>
      </c>
      <c r="S508" s="27">
        <f t="shared" si="115"/>
        <v>0.35143183243338239</v>
      </c>
      <c r="T508" s="27">
        <f t="shared" si="115"/>
        <v>0.36075285272545593</v>
      </c>
      <c r="U508" s="27">
        <f t="shared" si="115"/>
        <v>0.36853031698633509</v>
      </c>
      <c r="V508" s="27">
        <f t="shared" si="115"/>
        <v>0.37596763636775804</v>
      </c>
      <c r="W508" s="27">
        <f t="shared" si="115"/>
        <v>0.38423631077311071</v>
      </c>
      <c r="X508" s="27">
        <f t="shared" si="115"/>
        <v>0.39220730600957571</v>
      </c>
      <c r="Y508" s="27">
        <f t="shared" si="115"/>
        <v>0.39936428537617313</v>
      </c>
      <c r="Z508" s="27">
        <f t="shared" si="115"/>
        <v>0.40634242638516721</v>
      </c>
      <c r="AA508" s="27">
        <f t="shared" si="115"/>
        <v>0.41303118340854511</v>
      </c>
      <c r="AB508" s="27">
        <f t="shared" si="115"/>
        <v>0.42107387695618559</v>
      </c>
      <c r="AC508" s="27">
        <f t="shared" si="115"/>
        <v>0.42906142963568294</v>
      </c>
      <c r="AD508" s="27">
        <f t="shared" si="115"/>
        <v>0.43743347438516689</v>
      </c>
      <c r="AE508" s="27">
        <f t="shared" si="115"/>
        <v>0.44718290108725961</v>
      </c>
      <c r="AF508" s="27">
        <f t="shared" si="115"/>
        <v>0.45765280094933275</v>
      </c>
      <c r="AG508" s="27">
        <f t="shared" si="115"/>
        <v>0.46964954754544574</v>
      </c>
      <c r="AH508" s="27">
        <f t="shared" si="115"/>
        <v>0.47956610826401264</v>
      </c>
      <c r="AI508" s="27">
        <f t="shared" si="115"/>
        <v>0.48905427439468169</v>
      </c>
      <c r="AJ508" s="27">
        <f t="shared" si="115"/>
        <v>0.49936104134598547</v>
      </c>
      <c r="AK508" s="27">
        <f t="shared" si="115"/>
        <v>0.5094502425603159</v>
      </c>
      <c r="AL508" s="27">
        <f t="shared" si="115"/>
        <v>0.52003660978561117</v>
      </c>
      <c r="AM508" s="27">
        <f t="shared" si="115"/>
        <v>0.53075624094362661</v>
      </c>
      <c r="AN508" s="27">
        <f t="shared" si="115"/>
        <v>0.54254535314858965</v>
      </c>
      <c r="AO508" s="27">
        <f t="shared" si="115"/>
        <v>0.55401935597193963</v>
      </c>
      <c r="AP508" s="27">
        <f t="shared" si="115"/>
        <v>0.56573487647354037</v>
      </c>
      <c r="AQ508" s="27">
        <f t="shared" si="115"/>
        <v>0.57784177154062866</v>
      </c>
      <c r="AR508" s="27">
        <f t="shared" si="115"/>
        <v>0.59040171392478091</v>
      </c>
      <c r="AS508" s="27">
        <f t="shared" si="115"/>
        <v>0.60432458622346374</v>
      </c>
      <c r="AT508" s="27">
        <f t="shared" si="115"/>
        <v>0.61453867581789445</v>
      </c>
      <c r="AU508" s="27">
        <f t="shared" si="115"/>
        <v>0.62457515677108666</v>
      </c>
      <c r="AV508" s="27">
        <f t="shared" si="115"/>
        <v>0.63484544126508857</v>
      </c>
      <c r="AW508" s="27">
        <f t="shared" si="115"/>
        <v>0.64517661361237144</v>
      </c>
      <c r="AY508" s="79"/>
    </row>
    <row r="509" spans="1:51" x14ac:dyDescent="0.2">
      <c r="A509" s="95" t="str">
        <f t="shared" si="108"/>
        <v>PQ Poultry MMN2O</v>
      </c>
      <c r="B509" s="95" t="s">
        <v>968</v>
      </c>
      <c r="C509" s="95" t="s">
        <v>1234</v>
      </c>
      <c r="D509" t="s">
        <v>15</v>
      </c>
      <c r="E509" t="s">
        <v>657</v>
      </c>
      <c r="F509" t="s">
        <v>28</v>
      </c>
      <c r="G509" t="s">
        <v>132</v>
      </c>
      <c r="H509" t="s">
        <v>1227</v>
      </c>
      <c r="I509" t="s">
        <v>139</v>
      </c>
      <c r="J509" t="s">
        <v>287</v>
      </c>
      <c r="K509" s="27">
        <f t="shared" si="110"/>
        <v>1.7017151675634961</v>
      </c>
      <c r="L509" s="27">
        <f t="shared" si="115"/>
        <v>1.7241237147327644</v>
      </c>
      <c r="M509" s="27">
        <f t="shared" si="115"/>
        <v>1.7601182693498112</v>
      </c>
      <c r="N509" s="27">
        <f t="shared" si="115"/>
        <v>1.7704533576020511</v>
      </c>
      <c r="O509" s="27">
        <f t="shared" si="115"/>
        <v>1.7641159598844758</v>
      </c>
      <c r="P509" s="27">
        <f t="shared" si="115"/>
        <v>1.7411735022142167</v>
      </c>
      <c r="Q509" s="27">
        <f t="shared" si="115"/>
        <v>1.7315152516158574</v>
      </c>
      <c r="R509" s="27">
        <f t="shared" si="115"/>
        <v>1.7240481490859678</v>
      </c>
      <c r="S509" s="27">
        <f t="shared" si="115"/>
        <v>1.4738757031674365</v>
      </c>
      <c r="T509" s="27">
        <f t="shared" si="115"/>
        <v>1.5388372787954712</v>
      </c>
      <c r="U509" s="27">
        <f t="shared" si="115"/>
        <v>1.5836036619864218</v>
      </c>
      <c r="V509" s="27">
        <f t="shared" si="115"/>
        <v>1.6233328828738469</v>
      </c>
      <c r="W509" s="27">
        <f t="shared" si="115"/>
        <v>1.6722487915194271</v>
      </c>
      <c r="X509" s="27">
        <f t="shared" si="115"/>
        <v>1.7166486312949987</v>
      </c>
      <c r="Y509" s="27">
        <f t="shared" si="115"/>
        <v>1.7558377432347874</v>
      </c>
      <c r="Z509" s="27">
        <f t="shared" si="115"/>
        <v>1.7922488857917309</v>
      </c>
      <c r="AA509" s="27">
        <f t="shared" si="115"/>
        <v>1.8246587141077992</v>
      </c>
      <c r="AB509" s="27">
        <f t="shared" si="115"/>
        <v>1.8721447091119181</v>
      </c>
      <c r="AC509" s="27">
        <f t="shared" si="115"/>
        <v>1.9182061569635991</v>
      </c>
      <c r="AD509" s="27">
        <f t="shared" si="115"/>
        <v>1.9720971341440943</v>
      </c>
      <c r="AE509" s="27">
        <f t="shared" si="115"/>
        <v>2.0407669485031263</v>
      </c>
      <c r="AF509" s="27">
        <f t="shared" si="115"/>
        <v>2.1165368943229095</v>
      </c>
      <c r="AG509" s="27">
        <f t="shared" si="115"/>
        <v>2.2082604288024275</v>
      </c>
      <c r="AH509" s="27">
        <f t="shared" si="115"/>
        <v>2.275680198252084</v>
      </c>
      <c r="AI509" s="27">
        <f t="shared" si="115"/>
        <v>2.3413904736766207</v>
      </c>
      <c r="AJ509" s="27">
        <f t="shared" si="115"/>
        <v>2.415218944506448</v>
      </c>
      <c r="AK509" s="27">
        <f t="shared" si="115"/>
        <v>2.4857625444009255</v>
      </c>
      <c r="AL509" s="27">
        <f t="shared" si="115"/>
        <v>2.5608054567251783</v>
      </c>
      <c r="AM509" s="27">
        <f t="shared" si="115"/>
        <v>2.6363672729917886</v>
      </c>
      <c r="AN509" s="27">
        <f t="shared" si="115"/>
        <v>2.7260471010137848</v>
      </c>
      <c r="AO509" s="27">
        <f t="shared" si="115"/>
        <v>2.8113754255419443</v>
      </c>
      <c r="AP509" s="27">
        <f t="shared" si="115"/>
        <v>2.8983044964731111</v>
      </c>
      <c r="AQ509" s="27">
        <f t="shared" si="115"/>
        <v>2.9883855152257053</v>
      </c>
      <c r="AR509" s="27">
        <f t="shared" si="115"/>
        <v>3.0822159477018669</v>
      </c>
      <c r="AS509" s="27">
        <f t="shared" si="115"/>
        <v>3.1927841339465477</v>
      </c>
      <c r="AT509" s="27">
        <f t="shared" si="115"/>
        <v>3.2639921874822613</v>
      </c>
      <c r="AU509" s="27">
        <f t="shared" si="115"/>
        <v>3.3326892535191242</v>
      </c>
      <c r="AV509" s="27">
        <f t="shared" si="115"/>
        <v>3.4031153641230509</v>
      </c>
      <c r="AW509" s="27">
        <f t="shared" si="115"/>
        <v>3.4734928434212469</v>
      </c>
      <c r="AY509" s="79"/>
    </row>
    <row r="510" spans="1:51" x14ac:dyDescent="0.2">
      <c r="A510" s="95" t="str">
        <f t="shared" si="108"/>
        <v>PQ Poultry MMN2O</v>
      </c>
      <c r="B510" s="95" t="s">
        <v>968</v>
      </c>
      <c r="C510" s="95" t="s">
        <v>1234</v>
      </c>
      <c r="D510" t="s">
        <v>15</v>
      </c>
      <c r="E510" t="s">
        <v>657</v>
      </c>
      <c r="F510" t="s">
        <v>28</v>
      </c>
      <c r="G510" t="s">
        <v>134</v>
      </c>
      <c r="H510" t="s">
        <v>1227</v>
      </c>
      <c r="I510" t="s">
        <v>139</v>
      </c>
      <c r="J510" t="s">
        <v>287</v>
      </c>
      <c r="K510" s="27">
        <f t="shared" si="110"/>
        <v>1.3660093635870424E-2</v>
      </c>
      <c r="L510" s="27">
        <f t="shared" si="115"/>
        <v>1.3937830420255738E-2</v>
      </c>
      <c r="M510" s="27">
        <f t="shared" si="115"/>
        <v>1.4262478398481276E-2</v>
      </c>
      <c r="N510" s="27">
        <f t="shared" si="115"/>
        <v>1.4511718638084306E-2</v>
      </c>
      <c r="O510" s="27">
        <f t="shared" si="115"/>
        <v>1.4711795979713135E-2</v>
      </c>
      <c r="P510" s="27">
        <f t="shared" si="115"/>
        <v>1.4861520550190493E-2</v>
      </c>
      <c r="Q510" s="27">
        <f t="shared" si="115"/>
        <v>1.5053508778373347E-2</v>
      </c>
      <c r="R510" s="27">
        <f t="shared" si="115"/>
        <v>1.5253123389732504E-2</v>
      </c>
      <c r="S510" s="27">
        <f t="shared" si="115"/>
        <v>1.4642993018057613E-2</v>
      </c>
      <c r="T510" s="27">
        <f t="shared" si="115"/>
        <v>1.5031368863560678E-2</v>
      </c>
      <c r="U510" s="27">
        <f t="shared" si="115"/>
        <v>1.5355429874430639E-2</v>
      </c>
      <c r="V510" s="27">
        <f t="shared" si="115"/>
        <v>1.5665318181989931E-2</v>
      </c>
      <c r="W510" s="27">
        <f t="shared" si="115"/>
        <v>1.6009846282212959E-2</v>
      </c>
      <c r="X510" s="27">
        <f t="shared" si="115"/>
        <v>1.6341971083732341E-2</v>
      </c>
      <c r="Y510" s="27">
        <f t="shared" si="115"/>
        <v>1.6640178557340561E-2</v>
      </c>
      <c r="Z510" s="27">
        <f t="shared" si="115"/>
        <v>1.693093443271531E-2</v>
      </c>
      <c r="AA510" s="27">
        <f t="shared" si="115"/>
        <v>1.7209632642022729E-2</v>
      </c>
      <c r="AB510" s="27">
        <f t="shared" si="115"/>
        <v>1.7544744873174416E-2</v>
      </c>
      <c r="AC510" s="27">
        <f t="shared" si="115"/>
        <v>1.7877559568153477E-2</v>
      </c>
      <c r="AD510" s="27">
        <f t="shared" si="115"/>
        <v>1.8226394766048638E-2</v>
      </c>
      <c r="AE510" s="27">
        <f t="shared" si="115"/>
        <v>1.8632620878635837E-2</v>
      </c>
      <c r="AF510" s="27">
        <f t="shared" si="115"/>
        <v>1.906886670622222E-2</v>
      </c>
      <c r="AG510" s="27">
        <f t="shared" si="115"/>
        <v>1.9568731147726923E-2</v>
      </c>
      <c r="AH510" s="27">
        <f t="shared" si="115"/>
        <v>1.9981921177667211E-2</v>
      </c>
      <c r="AI510" s="27">
        <f t="shared" si="115"/>
        <v>2.0377261433111755E-2</v>
      </c>
      <c r="AJ510" s="27">
        <f t="shared" si="115"/>
        <v>2.0806710056082745E-2</v>
      </c>
      <c r="AK510" s="27">
        <f t="shared" si="115"/>
        <v>2.1227093440013181E-2</v>
      </c>
      <c r="AL510" s="27">
        <f t="shared" si="115"/>
        <v>2.1668192074400485E-2</v>
      </c>
      <c r="AM510" s="27">
        <f t="shared" si="115"/>
        <v>2.2114843372651131E-2</v>
      </c>
      <c r="AN510" s="27">
        <f t="shared" si="115"/>
        <v>2.2606056381191265E-2</v>
      </c>
      <c r="AO510" s="27">
        <f t="shared" si="115"/>
        <v>2.3084139832164171E-2</v>
      </c>
      <c r="AP510" s="27">
        <f t="shared" si="115"/>
        <v>2.3572286519730874E-2</v>
      </c>
      <c r="AQ510" s="27">
        <f t="shared" si="115"/>
        <v>2.4076740480859553E-2</v>
      </c>
      <c r="AR510" s="27">
        <f t="shared" si="115"/>
        <v>2.4600071413532563E-2</v>
      </c>
      <c r="AS510" s="27">
        <f t="shared" si="115"/>
        <v>2.5180191092644345E-2</v>
      </c>
      <c r="AT510" s="27">
        <f t="shared" si="115"/>
        <v>2.5605778159078961E-2</v>
      </c>
      <c r="AU510" s="27">
        <f t="shared" si="115"/>
        <v>2.6023964865461973E-2</v>
      </c>
      <c r="AV510" s="27">
        <f t="shared" si="115"/>
        <v>2.6451893386045391E-2</v>
      </c>
      <c r="AW510" s="27">
        <f t="shared" si="115"/>
        <v>2.6882358900515501E-2</v>
      </c>
      <c r="AY510" s="79"/>
    </row>
    <row r="511" spans="1:51" x14ac:dyDescent="0.2">
      <c r="A511" s="95" t="str">
        <f t="shared" si="108"/>
        <v>PQ Poultry MMN2O</v>
      </c>
      <c r="B511" s="95" t="s">
        <v>968</v>
      </c>
      <c r="C511" s="95" t="s">
        <v>1234</v>
      </c>
      <c r="D511" t="s">
        <v>15</v>
      </c>
      <c r="E511" t="s">
        <v>657</v>
      </c>
      <c r="F511" t="s">
        <v>28</v>
      </c>
      <c r="G511" t="s">
        <v>133</v>
      </c>
      <c r="H511" t="s">
        <v>1227</v>
      </c>
      <c r="I511" t="s">
        <v>139</v>
      </c>
      <c r="J511" t="s">
        <v>287</v>
      </c>
      <c r="K511" s="27">
        <f t="shared" si="110"/>
        <v>7.0904798648479067E-2</v>
      </c>
      <c r="L511" s="27">
        <f t="shared" si="115"/>
        <v>7.1838488113865256E-2</v>
      </c>
      <c r="M511" s="27">
        <f t="shared" si="115"/>
        <v>7.333826122290886E-2</v>
      </c>
      <c r="N511" s="27">
        <f t="shared" si="115"/>
        <v>7.3768889900085552E-2</v>
      </c>
      <c r="O511" s="27">
        <f t="shared" si="115"/>
        <v>7.3504831661853232E-2</v>
      </c>
      <c r="P511" s="27">
        <f t="shared" si="115"/>
        <v>7.2548895925592424E-2</v>
      </c>
      <c r="Q511" s="27">
        <f t="shared" si="115"/>
        <v>7.2146468817327461E-2</v>
      </c>
      <c r="R511" s="27">
        <f t="shared" si="115"/>
        <v>7.1835339545248733E-2</v>
      </c>
      <c r="S511" s="27">
        <f t="shared" si="115"/>
        <v>6.1411487631976583E-2</v>
      </c>
      <c r="T511" s="27">
        <f t="shared" si="115"/>
        <v>6.4118219949811373E-2</v>
      </c>
      <c r="U511" s="27">
        <f t="shared" si="115"/>
        <v>6.5983485916100967E-2</v>
      </c>
      <c r="V511" s="27">
        <f t="shared" si="115"/>
        <v>6.7638870119743691E-2</v>
      </c>
      <c r="W511" s="27">
        <f t="shared" si="115"/>
        <v>6.9677032979976197E-2</v>
      </c>
      <c r="X511" s="27">
        <f t="shared" si="115"/>
        <v>7.1527026303958338E-2</v>
      </c>
      <c r="Y511" s="27">
        <f t="shared" si="115"/>
        <v>7.3159905968116196E-2</v>
      </c>
      <c r="Z511" s="27">
        <f t="shared" si="115"/>
        <v>7.4677036907988839E-2</v>
      </c>
      <c r="AA511" s="27">
        <f t="shared" si="115"/>
        <v>7.6027446421158371E-2</v>
      </c>
      <c r="AB511" s="27">
        <f t="shared" si="115"/>
        <v>7.8006029546329986E-2</v>
      </c>
      <c r="AC511" s="27">
        <f t="shared" si="115"/>
        <v>7.9925256540150022E-2</v>
      </c>
      <c r="AD511" s="27">
        <f t="shared" si="115"/>
        <v>8.2170713922670655E-2</v>
      </c>
      <c r="AE511" s="27">
        <f t="shared" si="115"/>
        <v>8.5031956187630361E-2</v>
      </c>
      <c r="AF511" s="27">
        <f t="shared" si="115"/>
        <v>8.8189037263454617E-2</v>
      </c>
      <c r="AG511" s="27">
        <f t="shared" si="115"/>
        <v>9.2010851200101232E-2</v>
      </c>
      <c r="AH511" s="27">
        <f t="shared" si="115"/>
        <v>9.4820008260503588E-2</v>
      </c>
      <c r="AI511" s="27">
        <f t="shared" si="115"/>
        <v>9.755793640319263E-2</v>
      </c>
      <c r="AJ511" s="27">
        <f t="shared" si="115"/>
        <v>0.10063412268776877</v>
      </c>
      <c r="AK511" s="27">
        <f t="shared" si="115"/>
        <v>0.10357343935003867</v>
      </c>
      <c r="AL511" s="27">
        <f t="shared" si="115"/>
        <v>0.10670022736354919</v>
      </c>
      <c r="AM511" s="27">
        <f t="shared" si="115"/>
        <v>0.10984863637465794</v>
      </c>
      <c r="AN511" s="27">
        <f t="shared" si="115"/>
        <v>0.11358529587557446</v>
      </c>
      <c r="AO511" s="27">
        <f t="shared" si="115"/>
        <v>0.11714064273091444</v>
      </c>
      <c r="AP511" s="27">
        <f t="shared" si="115"/>
        <v>0.12076268735304639</v>
      </c>
      <c r="AQ511" s="27">
        <f t="shared" si="115"/>
        <v>0.12451606313440448</v>
      </c>
      <c r="AR511" s="27">
        <f t="shared" si="115"/>
        <v>0.12842566448757792</v>
      </c>
      <c r="AS511" s="27">
        <f t="shared" si="115"/>
        <v>0.1330326722477729</v>
      </c>
      <c r="AT511" s="27">
        <f t="shared" si="115"/>
        <v>0.1359996744784277</v>
      </c>
      <c r="AU511" s="27">
        <f t="shared" si="115"/>
        <v>0.13886205222996365</v>
      </c>
      <c r="AV511" s="27">
        <f t="shared" si="115"/>
        <v>0.14179647350512722</v>
      </c>
      <c r="AW511" s="27">
        <f t="shared" si="115"/>
        <v>0.14472886847588542</v>
      </c>
      <c r="AY511" s="79"/>
    </row>
    <row r="512" spans="1:51" x14ac:dyDescent="0.2">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6.60388696259374</v>
      </c>
      <c r="U512" s="22">
        <f t="shared" si="116"/>
        <v>6.6020342469478921</v>
      </c>
      <c r="V512" s="22">
        <f t="shared" si="116"/>
        <v>6.6005840725031204</v>
      </c>
      <c r="W512" s="22">
        <f t="shared" si="116"/>
        <v>6.5992416571177221</v>
      </c>
      <c r="X512" s="22">
        <f t="shared" si="116"/>
        <v>6.5977411232427086</v>
      </c>
      <c r="Y512" s="22">
        <f t="shared" si="116"/>
        <v>6.5963380636148372</v>
      </c>
      <c r="Z512" s="22">
        <f t="shared" si="116"/>
        <v>6.5950885900535399</v>
      </c>
      <c r="AA512" s="22">
        <f t="shared" si="116"/>
        <v>6.593899664910774</v>
      </c>
      <c r="AB512" s="22">
        <f t="shared" si="116"/>
        <v>6.5927919026350441</v>
      </c>
      <c r="AC512" s="22">
        <f t="shared" si="116"/>
        <v>6.5914248070564794</v>
      </c>
      <c r="AD512" s="22">
        <f t="shared" si="116"/>
        <v>6.5900953819081538</v>
      </c>
      <c r="AE512" s="22">
        <f t="shared" si="116"/>
        <v>6.5886770470789005</v>
      </c>
      <c r="AF512" s="22">
        <f t="shared" si="116"/>
        <v>6.5870194021035937</v>
      </c>
      <c r="AG512" s="22">
        <f t="shared" si="116"/>
        <v>6.5852622329414547</v>
      </c>
      <c r="AH512" s="22">
        <f t="shared" si="116"/>
        <v>6.5832642389355076</v>
      </c>
      <c r="AI512" s="22">
        <f t="shared" si="116"/>
        <v>6.5816933184770097</v>
      </c>
      <c r="AJ512" s="22">
        <f t="shared" si="116"/>
        <v>6.5801985919199808</v>
      </c>
      <c r="AK512" s="22">
        <f t="shared" si="116"/>
        <v>6.5785915117586082</v>
      </c>
      <c r="AL512" s="22">
        <f t="shared" si="116"/>
        <v>6.5770555695996213</v>
      </c>
      <c r="AM512" s="22">
        <f t="shared" si="116"/>
        <v>6.5754680730045454</v>
      </c>
      <c r="AN512" s="22">
        <f t="shared" si="116"/>
        <v>6.5738921443316158</v>
      </c>
      <c r="AO512" s="22">
        <f t="shared" si="116"/>
        <v>6.5721499435540869</v>
      </c>
      <c r="AP512" s="22">
        <f t="shared" si="116"/>
        <v>6.5704963238558332</v>
      </c>
      <c r="AQ512" s="22">
        <f t="shared" si="116"/>
        <v>6.5688413494168394</v>
      </c>
      <c r="AR512" s="22">
        <f t="shared" si="116"/>
        <v>6.5671634182939496</v>
      </c>
      <c r="AS512" s="22">
        <f t="shared" si="116"/>
        <v>6.5654557216665381</v>
      </c>
      <c r="AT512" s="22">
        <f t="shared" si="116"/>
        <v>6.5635649622881891</v>
      </c>
      <c r="AU512" s="22">
        <f t="shared" si="116"/>
        <v>6.5622389108641883</v>
      </c>
      <c r="AV512" s="22">
        <f t="shared" si="116"/>
        <v>6.560960344070546</v>
      </c>
      <c r="AW512" s="22">
        <f t="shared" si="116"/>
        <v>6.5596714127254918</v>
      </c>
      <c r="AY512" s="79"/>
    </row>
    <row r="513" spans="1:51" x14ac:dyDescent="0.2">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4.358565395311869E-2</v>
      </c>
      <c r="U513" s="22">
        <f t="shared" si="117"/>
        <v>4.3573426029856095E-2</v>
      </c>
      <c r="V513" s="22">
        <f t="shared" si="117"/>
        <v>4.3563854878520596E-2</v>
      </c>
      <c r="W513" s="22">
        <f t="shared" si="117"/>
        <v>4.3554994936976968E-2</v>
      </c>
      <c r="X513" s="22">
        <f t="shared" si="117"/>
        <v>4.354509141340189E-2</v>
      </c>
      <c r="Y513" s="22">
        <f t="shared" si="117"/>
        <v>4.3535831219857934E-2</v>
      </c>
      <c r="Z513" s="22">
        <f t="shared" si="117"/>
        <v>4.3527584694353361E-2</v>
      </c>
      <c r="AA513" s="22">
        <f t="shared" si="116"/>
        <v>4.3519737788411117E-2</v>
      </c>
      <c r="AB513" s="22">
        <f t="shared" si="116"/>
        <v>4.35124265573913E-2</v>
      </c>
      <c r="AC513" s="22">
        <f t="shared" si="116"/>
        <v>4.350340372657277E-2</v>
      </c>
      <c r="AD513" s="22">
        <f t="shared" si="116"/>
        <v>4.3494629520593811E-2</v>
      </c>
      <c r="AE513" s="22">
        <f t="shared" si="116"/>
        <v>4.3485268510720758E-2</v>
      </c>
      <c r="AF513" s="22">
        <f t="shared" si="116"/>
        <v>4.347432805388373E-2</v>
      </c>
      <c r="AG513" s="22">
        <f t="shared" si="116"/>
        <v>4.3462730737413614E-2</v>
      </c>
      <c r="AH513" s="22">
        <f t="shared" si="116"/>
        <v>4.3449543976974349E-2</v>
      </c>
      <c r="AI513" s="22">
        <f t="shared" si="116"/>
        <v>4.343917590194827E-2</v>
      </c>
      <c r="AJ513" s="22">
        <f t="shared" si="116"/>
        <v>4.3429310706671886E-2</v>
      </c>
      <c r="AK513" s="22">
        <f t="shared" si="116"/>
        <v>4.3418703977606825E-2</v>
      </c>
      <c r="AL513" s="22">
        <f t="shared" si="116"/>
        <v>4.340856675935751E-2</v>
      </c>
      <c r="AM513" s="22">
        <f t="shared" si="116"/>
        <v>4.3398089281830012E-2</v>
      </c>
      <c r="AN513" s="22">
        <f t="shared" si="116"/>
        <v>4.3387688152588685E-2</v>
      </c>
      <c r="AO513" s="22">
        <f t="shared" si="116"/>
        <v>4.3376189627456985E-2</v>
      </c>
      <c r="AP513" s="22">
        <f t="shared" si="116"/>
        <v>4.3365275737448507E-2</v>
      </c>
      <c r="AQ513" s="22">
        <f t="shared" si="116"/>
        <v>4.3354352906151139E-2</v>
      </c>
      <c r="AR513" s="22">
        <f t="shared" si="116"/>
        <v>4.3343278560740071E-2</v>
      </c>
      <c r="AS513" s="22">
        <f t="shared" si="116"/>
        <v>4.3332007762999163E-2</v>
      </c>
      <c r="AT513" s="22">
        <f t="shared" si="116"/>
        <v>4.3319528751102059E-2</v>
      </c>
      <c r="AU513" s="22">
        <f t="shared" si="116"/>
        <v>4.3310776811703651E-2</v>
      </c>
      <c r="AV513" s="22">
        <f t="shared" si="116"/>
        <v>4.3302338270865603E-2</v>
      </c>
      <c r="AW513" s="22">
        <f t="shared" si="116"/>
        <v>4.3293831323988244E-2</v>
      </c>
      <c r="AY513" s="79"/>
    </row>
    <row r="514" spans="1:51" x14ac:dyDescent="0.2">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2.968676648093143</v>
      </c>
      <c r="U514" s="22">
        <f t="shared" si="116"/>
        <v>2.9825082583829583</v>
      </c>
      <c r="V514" s="22">
        <f t="shared" si="116"/>
        <v>2.9933346622173946</v>
      </c>
      <c r="W514" s="22">
        <f t="shared" si="116"/>
        <v>3.0033565813928953</v>
      </c>
      <c r="X514" s="22">
        <f t="shared" si="116"/>
        <v>3.0145589479472883</v>
      </c>
      <c r="Y514" s="22">
        <f t="shared" si="116"/>
        <v>3.0250336120057435</v>
      </c>
      <c r="Z514" s="22">
        <f t="shared" si="116"/>
        <v>3.0343616658849326</v>
      </c>
      <c r="AA514" s="22">
        <f t="shared" si="116"/>
        <v>3.0432376902631781</v>
      </c>
      <c r="AB514" s="22">
        <f t="shared" si="116"/>
        <v>3.0515077861767024</v>
      </c>
      <c r="AC514" s="22">
        <f t="shared" si="116"/>
        <v>3.0617139574874526</v>
      </c>
      <c r="AD514" s="22">
        <f t="shared" si="116"/>
        <v>3.0716388969147959</v>
      </c>
      <c r="AE514" s="22">
        <f t="shared" si="116"/>
        <v>3.0822275993217993</v>
      </c>
      <c r="AF514" s="22">
        <f t="shared" si="116"/>
        <v>3.0946028925022198</v>
      </c>
      <c r="AG514" s="22">
        <f t="shared" si="116"/>
        <v>3.1077211921821801</v>
      </c>
      <c r="AH514" s="22">
        <f t="shared" si="116"/>
        <v>3.122637390743785</v>
      </c>
      <c r="AI514" s="22">
        <f t="shared" si="116"/>
        <v>3.1343652344778912</v>
      </c>
      <c r="AJ514" s="22">
        <f t="shared" si="116"/>
        <v>3.1455242459932262</v>
      </c>
      <c r="AK514" s="22">
        <f t="shared" si="116"/>
        <v>3.1575220431438074</v>
      </c>
      <c r="AL514" s="22">
        <f t="shared" si="116"/>
        <v>3.1689887533313184</v>
      </c>
      <c r="AM514" s="22">
        <f t="shared" si="116"/>
        <v>3.1808403476591942</v>
      </c>
      <c r="AN514" s="22">
        <f t="shared" si="116"/>
        <v>3.1926055806550666</v>
      </c>
      <c r="AO514" s="22">
        <f t="shared" si="116"/>
        <v>3.2056121325538434</v>
      </c>
      <c r="AP514" s="22">
        <f t="shared" si="116"/>
        <v>3.217957374677253</v>
      </c>
      <c r="AQ514" s="22">
        <f t="shared" si="116"/>
        <v>3.2303127307358399</v>
      </c>
      <c r="AR514" s="22">
        <f t="shared" si="116"/>
        <v>3.24283947192085</v>
      </c>
      <c r="AS514" s="22">
        <f t="shared" si="116"/>
        <v>3.2555884300766866</v>
      </c>
      <c r="AT514" s="22">
        <f t="shared" si="116"/>
        <v>3.2697040591705311</v>
      </c>
      <c r="AU514" s="22">
        <f t="shared" si="116"/>
        <v>3.2796038117645905</v>
      </c>
      <c r="AV514" s="22">
        <f t="shared" si="116"/>
        <v>3.2891490637080194</v>
      </c>
      <c r="AW514" s="22">
        <f t="shared" si="116"/>
        <v>3.2987716931142437</v>
      </c>
      <c r="AY514" s="79"/>
    </row>
    <row r="515" spans="1:51" x14ac:dyDescent="0.2">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0.32056321299147922</v>
      </c>
      <c r="M515" s="22">
        <f t="shared" si="116"/>
        <v>0.32309177745176459</v>
      </c>
      <c r="N515" s="22">
        <f t="shared" si="116"/>
        <v>0.32471664946511047</v>
      </c>
      <c r="O515" s="22">
        <f t="shared" si="116"/>
        <v>0.32579638434951891</v>
      </c>
      <c r="P515" s="22">
        <f t="shared" si="116"/>
        <v>0.32632035510276458</v>
      </c>
      <c r="Q515" s="22">
        <f t="shared" si="116"/>
        <v>0.32747800149861978</v>
      </c>
      <c r="R515" s="22">
        <f t="shared" si="116"/>
        <v>0.32880601635823298</v>
      </c>
      <c r="S515" s="22">
        <f t="shared" si="116"/>
        <v>0.31980488008437191</v>
      </c>
      <c r="T515" s="22">
        <f t="shared" si="116"/>
        <v>0.32348013385904834</v>
      </c>
      <c r="U515" s="22">
        <f t="shared" si="116"/>
        <v>0.3263600829079687</v>
      </c>
      <c r="V515" s="22">
        <f t="shared" si="116"/>
        <v>0.32908851818149565</v>
      </c>
      <c r="W515" s="22">
        <f t="shared" si="116"/>
        <v>0.33227832556349268</v>
      </c>
      <c r="X515" s="22">
        <f t="shared" si="116"/>
        <v>0.33533311826905887</v>
      </c>
      <c r="Y515" s="22">
        <f t="shared" si="116"/>
        <v>0.33789515194056902</v>
      </c>
      <c r="Z515" s="22">
        <f t="shared" si="116"/>
        <v>0.34038602610303131</v>
      </c>
      <c r="AA515" s="22">
        <f t="shared" si="116"/>
        <v>0.34274865356811024</v>
      </c>
      <c r="AB515" s="22">
        <f t="shared" si="116"/>
        <v>0.34582201192682688</v>
      </c>
      <c r="AC515" s="22">
        <f t="shared" si="116"/>
        <v>0.34887956660233338</v>
      </c>
      <c r="AD515" s="22">
        <f t="shared" si="116"/>
        <v>0.35206948034993701</v>
      </c>
      <c r="AE515" s="22">
        <f t="shared" si="116"/>
        <v>0.3559611034908382</v>
      </c>
      <c r="AF515" s="22">
        <f t="shared" si="116"/>
        <v>0.36021553712523996</v>
      </c>
      <c r="AG515" s="22">
        <f t="shared" si="116"/>
        <v>0.36523063944756523</v>
      </c>
      <c r="AH515" s="22">
        <f t="shared" si="116"/>
        <v>0.36920261310751928</v>
      </c>
      <c r="AI515" s="22">
        <f t="shared" si="116"/>
        <v>0.3728925335928876</v>
      </c>
      <c r="AJ515" s="22">
        <f t="shared" si="116"/>
        <v>0.37698699496053195</v>
      </c>
      <c r="AK515" s="22">
        <f t="shared" si="116"/>
        <v>0.38097151646383681</v>
      </c>
      <c r="AL515" s="22">
        <f t="shared" si="116"/>
        <v>0.38519729456570295</v>
      </c>
      <c r="AM515" s="22">
        <f t="shared" si="116"/>
        <v>0.38948381880632194</v>
      </c>
      <c r="AN515" s="22">
        <f t="shared" si="116"/>
        <v>0.3942210595490877</v>
      </c>
      <c r="AO515" s="22">
        <f t="shared" si="116"/>
        <v>0.39879649772923048</v>
      </c>
      <c r="AP515" s="22">
        <f t="shared" si="116"/>
        <v>0.40348070497447158</v>
      </c>
      <c r="AQ515" s="22">
        <f t="shared" si="116"/>
        <v>0.40834470639522963</v>
      </c>
      <c r="AR515" s="22">
        <f t="shared" si="116"/>
        <v>0.41341630943614366</v>
      </c>
      <c r="AS515" s="22">
        <f t="shared" si="116"/>
        <v>0.41906350167167566</v>
      </c>
      <c r="AT515" s="22">
        <f t="shared" si="116"/>
        <v>0.42292582986675353</v>
      </c>
      <c r="AU515" s="22">
        <f t="shared" si="116"/>
        <v>0.42669932950648143</v>
      </c>
      <c r="AV515" s="22">
        <f t="shared" si="116"/>
        <v>0.43057975647849034</v>
      </c>
      <c r="AW515" s="22">
        <f t="shared" si="116"/>
        <v>0.43448428362104141</v>
      </c>
      <c r="AY515" s="79"/>
    </row>
    <row r="516" spans="1:51" x14ac:dyDescent="0.2">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0.93731746283627526</v>
      </c>
      <c r="M516" s="22">
        <f t="shared" si="116"/>
        <v>0.94471091139331731</v>
      </c>
      <c r="N516" s="22">
        <f t="shared" si="116"/>
        <v>0.94946198965576145</v>
      </c>
      <c r="O516" s="22">
        <f t="shared" si="116"/>
        <v>0.95261910289076102</v>
      </c>
      <c r="P516" s="22">
        <f t="shared" si="116"/>
        <v>0.95415117805450056</v>
      </c>
      <c r="Q516" s="22">
        <f t="shared" si="116"/>
        <v>0.95753610227115837</v>
      </c>
      <c r="R516" s="22">
        <f t="shared" si="116"/>
        <v>0.96141917889497119</v>
      </c>
      <c r="S516" s="22">
        <f t="shared" si="116"/>
        <v>0.93510011958643091</v>
      </c>
      <c r="T516" s="22">
        <f t="shared" si="116"/>
        <v>0.94584645417427005</v>
      </c>
      <c r="U516" s="22">
        <f t="shared" si="116"/>
        <v>0.95426734099543964</v>
      </c>
      <c r="V516" s="22">
        <f t="shared" si="116"/>
        <v>0.96224520596699892</v>
      </c>
      <c r="W516" s="22">
        <f t="shared" si="116"/>
        <v>0.97157210949510064</v>
      </c>
      <c r="X516" s="22">
        <f t="shared" si="116"/>
        <v>0.98050423405659315</v>
      </c>
      <c r="Y516" s="22">
        <f t="shared" si="116"/>
        <v>0.98799554560875424</v>
      </c>
      <c r="Z516" s="22">
        <f t="shared" si="116"/>
        <v>0.99527878883687138</v>
      </c>
      <c r="AA516" s="22">
        <f t="shared" si="116"/>
        <v>1.0021870424712456</v>
      </c>
      <c r="AB516" s="22">
        <f t="shared" si="116"/>
        <v>1.011173452459766</v>
      </c>
      <c r="AC516" s="22">
        <f t="shared" si="116"/>
        <v>1.0201136529406156</v>
      </c>
      <c r="AD516" s="22">
        <f t="shared" si="116"/>
        <v>1.0294408674786415</v>
      </c>
      <c r="AE516" s="22">
        <f t="shared" si="116"/>
        <v>1.0408198597675704</v>
      </c>
      <c r="AF516" s="22">
        <f t="shared" si="116"/>
        <v>1.0532596993324077</v>
      </c>
      <c r="AG516" s="22">
        <f t="shared" si="116"/>
        <v>1.0679237119019074</v>
      </c>
      <c r="AH516" s="22">
        <f t="shared" si="116"/>
        <v>1.0795376467594282</v>
      </c>
      <c r="AI516" s="22">
        <f t="shared" si="116"/>
        <v>1.0903268663805361</v>
      </c>
      <c r="AJ516" s="22">
        <f t="shared" si="116"/>
        <v>1.102298951714306</v>
      </c>
      <c r="AK516" s="22">
        <f t="shared" si="116"/>
        <v>1.1139495760989377</v>
      </c>
      <c r="AL516" s="22">
        <f t="shared" si="116"/>
        <v>1.1263056277244112</v>
      </c>
      <c r="AM516" s="22">
        <f t="shared" si="116"/>
        <v>1.1388392992836296</v>
      </c>
      <c r="AN516" s="22">
        <f t="shared" si="116"/>
        <v>1.152690852718028</v>
      </c>
      <c r="AO516" s="22">
        <f t="shared" si="116"/>
        <v>1.1660693001897589</v>
      </c>
      <c r="AP516" s="22">
        <f t="shared" si="116"/>
        <v>1.1797657852278758</v>
      </c>
      <c r="AQ516" s="22">
        <f t="shared" si="116"/>
        <v>1.1939879831787625</v>
      </c>
      <c r="AR516" s="22">
        <f t="shared" si="116"/>
        <v>1.2088172021975669</v>
      </c>
      <c r="AS516" s="22">
        <f t="shared" si="116"/>
        <v>1.225329427193572</v>
      </c>
      <c r="AT516" s="22">
        <f t="shared" si="116"/>
        <v>1.2366227619173775</v>
      </c>
      <c r="AU516" s="22">
        <f t="shared" si="116"/>
        <v>1.2476563645423218</v>
      </c>
      <c r="AV516" s="22">
        <f t="shared" si="116"/>
        <v>1.2590026195607404</v>
      </c>
      <c r="AW516" s="22">
        <f t="shared" si="116"/>
        <v>1.2704193427732338</v>
      </c>
      <c r="AY516" s="79"/>
    </row>
    <row r="517" spans="1:51" x14ac:dyDescent="0.2">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5.0141199304605817E-2</v>
      </c>
      <c r="M517" s="22">
        <f t="shared" si="116"/>
        <v>5.0536707115294892E-2</v>
      </c>
      <c r="N517" s="22">
        <f t="shared" si="116"/>
        <v>5.0790863013925151E-2</v>
      </c>
      <c r="O517" s="22">
        <f t="shared" si="116"/>
        <v>5.0959750770976343E-2</v>
      </c>
      <c r="P517" s="22">
        <f t="shared" si="116"/>
        <v>5.1041708153806091E-2</v>
      </c>
      <c r="Q517" s="22">
        <f t="shared" si="116"/>
        <v>5.122278251388987E-2</v>
      </c>
      <c r="R517" s="22">
        <f t="shared" si="116"/>
        <v>5.1430505218981168E-2</v>
      </c>
      <c r="S517" s="22">
        <f t="shared" si="116"/>
        <v>5.0022583942975041E-2</v>
      </c>
      <c r="T517" s="22">
        <f t="shared" si="116"/>
        <v>5.0597452251447961E-2</v>
      </c>
      <c r="U517" s="22">
        <f t="shared" si="116"/>
        <v>5.1047922216174907E-2</v>
      </c>
      <c r="V517" s="22">
        <f t="shared" si="116"/>
        <v>5.147469300987563E-2</v>
      </c>
      <c r="W517" s="22">
        <f t="shared" si="116"/>
        <v>5.1973629759952025E-2</v>
      </c>
      <c r="X517" s="22">
        <f t="shared" si="116"/>
        <v>5.2451448061230796E-2</v>
      </c>
      <c r="Y517" s="22">
        <f t="shared" si="116"/>
        <v>5.285219099036944E-2</v>
      </c>
      <c r="Z517" s="22">
        <f t="shared" si="116"/>
        <v>5.3241803437341126E-2</v>
      </c>
      <c r="AA517" s="22">
        <f t="shared" si="116"/>
        <v>5.361135605538344E-2</v>
      </c>
      <c r="AB517" s="22">
        <f t="shared" si="116"/>
        <v>5.4092078320926051E-2</v>
      </c>
      <c r="AC517" s="22">
        <f t="shared" si="116"/>
        <v>5.457032863835528E-2</v>
      </c>
      <c r="AD517" s="22">
        <f t="shared" si="116"/>
        <v>5.5069282025709015E-2</v>
      </c>
      <c r="AE517" s="22">
        <f t="shared" si="116"/>
        <v>5.5677993954022266E-2</v>
      </c>
      <c r="AF517" s="22">
        <f t="shared" si="116"/>
        <v>5.634345523013079E-2</v>
      </c>
      <c r="AG517" s="22">
        <f t="shared" si="116"/>
        <v>5.7127897221244069E-2</v>
      </c>
      <c r="AH517" s="22">
        <f t="shared" si="116"/>
        <v>5.774917725228023E-2</v>
      </c>
      <c r="AI517" s="22">
        <f t="shared" si="116"/>
        <v>5.8326339668230698E-2</v>
      </c>
      <c r="AJ517" s="22">
        <f t="shared" si="116"/>
        <v>5.8966778730355766E-2</v>
      </c>
      <c r="AK517" s="22">
        <f t="shared" si="116"/>
        <v>5.9590021444222652E-2</v>
      </c>
      <c r="AL517" s="22">
        <f t="shared" si="116"/>
        <v>6.025100053800389E-2</v>
      </c>
      <c r="AM517" s="22">
        <f t="shared" si="116"/>
        <v>6.0921481296750873E-2</v>
      </c>
      <c r="AN517" s="22">
        <f t="shared" si="116"/>
        <v>6.1662461305093973E-2</v>
      </c>
      <c r="AO517" s="22">
        <f t="shared" si="116"/>
        <v>6.2378132811988125E-2</v>
      </c>
      <c r="AP517" s="22">
        <f t="shared" si="116"/>
        <v>6.3110817535465588E-2</v>
      </c>
      <c r="AQ517" s="22">
        <f t="shared" si="116"/>
        <v>6.3871624935604179E-2</v>
      </c>
      <c r="AR517" s="22">
        <f t="shared" si="116"/>
        <v>6.4664904540257612E-2</v>
      </c>
      <c r="AS517" s="22">
        <f t="shared" si="116"/>
        <v>6.5548215475254884E-2</v>
      </c>
      <c r="AT517" s="22">
        <f t="shared" si="116"/>
        <v>6.6152345206804408E-2</v>
      </c>
      <c r="AU517" s="22">
        <f t="shared" si="116"/>
        <v>6.6742580735534546E-2</v>
      </c>
      <c r="AV517" s="22">
        <f t="shared" si="116"/>
        <v>6.7349541404460839E-2</v>
      </c>
      <c r="AW517" s="22">
        <f t="shared" si="116"/>
        <v>6.7960271724443314E-2</v>
      </c>
      <c r="AY517" s="79"/>
    </row>
    <row r="518" spans="1:51" x14ac:dyDescent="0.2">
      <c r="A518" s="95" t="str">
        <f t="shared" si="108"/>
        <v>PQ Organic</v>
      </c>
      <c r="B518" s="95" t="s">
        <v>968</v>
      </c>
      <c r="C518" s="95" t="s">
        <v>1127</v>
      </c>
      <c r="D518" t="s">
        <v>369</v>
      </c>
      <c r="E518" t="s">
        <v>55</v>
      </c>
      <c r="F518" t="s">
        <v>421</v>
      </c>
      <c r="G518" t="s">
        <v>1158</v>
      </c>
      <c r="H518" t="s">
        <v>1159</v>
      </c>
      <c r="I518" t="s">
        <v>139</v>
      </c>
      <c r="J518" t="s">
        <v>287</v>
      </c>
      <c r="K518" s="22">
        <f t="shared" si="117"/>
        <v>0.3999997899835232</v>
      </c>
      <c r="L518" s="22">
        <f t="shared" si="116"/>
        <v>0.39653071954810204</v>
      </c>
      <c r="M518" s="22">
        <f t="shared" si="116"/>
        <v>0.39521014945095023</v>
      </c>
      <c r="N518" s="22">
        <f t="shared" si="116"/>
        <v>0.38993263522397309</v>
      </c>
      <c r="O518" s="22">
        <f t="shared" si="116"/>
        <v>0.38227219443770111</v>
      </c>
      <c r="P518" s="22">
        <f t="shared" si="116"/>
        <v>0.37238723301511378</v>
      </c>
      <c r="Q518" s="22">
        <f t="shared" si="116"/>
        <v>0.36459067483623875</v>
      </c>
      <c r="R518" s="22">
        <f t="shared" si="116"/>
        <v>0.3572142444544395</v>
      </c>
      <c r="S518" s="22">
        <f t="shared" si="116"/>
        <v>0.31703545795580812</v>
      </c>
      <c r="T518" s="22">
        <f t="shared" si="116"/>
        <v>0.32309971218055339</v>
      </c>
      <c r="U518" s="22">
        <f t="shared" si="116"/>
        <v>0.32634203711003062</v>
      </c>
      <c r="V518" s="22">
        <f t="shared" si="116"/>
        <v>0.32883794885575124</v>
      </c>
      <c r="W518" s="22">
        <f t="shared" si="116"/>
        <v>0.33244914541099557</v>
      </c>
      <c r="X518" s="22">
        <f t="shared" si="116"/>
        <v>0.33537982425623064</v>
      </c>
      <c r="Y518" s="22">
        <f t="shared" si="116"/>
        <v>0.33726910277056216</v>
      </c>
      <c r="Z518" s="22">
        <f t="shared" si="116"/>
        <v>0.33873976472971684</v>
      </c>
      <c r="AA518" s="22">
        <f t="shared" si="116"/>
        <v>0.3396512538265225</v>
      </c>
      <c r="AB518" s="22">
        <f t="shared" si="116"/>
        <v>0.34234961980351264</v>
      </c>
      <c r="AC518" s="22">
        <f t="shared" si="116"/>
        <v>0.34477749763229165</v>
      </c>
      <c r="AD518" s="22">
        <f t="shared" si="116"/>
        <v>0.34490271847402698</v>
      </c>
      <c r="AE518" s="22">
        <f t="shared" si="116"/>
        <v>0.34652917307942177</v>
      </c>
      <c r="AF518" s="22">
        <f t="shared" si="116"/>
        <v>0.34867994569293842</v>
      </c>
      <c r="AG518" s="22">
        <f t="shared" si="116"/>
        <v>0.35229087700726325</v>
      </c>
      <c r="AH518" s="22">
        <f t="shared" si="116"/>
        <v>0.35286760038592668</v>
      </c>
      <c r="AI518" s="22">
        <f t="shared" si="116"/>
        <v>0.35280706113320703</v>
      </c>
      <c r="AJ518" s="22">
        <f t="shared" si="116"/>
        <v>0.35333685278149574</v>
      </c>
      <c r="AK518" s="22">
        <f t="shared" si="116"/>
        <v>0.35323906806904226</v>
      </c>
      <c r="AL518" s="22">
        <f t="shared" si="116"/>
        <v>0.35331388529093138</v>
      </c>
      <c r="AM518" s="22">
        <f t="shared" si="116"/>
        <v>0.35314408948749232</v>
      </c>
      <c r="AN518" s="22">
        <f t="shared" si="116"/>
        <v>0.35567872633842856</v>
      </c>
      <c r="AO518" s="22">
        <f t="shared" si="116"/>
        <v>0.35753295708802146</v>
      </c>
      <c r="AP518" s="22">
        <f t="shared" si="116"/>
        <v>0.35928020343080169</v>
      </c>
      <c r="AQ518" s="22">
        <f t="shared" si="116"/>
        <v>0.36105415112579775</v>
      </c>
      <c r="AR518" s="22">
        <f t="shared" si="116"/>
        <v>0.36289326988326759</v>
      </c>
      <c r="AS518" s="22">
        <f t="shared" si="116"/>
        <v>0.36577537997432297</v>
      </c>
      <c r="AT518" s="22">
        <f t="shared" si="116"/>
        <v>0.36496360671057504</v>
      </c>
      <c r="AU518" s="22">
        <f t="shared" si="116"/>
        <v>0.36374650903258482</v>
      </c>
      <c r="AV518" s="22">
        <f t="shared" si="116"/>
        <v>0.36248592595380585</v>
      </c>
      <c r="AW518" s="22">
        <f t="shared" si="116"/>
        <v>0.36103102436723483</v>
      </c>
      <c r="AY518" s="79"/>
    </row>
    <row r="519" spans="1:51" x14ac:dyDescent="0.2">
      <c r="A519" s="95" t="str">
        <f t="shared" si="108"/>
        <v>PQ Organic</v>
      </c>
      <c r="B519" s="95" t="s">
        <v>968</v>
      </c>
      <c r="C519" s="95" t="s">
        <v>1127</v>
      </c>
      <c r="D519" t="s">
        <v>369</v>
      </c>
      <c r="E519" t="s">
        <v>55</v>
      </c>
      <c r="F519" t="s">
        <v>421</v>
      </c>
      <c r="G519" t="s">
        <v>1160</v>
      </c>
      <c r="H519" t="s">
        <v>1161</v>
      </c>
      <c r="I519" t="s">
        <v>139</v>
      </c>
      <c r="J519" t="s">
        <v>287</v>
      </c>
      <c r="K519" s="22">
        <f t="shared" si="117"/>
        <v>2.6602988559851246</v>
      </c>
      <c r="L519" s="22">
        <f t="shared" si="116"/>
        <v>2.6372269335947092</v>
      </c>
      <c r="M519" s="22">
        <f t="shared" si="116"/>
        <v>2.6284441511866339</v>
      </c>
      <c r="N519" s="22">
        <f t="shared" si="116"/>
        <v>2.5933447201068058</v>
      </c>
      <c r="O519" s="22">
        <f t="shared" si="116"/>
        <v>2.5423970387070205</v>
      </c>
      <c r="P519" s="22">
        <f t="shared" ref="L519:AW525" si="118">P1470</f>
        <v>2.4766546252796311</v>
      </c>
      <c r="Q519" s="22">
        <f t="shared" si="118"/>
        <v>2.4248016610449818</v>
      </c>
      <c r="R519" s="22">
        <f t="shared" si="118"/>
        <v>2.3757428620222045</v>
      </c>
      <c r="S519" s="22">
        <f t="shared" si="118"/>
        <v>2.1085237723282266</v>
      </c>
      <c r="T519" s="22">
        <f t="shared" si="118"/>
        <v>2.1488556149453371</v>
      </c>
      <c r="U519" s="22">
        <f t="shared" si="118"/>
        <v>2.1704195095188212</v>
      </c>
      <c r="V519" s="22">
        <f t="shared" si="118"/>
        <v>2.1870191961387908</v>
      </c>
      <c r="W519" s="22">
        <f t="shared" si="118"/>
        <v>2.211036363910428</v>
      </c>
      <c r="X519" s="22">
        <f t="shared" si="118"/>
        <v>2.2305275780922154</v>
      </c>
      <c r="Y519" s="22">
        <f t="shared" si="118"/>
        <v>2.2430926983652055</v>
      </c>
      <c r="Z519" s="22">
        <f t="shared" si="118"/>
        <v>2.252873704319335</v>
      </c>
      <c r="AA519" s="22">
        <f t="shared" si="118"/>
        <v>2.2589357910058689</v>
      </c>
      <c r="AB519" s="22">
        <f t="shared" si="118"/>
        <v>2.2768819502323812</v>
      </c>
      <c r="AC519" s="22">
        <f t="shared" si="118"/>
        <v>2.2930291602362631</v>
      </c>
      <c r="AD519" s="22">
        <f t="shared" si="118"/>
        <v>2.2938619728285596</v>
      </c>
      <c r="AE519" s="22">
        <f t="shared" si="118"/>
        <v>2.3046791168231131</v>
      </c>
      <c r="AF519" s="22">
        <f t="shared" si="118"/>
        <v>2.3189833691414923</v>
      </c>
      <c r="AG519" s="22">
        <f t="shared" si="118"/>
        <v>2.3429987728619159</v>
      </c>
      <c r="AH519" s="22">
        <f t="shared" si="118"/>
        <v>2.346834416236983</v>
      </c>
      <c r="AI519" s="22">
        <f t="shared" si="118"/>
        <v>2.3464317847637033</v>
      </c>
      <c r="AJ519" s="22">
        <f t="shared" si="118"/>
        <v>2.3499552969033255</v>
      </c>
      <c r="AK519" s="22">
        <f t="shared" si="118"/>
        <v>2.3493049551651861</v>
      </c>
      <c r="AL519" s="22">
        <f t="shared" si="118"/>
        <v>2.3498025458509408</v>
      </c>
      <c r="AM519" s="22">
        <f t="shared" si="118"/>
        <v>2.3486732763039284</v>
      </c>
      <c r="AN519" s="22">
        <f t="shared" si="118"/>
        <v>2.3655305139418807</v>
      </c>
      <c r="AO519" s="22">
        <f t="shared" si="118"/>
        <v>2.3778625402713889</v>
      </c>
      <c r="AP519" s="22">
        <f t="shared" si="118"/>
        <v>2.3894830399896865</v>
      </c>
      <c r="AQ519" s="22">
        <f t="shared" si="118"/>
        <v>2.4012811237431047</v>
      </c>
      <c r="AR519" s="22">
        <f t="shared" si="118"/>
        <v>2.413512643981452</v>
      </c>
      <c r="AS519" s="22">
        <f t="shared" si="118"/>
        <v>2.4326808394906876</v>
      </c>
      <c r="AT519" s="22">
        <f t="shared" si="118"/>
        <v>2.4272819379438721</v>
      </c>
      <c r="AU519" s="22">
        <f t="shared" si="118"/>
        <v>2.4191873247929188</v>
      </c>
      <c r="AV519" s="22">
        <f t="shared" si="118"/>
        <v>2.4108035010851898</v>
      </c>
      <c r="AW519" s="22">
        <f t="shared" si="118"/>
        <v>2.4011273134389794</v>
      </c>
      <c r="AY519" s="79"/>
    </row>
    <row r="520" spans="1:51" x14ac:dyDescent="0.2">
      <c r="A520" s="95" t="str">
        <f t="shared" si="108"/>
        <v>PQ Organic</v>
      </c>
      <c r="B520" s="95" t="s">
        <v>968</v>
      </c>
      <c r="C520" s="95" t="s">
        <v>1127</v>
      </c>
      <c r="D520" t="s">
        <v>369</v>
      </c>
      <c r="E520" t="s">
        <v>55</v>
      </c>
      <c r="F520" t="s">
        <v>421</v>
      </c>
      <c r="G520" t="s">
        <v>1162</v>
      </c>
      <c r="H520" t="s">
        <v>1163</v>
      </c>
      <c r="I520" t="s">
        <v>139</v>
      </c>
      <c r="J520" t="s">
        <v>287</v>
      </c>
      <c r="K520" s="22">
        <f t="shared" si="117"/>
        <v>0.34358078636628736</v>
      </c>
      <c r="L520" s="22">
        <f t="shared" si="118"/>
        <v>0.35516571939691516</v>
      </c>
      <c r="M520" s="22">
        <f t="shared" si="118"/>
        <v>0.36891582276573964</v>
      </c>
      <c r="N520" s="22">
        <f t="shared" si="118"/>
        <v>0.37917034791782095</v>
      </c>
      <c r="O520" s="22">
        <f t="shared" si="118"/>
        <v>0.38707850955818868</v>
      </c>
      <c r="P520" s="22">
        <f t="shared" si="118"/>
        <v>0.39252728601928993</v>
      </c>
      <c r="Q520" s="22">
        <f t="shared" si="118"/>
        <v>0.39996713645364929</v>
      </c>
      <c r="R520" s="22">
        <f t="shared" si="118"/>
        <v>0.40776627193753145</v>
      </c>
      <c r="S520" s="22">
        <f t="shared" si="118"/>
        <v>0.37652794837094722</v>
      </c>
      <c r="T520" s="22">
        <f t="shared" si="118"/>
        <v>0.39297526852441034</v>
      </c>
      <c r="U520" s="22">
        <f t="shared" si="118"/>
        <v>0.40635032563114942</v>
      </c>
      <c r="V520" s="22">
        <f t="shared" si="118"/>
        <v>0.41906397887076929</v>
      </c>
      <c r="W520" s="22">
        <f t="shared" si="118"/>
        <v>0.4334881601814114</v>
      </c>
      <c r="X520" s="22">
        <f t="shared" si="118"/>
        <v>0.44733744019305588</v>
      </c>
      <c r="Y520" s="22">
        <f t="shared" si="118"/>
        <v>0.46006881076150558</v>
      </c>
      <c r="Z520" s="22">
        <f t="shared" si="118"/>
        <v>0.47246549989332448</v>
      </c>
      <c r="AA520" s="22">
        <f t="shared" si="118"/>
        <v>0.4842972828341911</v>
      </c>
      <c r="AB520" s="22">
        <f t="shared" si="118"/>
        <v>0.49893915197034427</v>
      </c>
      <c r="AC520" s="22">
        <f t="shared" si="118"/>
        <v>0.51350643977275245</v>
      </c>
      <c r="AD520" s="22">
        <f t="shared" si="118"/>
        <v>0.53072839151044782</v>
      </c>
      <c r="AE520" s="22">
        <f t="shared" si="118"/>
        <v>0.55094843194330412</v>
      </c>
      <c r="AF520" s="22">
        <f t="shared" si="118"/>
        <v>0.57283458620168215</v>
      </c>
      <c r="AG520" s="22">
        <f t="shared" si="118"/>
        <v>0.59810752351139296</v>
      </c>
      <c r="AH520" s="22">
        <f t="shared" si="118"/>
        <v>0.61918227343437504</v>
      </c>
      <c r="AI520" s="22">
        <f t="shared" si="118"/>
        <v>0.63993352160681027</v>
      </c>
      <c r="AJ520" s="22">
        <f t="shared" si="118"/>
        <v>0.66259501614961847</v>
      </c>
      <c r="AK520" s="22">
        <f t="shared" si="118"/>
        <v>0.68496632766069843</v>
      </c>
      <c r="AL520" s="22">
        <f t="shared" si="118"/>
        <v>0.70858354272657831</v>
      </c>
      <c r="AM520" s="22">
        <f t="shared" si="118"/>
        <v>0.73267251576118442</v>
      </c>
      <c r="AN520" s="22">
        <f t="shared" si="118"/>
        <v>0.75875206021259933</v>
      </c>
      <c r="AO520" s="22">
        <f t="shared" si="118"/>
        <v>0.78430196742523084</v>
      </c>
      <c r="AP520" s="22">
        <f t="shared" si="118"/>
        <v>0.81053600981631879</v>
      </c>
      <c r="AQ520" s="22">
        <f t="shared" si="118"/>
        <v>0.83778993006127533</v>
      </c>
      <c r="AR520" s="22">
        <f t="shared" si="118"/>
        <v>0.86620935276117805</v>
      </c>
      <c r="AS520" s="22">
        <f t="shared" si="118"/>
        <v>0.89826083748814867</v>
      </c>
      <c r="AT520" s="22">
        <f t="shared" si="118"/>
        <v>0.9222529178926514</v>
      </c>
      <c r="AU520" s="22">
        <f t="shared" si="118"/>
        <v>0.94598858331962243</v>
      </c>
      <c r="AV520" s="22">
        <f t="shared" si="118"/>
        <v>0.9703863283837505</v>
      </c>
      <c r="AW520" s="22">
        <f t="shared" si="118"/>
        <v>0.99506234412260963</v>
      </c>
      <c r="AY520" s="79"/>
    </row>
    <row r="521" spans="1:51" x14ac:dyDescent="0.2">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5.9536061137450337E-2</v>
      </c>
      <c r="T521" s="22">
        <f t="shared" si="118"/>
        <v>5.9626729725854671E-2</v>
      </c>
      <c r="U521" s="22">
        <f t="shared" si="118"/>
        <v>5.9729206929355502E-2</v>
      </c>
      <c r="V521" s="22">
        <f t="shared" si="118"/>
        <v>5.9844810274995809E-2</v>
      </c>
      <c r="W521" s="22">
        <f t="shared" si="118"/>
        <v>5.9974855541164628E-2</v>
      </c>
      <c r="X521" s="22">
        <f t="shared" si="118"/>
        <v>6.0116631008549089E-2</v>
      </c>
      <c r="Y521" s="22">
        <f t="shared" si="118"/>
        <v>6.0202857685321479E-2</v>
      </c>
      <c r="Z521" s="22">
        <f t="shared" si="118"/>
        <v>6.0299167924469661E-2</v>
      </c>
      <c r="AA521" s="22">
        <f t="shared" si="118"/>
        <v>6.0404855231945616E-2</v>
      </c>
      <c r="AB521" s="22">
        <f t="shared" si="118"/>
        <v>6.052231244286084E-2</v>
      </c>
      <c r="AC521" s="22">
        <f t="shared" si="118"/>
        <v>6.064865362872638E-2</v>
      </c>
      <c r="AD521" s="22">
        <f t="shared" si="118"/>
        <v>6.0731208862415634E-2</v>
      </c>
      <c r="AE521" s="22">
        <f t="shared" si="118"/>
        <v>6.0823877481192126E-2</v>
      </c>
      <c r="AF521" s="22">
        <f t="shared" si="118"/>
        <v>6.0925179087084252E-2</v>
      </c>
      <c r="AG521" s="22">
        <f t="shared" si="118"/>
        <v>6.1036165719670403E-2</v>
      </c>
      <c r="AH521" s="22">
        <f t="shared" si="118"/>
        <v>6.1150437256879263E-2</v>
      </c>
      <c r="AI521" s="22">
        <f t="shared" si="118"/>
        <v>6.1220471443741167E-2</v>
      </c>
      <c r="AJ521" s="22">
        <f t="shared" si="118"/>
        <v>6.1297838147090833E-2</v>
      </c>
      <c r="AK521" s="22">
        <f t="shared" si="118"/>
        <v>6.1380565224491167E-2</v>
      </c>
      <c r="AL521" s="22">
        <f t="shared" si="118"/>
        <v>6.1469636895764942E-2</v>
      </c>
      <c r="AM521" s="22">
        <f t="shared" si="118"/>
        <v>6.1564248264751806E-2</v>
      </c>
      <c r="AN521" s="22">
        <f t="shared" si="118"/>
        <v>6.1619115142281453E-2</v>
      </c>
      <c r="AO521" s="22">
        <f t="shared" si="118"/>
        <v>6.1678131563041472E-2</v>
      </c>
      <c r="AP521" s="22">
        <f t="shared" si="118"/>
        <v>6.1742051762293963E-2</v>
      </c>
      <c r="AQ521" s="22">
        <f t="shared" si="118"/>
        <v>6.1810963980968171E-2</v>
      </c>
      <c r="AR521" s="22">
        <f t="shared" si="118"/>
        <v>6.1884820045811577E-2</v>
      </c>
      <c r="AS521" s="22">
        <f t="shared" si="118"/>
        <v>6.1917844796297146E-2</v>
      </c>
      <c r="AT521" s="22">
        <f t="shared" si="118"/>
        <v>6.1948582957053369E-2</v>
      </c>
      <c r="AU521" s="22">
        <f t="shared" si="118"/>
        <v>6.1982659332367518E-2</v>
      </c>
      <c r="AV521" s="22">
        <f t="shared" si="118"/>
        <v>6.2020620133408491E-2</v>
      </c>
      <c r="AW521" s="22">
        <f t="shared" si="118"/>
        <v>6.2062074580344864E-2</v>
      </c>
      <c r="AY521" s="79"/>
    </row>
    <row r="522" spans="1:51" x14ac:dyDescent="0.2">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4.8454260958953527E-2</v>
      </c>
      <c r="T522" s="22">
        <f t="shared" si="118"/>
        <v>4.8528052865226608E-2</v>
      </c>
      <c r="U522" s="22">
        <f t="shared" si="118"/>
        <v>4.8611455379029278E-2</v>
      </c>
      <c r="V522" s="22">
        <f t="shared" si="118"/>
        <v>4.8705540788281515E-2</v>
      </c>
      <c r="W522" s="22">
        <f t="shared" si="118"/>
        <v>4.8811379957736697E-2</v>
      </c>
      <c r="X522" s="22">
        <f t="shared" si="118"/>
        <v>4.8926765916481318E-2</v>
      </c>
      <c r="Y522" s="22">
        <f t="shared" si="118"/>
        <v>4.8996942710480308E-2</v>
      </c>
      <c r="Z522" s="22">
        <f t="shared" si="118"/>
        <v>4.9075326153582635E-2</v>
      </c>
      <c r="AA522" s="22">
        <f t="shared" si="118"/>
        <v>4.9161341255667866E-2</v>
      </c>
      <c r="AB522" s="22">
        <f t="shared" si="118"/>
        <v>4.9256935459255795E-2</v>
      </c>
      <c r="AC522" s="22">
        <f t="shared" si="118"/>
        <v>4.9359760010844099E-2</v>
      </c>
      <c r="AD522" s="22">
        <f t="shared" si="118"/>
        <v>4.9426948749236969E-2</v>
      </c>
      <c r="AE522" s="22">
        <f t="shared" si="118"/>
        <v>4.9502368408366512E-2</v>
      </c>
      <c r="AF522" s="22">
        <f t="shared" si="118"/>
        <v>4.9584814145516069E-2</v>
      </c>
      <c r="AG522" s="22">
        <f t="shared" si="118"/>
        <v>4.967514217789748E-2</v>
      </c>
      <c r="AH522" s="22">
        <f t="shared" si="118"/>
        <v>4.9768143676120806E-2</v>
      </c>
      <c r="AI522" s="22">
        <f t="shared" si="118"/>
        <v>4.9825141984396873E-2</v>
      </c>
      <c r="AJ522" s="22">
        <f t="shared" si="118"/>
        <v>4.9888107964376358E-2</v>
      </c>
      <c r="AK522" s="22">
        <f t="shared" si="118"/>
        <v>4.9955436560191149E-2</v>
      </c>
      <c r="AL522" s="22">
        <f t="shared" si="118"/>
        <v>5.0027928792990776E-2</v>
      </c>
      <c r="AM522" s="22">
        <f t="shared" si="118"/>
        <v>5.0104929586711242E-2</v>
      </c>
      <c r="AN522" s="22">
        <f t="shared" si="118"/>
        <v>5.0149583766901075E-2</v>
      </c>
      <c r="AO522" s="22">
        <f t="shared" si="118"/>
        <v>5.0197615111228118E-2</v>
      </c>
      <c r="AP522" s="22">
        <f t="shared" si="118"/>
        <v>5.0249637464671662E-2</v>
      </c>
      <c r="AQ522" s="22">
        <f t="shared" si="118"/>
        <v>5.0305722643353402E-2</v>
      </c>
      <c r="AR522" s="22">
        <f t="shared" si="118"/>
        <v>5.0365831440794026E-2</v>
      </c>
      <c r="AS522" s="22">
        <f t="shared" si="118"/>
        <v>5.0392709098596028E-2</v>
      </c>
      <c r="AT522" s="22">
        <f t="shared" si="118"/>
        <v>5.0417725783177193E-2</v>
      </c>
      <c r="AU522" s="22">
        <f t="shared" si="118"/>
        <v>5.0445459320641074E-2</v>
      </c>
      <c r="AV522" s="22">
        <f t="shared" si="118"/>
        <v>5.0476354252632014E-2</v>
      </c>
      <c r="AW522" s="22">
        <f t="shared" si="118"/>
        <v>5.0510092537486409E-2</v>
      </c>
      <c r="AY522" s="79"/>
    </row>
    <row r="523" spans="1:51" x14ac:dyDescent="0.2">
      <c r="A523" s="95" t="str">
        <f t="shared" si="108"/>
        <v>PQ Organic</v>
      </c>
      <c r="B523" s="95" t="s">
        <v>968</v>
      </c>
      <c r="C523" s="95" t="s">
        <v>1127</v>
      </c>
      <c r="D523" t="s">
        <v>369</v>
      </c>
      <c r="E523" t="s">
        <v>55</v>
      </c>
      <c r="F523" t="s">
        <v>421</v>
      </c>
      <c r="G523" t="s">
        <v>1168</v>
      </c>
      <c r="H523" t="s">
        <v>1169</v>
      </c>
      <c r="I523" t="s">
        <v>139</v>
      </c>
      <c r="J523" t="s">
        <v>287</v>
      </c>
      <c r="K523" s="22">
        <f t="shared" si="117"/>
        <v>7.2140927380493743E-3</v>
      </c>
      <c r="L523" s="22">
        <f t="shared" si="118"/>
        <v>7.2328458969643655E-3</v>
      </c>
      <c r="M523" s="22">
        <f t="shared" si="118"/>
        <v>7.2587152169743185E-3</v>
      </c>
      <c r="N523" s="22">
        <f t="shared" si="118"/>
        <v>7.2902308808567339E-3</v>
      </c>
      <c r="O523" s="22">
        <f t="shared" si="118"/>
        <v>7.3273479389297461E-3</v>
      </c>
      <c r="P523" s="22">
        <f t="shared" si="118"/>
        <v>7.3698404773103405E-3</v>
      </c>
      <c r="Q523" s="22">
        <f t="shared" si="118"/>
        <v>7.4155715935563127E-3</v>
      </c>
      <c r="R523" s="22">
        <f t="shared" si="118"/>
        <v>7.4643602602570466E-3</v>
      </c>
      <c r="S523" s="22">
        <f t="shared" si="118"/>
        <v>7.5091824622274591E-3</v>
      </c>
      <c r="T523" s="22">
        <f t="shared" si="118"/>
        <v>7.5310026575768785E-3</v>
      </c>
      <c r="U523" s="22">
        <f t="shared" si="118"/>
        <v>7.5544556894728667E-3</v>
      </c>
      <c r="V523" s="22">
        <f t="shared" si="118"/>
        <v>7.5798283677162839E-3</v>
      </c>
      <c r="W523" s="22">
        <f t="shared" si="118"/>
        <v>7.6073992773568969E-3</v>
      </c>
      <c r="X523" s="22">
        <f t="shared" si="118"/>
        <v>7.6366778381520258E-3</v>
      </c>
      <c r="Y523" s="22">
        <f t="shared" si="118"/>
        <v>7.6549815598218112E-3</v>
      </c>
      <c r="Z523" s="22">
        <f t="shared" si="118"/>
        <v>7.6747813396639188E-3</v>
      </c>
      <c r="AA523" s="22">
        <f t="shared" si="118"/>
        <v>7.695960726553556E-3</v>
      </c>
      <c r="AB523" s="22">
        <f t="shared" si="118"/>
        <v>7.7189834484336205E-3</v>
      </c>
      <c r="AC523" s="22">
        <f t="shared" si="118"/>
        <v>7.7433191534407569E-3</v>
      </c>
      <c r="AD523" s="22">
        <f t="shared" si="118"/>
        <v>7.7591399700901245E-3</v>
      </c>
      <c r="AE523" s="22">
        <f t="shared" si="118"/>
        <v>7.7765645193301983E-3</v>
      </c>
      <c r="AF523" s="22">
        <f t="shared" si="118"/>
        <v>7.7953233528318755E-3</v>
      </c>
      <c r="AG523" s="22">
        <f t="shared" si="118"/>
        <v>7.8156183452166659E-3</v>
      </c>
      <c r="AH523" s="22">
        <f t="shared" si="118"/>
        <v>7.8362676853213336E-3</v>
      </c>
      <c r="AI523" s="22">
        <f t="shared" si="118"/>
        <v>7.8484908167339423E-3</v>
      </c>
      <c r="AJ523" s="22">
        <f t="shared" si="118"/>
        <v>7.8618680880810435E-3</v>
      </c>
      <c r="AK523" s="22">
        <f t="shared" si="118"/>
        <v>7.8760394561635683E-3</v>
      </c>
      <c r="AL523" s="22">
        <f t="shared" si="118"/>
        <v>7.8911907673676705E-3</v>
      </c>
      <c r="AM523" s="22">
        <f t="shared" si="118"/>
        <v>7.9071774267792192E-3</v>
      </c>
      <c r="AN523" s="22">
        <f t="shared" si="118"/>
        <v>7.9157019513346714E-3</v>
      </c>
      <c r="AO523" s="22">
        <f t="shared" si="118"/>
        <v>7.9248428379220318E-3</v>
      </c>
      <c r="AP523" s="22">
        <f t="shared" si="118"/>
        <v>7.9347410994360257E-3</v>
      </c>
      <c r="AQ523" s="22">
        <f t="shared" si="118"/>
        <v>7.9454149669416808E-3</v>
      </c>
      <c r="AR523" s="22">
        <f t="shared" si="118"/>
        <v>7.9568573935750887E-3</v>
      </c>
      <c r="AS523" s="22">
        <f t="shared" si="118"/>
        <v>7.9607498372215833E-3</v>
      </c>
      <c r="AT523" s="22">
        <f t="shared" si="118"/>
        <v>7.9641286536339551E-3</v>
      </c>
      <c r="AU523" s="22">
        <f t="shared" si="118"/>
        <v>7.9680196395720947E-3</v>
      </c>
      <c r="AV523" s="22">
        <f t="shared" si="118"/>
        <v>7.9725231105734155E-3</v>
      </c>
      <c r="AW523" s="22">
        <f t="shared" si="118"/>
        <v>7.9775693338345506E-3</v>
      </c>
      <c r="AY523" s="79"/>
    </row>
    <row r="524" spans="1:51" x14ac:dyDescent="0.2">
      <c r="A524" s="95" t="str">
        <f t="shared" si="108"/>
        <v>PQ Organic</v>
      </c>
      <c r="B524" s="95" t="s">
        <v>968</v>
      </c>
      <c r="C524" s="95" t="s">
        <v>1127</v>
      </c>
      <c r="D524" t="s">
        <v>369</v>
      </c>
      <c r="E524" t="s">
        <v>55</v>
      </c>
      <c r="F524" t="s">
        <v>421</v>
      </c>
      <c r="G524" t="s">
        <v>1170</v>
      </c>
      <c r="H524" t="s">
        <v>1171</v>
      </c>
      <c r="I524" t="s">
        <v>139</v>
      </c>
      <c r="J524" t="s">
        <v>287</v>
      </c>
      <c r="K524" s="22">
        <f t="shared" si="117"/>
        <v>8.7045671471293523E-2</v>
      </c>
      <c r="L524" s="22">
        <f t="shared" si="118"/>
        <v>8.7271948200639354E-2</v>
      </c>
      <c r="M524" s="22">
        <f t="shared" si="118"/>
        <v>8.7584088952434122E-2</v>
      </c>
      <c r="N524" s="22">
        <f t="shared" si="118"/>
        <v>8.7964358824768801E-2</v>
      </c>
      <c r="O524" s="22">
        <f t="shared" si="118"/>
        <v>8.8412215452112072E-2</v>
      </c>
      <c r="P524" s="22">
        <f t="shared" si="118"/>
        <v>8.8924932944132923E-2</v>
      </c>
      <c r="Q524" s="22">
        <f t="shared" si="118"/>
        <v>8.9476727309038565E-2</v>
      </c>
      <c r="R524" s="22">
        <f t="shared" si="118"/>
        <v>9.0065414259340087E-2</v>
      </c>
      <c r="S524" s="22">
        <f t="shared" si="118"/>
        <v>9.0606241610610233E-2</v>
      </c>
      <c r="T524" s="22">
        <f t="shared" si="118"/>
        <v>9.0869525383745986E-2</v>
      </c>
      <c r="U524" s="22">
        <f t="shared" si="118"/>
        <v>9.1152511059637925E-2</v>
      </c>
      <c r="V524" s="22">
        <f t="shared" si="118"/>
        <v>9.14586593023788E-2</v>
      </c>
      <c r="W524" s="22">
        <f t="shared" si="118"/>
        <v>9.1791331535726078E-2</v>
      </c>
      <c r="X524" s="22">
        <f t="shared" si="118"/>
        <v>9.2144608389332791E-2</v>
      </c>
      <c r="Y524" s="22">
        <f t="shared" si="118"/>
        <v>9.2365462182182861E-2</v>
      </c>
      <c r="Z524" s="22">
        <f t="shared" si="118"/>
        <v>9.2604367501801177E-2</v>
      </c>
      <c r="AA524" s="22">
        <f t="shared" si="118"/>
        <v>9.2859919241999239E-2</v>
      </c>
      <c r="AB524" s="22">
        <f t="shared" si="118"/>
        <v>9.3137712771680009E-2</v>
      </c>
      <c r="AC524" s="22">
        <f t="shared" si="118"/>
        <v>9.3431348833759018E-2</v>
      </c>
      <c r="AD524" s="22">
        <f t="shared" si="118"/>
        <v>9.3622243747156081E-2</v>
      </c>
      <c r="AE524" s="22">
        <f t="shared" si="118"/>
        <v>9.3832489393249188E-2</v>
      </c>
      <c r="AF524" s="22">
        <f t="shared" si="118"/>
        <v>9.4058834592495047E-2</v>
      </c>
      <c r="AG524" s="22">
        <f t="shared" si="118"/>
        <v>9.4303715176067421E-2</v>
      </c>
      <c r="AH524" s="22">
        <f t="shared" si="118"/>
        <v>9.4552871340274972E-2</v>
      </c>
      <c r="AI524" s="22">
        <f t="shared" si="118"/>
        <v>9.4700356369914307E-2</v>
      </c>
      <c r="AJ524" s="22">
        <f t="shared" si="118"/>
        <v>9.4861767320555526E-2</v>
      </c>
      <c r="AK524" s="22">
        <f t="shared" si="118"/>
        <v>9.5032759889573118E-2</v>
      </c>
      <c r="AL524" s="22">
        <f t="shared" si="118"/>
        <v>9.5215576510501124E-2</v>
      </c>
      <c r="AM524" s="22">
        <f t="shared" si="118"/>
        <v>9.5408472492517202E-2</v>
      </c>
      <c r="AN524" s="22">
        <f t="shared" si="118"/>
        <v>9.5511329912132736E-2</v>
      </c>
      <c r="AO524" s="22">
        <f t="shared" si="118"/>
        <v>9.5621624392635218E-2</v>
      </c>
      <c r="AP524" s="22">
        <f t="shared" si="118"/>
        <v>9.5741057403988084E-2</v>
      </c>
      <c r="AQ524" s="22">
        <f t="shared" si="118"/>
        <v>9.5869848923304843E-2</v>
      </c>
      <c r="AR524" s="22">
        <f t="shared" si="118"/>
        <v>9.6007913922706994E-2</v>
      </c>
      <c r="AS524" s="22">
        <f t="shared" si="118"/>
        <v>9.6054880378944288E-2</v>
      </c>
      <c r="AT524" s="22">
        <f t="shared" si="118"/>
        <v>9.6095649378466819E-2</v>
      </c>
      <c r="AU524" s="22">
        <f t="shared" si="118"/>
        <v>9.6142598245908498E-2</v>
      </c>
      <c r="AV524" s="22">
        <f t="shared" si="118"/>
        <v>9.6196937394502191E-2</v>
      </c>
      <c r="AW524" s="22">
        <f t="shared" si="118"/>
        <v>9.6257825424100524E-2</v>
      </c>
      <c r="AY524" s="79"/>
    </row>
    <row r="525" spans="1:51" x14ac:dyDescent="0.2">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2">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2">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0.12395129293471778</v>
      </c>
      <c r="M527" s="22">
        <f t="shared" si="119"/>
        <v>0.12400689511310996</v>
      </c>
      <c r="N527" s="22">
        <f t="shared" si="119"/>
        <v>0.12286841678965586</v>
      </c>
      <c r="O527" s="22">
        <f t="shared" si="119"/>
        <v>0.12100901910045005</v>
      </c>
      <c r="P527" s="22">
        <f t="shared" si="119"/>
        <v>0.11845842648899832</v>
      </c>
      <c r="Q527" s="22">
        <f t="shared" si="119"/>
        <v>0.11660641339960408</v>
      </c>
      <c r="R527" s="22">
        <f t="shared" si="119"/>
        <v>0.11491827863139022</v>
      </c>
      <c r="S527" s="22">
        <f t="shared" si="119"/>
        <v>0.10239148734853588</v>
      </c>
      <c r="T527" s="22">
        <f t="shared" si="119"/>
        <v>0.10399015001119098</v>
      </c>
      <c r="U527" s="22">
        <f t="shared" si="119"/>
        <v>0.10466911672478917</v>
      </c>
      <c r="V527" s="22">
        <f t="shared" si="119"/>
        <v>0.10511626718572097</v>
      </c>
      <c r="W527" s="22">
        <f t="shared" si="119"/>
        <v>0.10594424528482288</v>
      </c>
      <c r="X527" s="22">
        <f t="shared" si="119"/>
        <v>0.10656092894002199</v>
      </c>
      <c r="Y527" s="22">
        <f t="shared" si="119"/>
        <v>0.10688440239408244</v>
      </c>
      <c r="Z527" s="22">
        <f t="shared" si="119"/>
        <v>0.10708259276512562</v>
      </c>
      <c r="AA527" s="22">
        <f t="shared" si="119"/>
        <v>0.10710947754337903</v>
      </c>
      <c r="AB527" s="22">
        <f t="shared" si="119"/>
        <v>0.1077314601885206</v>
      </c>
      <c r="AC527" s="22">
        <f t="shared" si="119"/>
        <v>0.10827475819020069</v>
      </c>
      <c r="AD527" s="22">
        <f t="shared" si="119"/>
        <v>0.1090564650607147</v>
      </c>
      <c r="AE527" s="22">
        <f t="shared" si="119"/>
        <v>0.11037691569913123</v>
      </c>
      <c r="AF527" s="22">
        <f t="shared" si="119"/>
        <v>0.11192323685515045</v>
      </c>
      <c r="AG527" s="22">
        <f t="shared" si="119"/>
        <v>0.1140168304907534</v>
      </c>
      <c r="AH527" s="22">
        <f t="shared" si="119"/>
        <v>0.11514704328773583</v>
      </c>
      <c r="AI527" s="22">
        <f t="shared" si="119"/>
        <v>0.11613416972234052</v>
      </c>
      <c r="AJ527" s="22">
        <f t="shared" si="119"/>
        <v>0.1173747047819844</v>
      </c>
      <c r="AK527" s="22">
        <f t="shared" si="119"/>
        <v>0.11845175629546961</v>
      </c>
      <c r="AL527" s="22">
        <f t="shared" si="119"/>
        <v>0.11964350265273288</v>
      </c>
      <c r="AM527" s="22">
        <f t="shared" si="119"/>
        <v>0.12080595767564568</v>
      </c>
      <c r="AN527" s="22">
        <f t="shared" si="119"/>
        <v>0.12237101221025357</v>
      </c>
      <c r="AO527" s="22">
        <f t="shared" si="119"/>
        <v>0.12373005325826542</v>
      </c>
      <c r="AP527" s="22">
        <f t="shared" si="119"/>
        <v>0.12508788651498504</v>
      </c>
      <c r="AQ527" s="22">
        <f t="shared" si="119"/>
        <v>0.12649394429591121</v>
      </c>
      <c r="AR527" s="22">
        <f t="shared" si="119"/>
        <v>0.12796403206190518</v>
      </c>
      <c r="AS527" s="22">
        <f t="shared" si="119"/>
        <v>0.12987984628529636</v>
      </c>
      <c r="AT527" s="22">
        <f t="shared" si="119"/>
        <v>0.13047315773125404</v>
      </c>
      <c r="AU527" s="22">
        <f t="shared" si="119"/>
        <v>0.13094704432863591</v>
      </c>
      <c r="AV527" s="22">
        <f t="shared" si="119"/>
        <v>0.13143575870732388</v>
      </c>
      <c r="AW527" s="22">
        <f t="shared" si="119"/>
        <v>0.13188303608420418</v>
      </c>
      <c r="AY527" s="79"/>
    </row>
    <row r="528" spans="1:51" x14ac:dyDescent="0.2">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3.1446916354757506E-2</v>
      </c>
      <c r="M528" s="22">
        <f t="shared" si="119"/>
        <v>3.1461022839745632E-2</v>
      </c>
      <c r="N528" s="22">
        <f t="shared" si="119"/>
        <v>3.1172186541537576E-2</v>
      </c>
      <c r="O528" s="22">
        <f t="shared" si="119"/>
        <v>3.0700450247237842E-2</v>
      </c>
      <c r="P528" s="22">
        <f t="shared" si="119"/>
        <v>3.0053355161673644E-2</v>
      </c>
      <c r="Q528" s="22">
        <f t="shared" si="119"/>
        <v>2.9583492368545926E-2</v>
      </c>
      <c r="R528" s="22">
        <f t="shared" si="119"/>
        <v>2.9155206131309681E-2</v>
      </c>
      <c r="S528" s="22">
        <f t="shared" si="119"/>
        <v>2.5977111346345238E-2</v>
      </c>
      <c r="T528" s="22">
        <f t="shared" si="119"/>
        <v>2.6382698168730914E-2</v>
      </c>
      <c r="U528" s="22">
        <f t="shared" si="119"/>
        <v>2.6554954616765158E-2</v>
      </c>
      <c r="V528" s="22">
        <f t="shared" si="119"/>
        <v>2.6668398396252971E-2</v>
      </c>
      <c r="W528" s="22">
        <f t="shared" si="119"/>
        <v>2.6878459601824591E-2</v>
      </c>
      <c r="X528" s="22">
        <f t="shared" si="119"/>
        <v>2.7034914600100463E-2</v>
      </c>
      <c r="Y528" s="22">
        <f t="shared" si="119"/>
        <v>2.7116981050655197E-2</v>
      </c>
      <c r="Z528" s="22">
        <f t="shared" si="119"/>
        <v>2.7167262704625481E-2</v>
      </c>
      <c r="AA528" s="22">
        <f t="shared" si="119"/>
        <v>2.7174083475534235E-2</v>
      </c>
      <c r="AB528" s="22">
        <f t="shared" si="119"/>
        <v>2.7331882847793948E-2</v>
      </c>
      <c r="AC528" s="22">
        <f t="shared" si="119"/>
        <v>2.7469719625531634E-2</v>
      </c>
      <c r="AD528" s="22">
        <f t="shared" si="119"/>
        <v>2.7668041643712917E-2</v>
      </c>
      <c r="AE528" s="22">
        <f t="shared" si="119"/>
        <v>2.8003045013131105E-2</v>
      </c>
      <c r="AF528" s="22">
        <f t="shared" si="119"/>
        <v>2.8395352595404884E-2</v>
      </c>
      <c r="AG528" s="22">
        <f t="shared" si="119"/>
        <v>2.8926505295637978E-2</v>
      </c>
      <c r="AH528" s="22">
        <f t="shared" si="119"/>
        <v>2.9213244598216302E-2</v>
      </c>
      <c r="AI528" s="22">
        <f t="shared" si="119"/>
        <v>2.9463682344250404E-2</v>
      </c>
      <c r="AJ528" s="22">
        <f t="shared" si="119"/>
        <v>2.9778410826157509E-2</v>
      </c>
      <c r="AK528" s="22">
        <f t="shared" si="119"/>
        <v>3.0051662908103689E-2</v>
      </c>
      <c r="AL528" s="22">
        <f t="shared" si="119"/>
        <v>3.0354013509905672E-2</v>
      </c>
      <c r="AM528" s="22">
        <f t="shared" si="119"/>
        <v>3.0648932788327074E-2</v>
      </c>
      <c r="AN528" s="22">
        <f t="shared" si="119"/>
        <v>3.1045993100286617E-2</v>
      </c>
      <c r="AO528" s="22">
        <f t="shared" si="119"/>
        <v>3.1390787003985711E-2</v>
      </c>
      <c r="AP528" s="22">
        <f t="shared" si="119"/>
        <v>3.1735274486421723E-2</v>
      </c>
      <c r="AQ528" s="22">
        <f t="shared" si="119"/>
        <v>3.2091996714805643E-2</v>
      </c>
      <c r="AR528" s="22">
        <f t="shared" si="119"/>
        <v>3.2464963594914874E-2</v>
      </c>
      <c r="AS528" s="22">
        <f t="shared" si="119"/>
        <v>3.2951012979377248E-2</v>
      </c>
      <c r="AT528" s="22">
        <f t="shared" si="119"/>
        <v>3.3101538358916271E-2</v>
      </c>
      <c r="AU528" s="22">
        <f t="shared" si="119"/>
        <v>3.3221765198319694E-2</v>
      </c>
      <c r="AV528" s="22">
        <f t="shared" si="119"/>
        <v>3.3345753902463859E-2</v>
      </c>
      <c r="AW528" s="22">
        <f t="shared" si="119"/>
        <v>3.3459229881012437E-2</v>
      </c>
      <c r="AY528" s="79"/>
    </row>
    <row r="529" spans="1:51" x14ac:dyDescent="0.2">
      <c r="A529" s="95" t="str">
        <f t="shared" si="108"/>
        <v>PQ Organic</v>
      </c>
      <c r="B529" s="95" t="s">
        <v>968</v>
      </c>
      <c r="C529" s="95" t="s">
        <v>1127</v>
      </c>
      <c r="D529" t="s">
        <v>369</v>
      </c>
      <c r="E529" t="s">
        <v>55</v>
      </c>
      <c r="F529" t="s">
        <v>421</v>
      </c>
      <c r="G529" t="s">
        <v>1180</v>
      </c>
      <c r="H529" t="s">
        <v>1181</v>
      </c>
      <c r="I529" t="s">
        <v>139</v>
      </c>
      <c r="J529" t="s">
        <v>287</v>
      </c>
      <c r="K529" s="22">
        <f t="shared" si="117"/>
        <v>0.15700744358616764</v>
      </c>
      <c r="L529" s="22">
        <f t="shared" si="119"/>
        <v>0.16019971617730661</v>
      </c>
      <c r="M529" s="22">
        <f t="shared" si="119"/>
        <v>0.16393118028621728</v>
      </c>
      <c r="N529" s="22">
        <f t="shared" si="119"/>
        <v>0.1667959170810015</v>
      </c>
      <c r="O529" s="22">
        <f t="shared" si="119"/>
        <v>0.16909558154641688</v>
      </c>
      <c r="P529" s="22">
        <f t="shared" si="119"/>
        <v>0.1708164974258628</v>
      </c>
      <c r="Q529" s="22">
        <f t="shared" si="119"/>
        <v>0.17302318661183388</v>
      </c>
      <c r="R529" s="22">
        <f t="shared" si="119"/>
        <v>0.17531753251219051</v>
      </c>
      <c r="S529" s="22">
        <f t="shared" si="119"/>
        <v>0.16830476873000083</v>
      </c>
      <c r="T529" s="22">
        <f t="shared" si="119"/>
        <v>0.17276871314198702</v>
      </c>
      <c r="U529" s="22">
        <f t="shared" si="119"/>
        <v>0.1764934307199863</v>
      </c>
      <c r="V529" s="22">
        <f t="shared" si="119"/>
        <v>0.18005524898156572</v>
      </c>
      <c r="W529" s="22">
        <f t="shared" si="119"/>
        <v>0.1840152127784149</v>
      </c>
      <c r="X529" s="22">
        <f t="shared" si="119"/>
        <v>0.18783261457873554</v>
      </c>
      <c r="Y529" s="22">
        <f t="shared" si="119"/>
        <v>0.1912601747651877</v>
      </c>
      <c r="Z529" s="22">
        <f t="shared" si="119"/>
        <v>0.19460208719398481</v>
      </c>
      <c r="AA529" s="22">
        <f t="shared" si="119"/>
        <v>0.1978054102854529</v>
      </c>
      <c r="AB529" s="22">
        <f t="shared" si="119"/>
        <v>0.20165714923615963</v>
      </c>
      <c r="AC529" s="22">
        <f t="shared" si="119"/>
        <v>0.2054824805874291</v>
      </c>
      <c r="AD529" s="22">
        <f t="shared" si="119"/>
        <v>0.20949194963752207</v>
      </c>
      <c r="AE529" s="22">
        <f t="shared" si="119"/>
        <v>0.21416106283362638</v>
      </c>
      <c r="AF529" s="22">
        <f t="shared" si="119"/>
        <v>0.21917521895804776</v>
      </c>
      <c r="AG529" s="22">
        <f t="shared" si="119"/>
        <v>0.2249205996408121</v>
      </c>
      <c r="AH529" s="22">
        <f t="shared" si="119"/>
        <v>0.22966975525024821</v>
      </c>
      <c r="AI529" s="22">
        <f t="shared" si="119"/>
        <v>0.23421374773731693</v>
      </c>
      <c r="AJ529" s="22">
        <f t="shared" si="119"/>
        <v>0.23914977762419984</v>
      </c>
      <c r="AK529" s="22">
        <f t="shared" si="119"/>
        <v>0.24398161276357982</v>
      </c>
      <c r="AL529" s="22">
        <f t="shared" si="119"/>
        <v>0.24905154645514979</v>
      </c>
      <c r="AM529" s="22">
        <f t="shared" si="119"/>
        <v>0.25418530178524701</v>
      </c>
      <c r="AN529" s="22">
        <f t="shared" si="119"/>
        <v>0.25983124395687562</v>
      </c>
      <c r="AO529" s="22">
        <f t="shared" si="119"/>
        <v>0.26532627660152752</v>
      </c>
      <c r="AP529" s="22">
        <f t="shared" si="119"/>
        <v>0.27093697485535539</v>
      </c>
      <c r="AQ529" s="22">
        <f t="shared" si="119"/>
        <v>0.27673510691469561</v>
      </c>
      <c r="AR529" s="22">
        <f t="shared" si="119"/>
        <v>0.28275020857350047</v>
      </c>
      <c r="AS529" s="22">
        <f t="shared" si="119"/>
        <v>0.28941803313014858</v>
      </c>
      <c r="AT529" s="22">
        <f t="shared" si="119"/>
        <v>0.29430967875904612</v>
      </c>
      <c r="AU529" s="22">
        <f t="shared" si="119"/>
        <v>0.29911626555567689</v>
      </c>
      <c r="AV529" s="22">
        <f t="shared" si="119"/>
        <v>0.30403482357185191</v>
      </c>
      <c r="AW529" s="22">
        <f t="shared" si="119"/>
        <v>0.30898254148510845</v>
      </c>
      <c r="AY529" s="79"/>
    </row>
    <row r="530" spans="1:51" x14ac:dyDescent="0.2">
      <c r="A530" s="95" t="str">
        <f t="shared" si="108"/>
        <v>PQ Organic</v>
      </c>
      <c r="B530" s="95" t="s">
        <v>968</v>
      </c>
      <c r="C530" s="95" t="s">
        <v>1127</v>
      </c>
      <c r="D530" t="s">
        <v>369</v>
      </c>
      <c r="E530" t="s">
        <v>55</v>
      </c>
      <c r="F530" t="s">
        <v>421</v>
      </c>
      <c r="G530" t="s">
        <v>1182</v>
      </c>
      <c r="H530" t="s">
        <v>1183</v>
      </c>
      <c r="I530" t="s">
        <v>139</v>
      </c>
      <c r="J530" t="s">
        <v>287</v>
      </c>
      <c r="K530" s="22">
        <f t="shared" si="117"/>
        <v>0.78620275218739033</v>
      </c>
      <c r="L530" s="22">
        <f t="shared" si="119"/>
        <v>0.7965556372017637</v>
      </c>
      <c r="M530" s="22">
        <f t="shared" si="119"/>
        <v>0.8131853402467214</v>
      </c>
      <c r="N530" s="22">
        <f t="shared" si="119"/>
        <v>0.81796021384654038</v>
      </c>
      <c r="O530" s="22">
        <f t="shared" si="119"/>
        <v>0.81503229757580642</v>
      </c>
      <c r="P530" s="22">
        <f t="shared" si="119"/>
        <v>0.80443274266431908</v>
      </c>
      <c r="Q530" s="22">
        <f t="shared" si="119"/>
        <v>0.79997057217510736</v>
      </c>
      <c r="R530" s="22">
        <f t="shared" si="119"/>
        <v>0.79652072541357799</v>
      </c>
      <c r="S530" s="22">
        <f t="shared" si="119"/>
        <v>0.68093953459407419</v>
      </c>
      <c r="T530" s="22">
        <f t="shared" si="119"/>
        <v>0.71095217743742134</v>
      </c>
      <c r="U530" s="22">
        <f t="shared" si="119"/>
        <v>0.73163451860770856</v>
      </c>
      <c r="V530" s="22">
        <f t="shared" si="119"/>
        <v>0.74998966017271962</v>
      </c>
      <c r="W530" s="22">
        <f t="shared" si="119"/>
        <v>0.77258910732812447</v>
      </c>
      <c r="X530" s="22">
        <f t="shared" si="119"/>
        <v>0.79310210321227914</v>
      </c>
      <c r="Y530" s="22">
        <f t="shared" si="119"/>
        <v>0.81120771116014501</v>
      </c>
      <c r="Z530" s="22">
        <f t="shared" si="119"/>
        <v>0.82802988036578451</v>
      </c>
      <c r="AA530" s="22">
        <f t="shared" si="119"/>
        <v>0.84300341806804124</v>
      </c>
      <c r="AB530" s="22">
        <f t="shared" si="119"/>
        <v>0.86494223642860679</v>
      </c>
      <c r="AC530" s="22">
        <f t="shared" si="119"/>
        <v>0.88622290534488479</v>
      </c>
      <c r="AD530" s="22">
        <f t="shared" si="119"/>
        <v>0.91112086440699802</v>
      </c>
      <c r="AE530" s="22">
        <f t="shared" si="119"/>
        <v>0.94284673608655079</v>
      </c>
      <c r="AF530" s="22">
        <f t="shared" si="119"/>
        <v>0.97785291166286403</v>
      </c>
      <c r="AG530" s="22">
        <f t="shared" si="119"/>
        <v>1.0202297421822766</v>
      </c>
      <c r="AH530" s="22">
        <f t="shared" si="119"/>
        <v>1.0513780855146408</v>
      </c>
      <c r="AI530" s="22">
        <f t="shared" si="119"/>
        <v>1.0817366322153388</v>
      </c>
      <c r="AJ530" s="22">
        <f t="shared" si="119"/>
        <v>1.1158458345440128</v>
      </c>
      <c r="AK530" s="22">
        <f t="shared" si="119"/>
        <v>1.1484374065317347</v>
      </c>
      <c r="AL530" s="22">
        <f t="shared" si="119"/>
        <v>1.1831076882134564</v>
      </c>
      <c r="AM530" s="22">
        <f t="shared" si="119"/>
        <v>1.2180177066709783</v>
      </c>
      <c r="AN530" s="22">
        <f t="shared" si="119"/>
        <v>1.2594503323832682</v>
      </c>
      <c r="AO530" s="22">
        <f t="shared" si="119"/>
        <v>1.298872537028497</v>
      </c>
      <c r="AP530" s="22">
        <f t="shared" si="119"/>
        <v>1.3390342962428967</v>
      </c>
      <c r="AQ530" s="22">
        <f t="shared" si="119"/>
        <v>1.3806522745115721</v>
      </c>
      <c r="AR530" s="22">
        <f t="shared" si="119"/>
        <v>1.4240025047133247</v>
      </c>
      <c r="AS530" s="22">
        <f t="shared" si="119"/>
        <v>1.4750856789053959</v>
      </c>
      <c r="AT530" s="22">
        <f t="shared" si="119"/>
        <v>1.5079842325146011</v>
      </c>
      <c r="AU530" s="22">
        <f t="shared" si="119"/>
        <v>1.5397226946349756</v>
      </c>
      <c r="AV530" s="22">
        <f t="shared" si="119"/>
        <v>1.5722599858562425</v>
      </c>
      <c r="AW530" s="22">
        <f t="shared" si="119"/>
        <v>1.6047748091186307</v>
      </c>
      <c r="AY530" s="79"/>
    </row>
    <row r="531" spans="1:51" x14ac:dyDescent="0.2">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2">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1.0836040032789309</v>
      </c>
      <c r="M532" s="22">
        <f t="shared" si="119"/>
        <v>1.0921513426512339</v>
      </c>
      <c r="N532" s="22">
        <f t="shared" si="119"/>
        <v>1.0976439186771809</v>
      </c>
      <c r="O532" s="22">
        <f t="shared" si="119"/>
        <v>1.1012937605673541</v>
      </c>
      <c r="P532" s="22">
        <f t="shared" si="119"/>
        <v>1.1030649457277464</v>
      </c>
      <c r="Q532" s="22">
        <f t="shared" si="119"/>
        <v>1.1069781529146336</v>
      </c>
      <c r="R532" s="22">
        <f t="shared" si="119"/>
        <v>1.1114672588381171</v>
      </c>
      <c r="S532" s="22">
        <f t="shared" si="119"/>
        <v>1.0810406006779549</v>
      </c>
      <c r="T532" s="22">
        <f t="shared" si="119"/>
        <v>1.0934641088719885</v>
      </c>
      <c r="U532" s="22">
        <f t="shared" si="119"/>
        <v>1.1031992381450169</v>
      </c>
      <c r="V532" s="22">
        <f t="shared" si="119"/>
        <v>1.1124222034300566</v>
      </c>
      <c r="W532" s="22">
        <f t="shared" si="119"/>
        <v>1.123204750861388</v>
      </c>
      <c r="X532" s="22">
        <f t="shared" si="119"/>
        <v>1.1335309064238068</v>
      </c>
      <c r="Y532" s="22">
        <f t="shared" si="119"/>
        <v>1.1421913822066523</v>
      </c>
      <c r="Z532" s="22">
        <f t="shared" si="119"/>
        <v>1.1506113165744176</v>
      </c>
      <c r="AA532" s="22">
        <f t="shared" si="119"/>
        <v>1.1585977369609775</v>
      </c>
      <c r="AB532" s="22">
        <f t="shared" si="119"/>
        <v>1.1689866502425044</v>
      </c>
      <c r="AC532" s="22">
        <f t="shared" si="119"/>
        <v>1.179322142127879</v>
      </c>
      <c r="AD532" s="22">
        <f t="shared" si="119"/>
        <v>1.1901050491082561</v>
      </c>
      <c r="AE532" s="22">
        <f t="shared" si="119"/>
        <v>1.2032599534885204</v>
      </c>
      <c r="AF532" s="22">
        <f t="shared" ref="L532:AW539" si="120">AF1483</f>
        <v>1.2176412709045177</v>
      </c>
      <c r="AG532" s="22">
        <f t="shared" si="120"/>
        <v>1.2345938865918005</v>
      </c>
      <c r="AH532" s="22">
        <f t="shared" si="120"/>
        <v>1.2480204008779516</v>
      </c>
      <c r="AI532" s="22">
        <f t="shared" si="120"/>
        <v>1.2604934871451285</v>
      </c>
      <c r="AJ532" s="22">
        <f t="shared" si="120"/>
        <v>1.2743340482246315</v>
      </c>
      <c r="AK532" s="22">
        <f t="shared" si="120"/>
        <v>1.2878029781490608</v>
      </c>
      <c r="AL532" s="22">
        <f t="shared" si="120"/>
        <v>1.302087430895273</v>
      </c>
      <c r="AM532" s="22">
        <f t="shared" si="120"/>
        <v>1.3165772246053524</v>
      </c>
      <c r="AN532" s="22">
        <f t="shared" si="120"/>
        <v>1.3325905811769112</v>
      </c>
      <c r="AO532" s="22">
        <f t="shared" si="120"/>
        <v>1.3480569944390275</v>
      </c>
      <c r="AP532" s="22">
        <f t="shared" si="120"/>
        <v>1.3638910811882956</v>
      </c>
      <c r="AQ532" s="22">
        <f t="shared" si="120"/>
        <v>1.3803329285303612</v>
      </c>
      <c r="AR532" s="22">
        <f t="shared" si="120"/>
        <v>1.3974765343324473</v>
      </c>
      <c r="AS532" s="22">
        <f t="shared" si="120"/>
        <v>1.4165658117844762</v>
      </c>
      <c r="AT532" s="22">
        <f t="shared" si="120"/>
        <v>1.4296216900778926</v>
      </c>
      <c r="AU532" s="22">
        <f t="shared" si="120"/>
        <v>1.4423773000489271</v>
      </c>
      <c r="AV532" s="22">
        <f t="shared" si="120"/>
        <v>1.4554943578736881</v>
      </c>
      <c r="AW532" s="22">
        <f t="shared" si="120"/>
        <v>1.468692881818767</v>
      </c>
      <c r="AY532" s="79"/>
    </row>
    <row r="533" spans="1:51" x14ac:dyDescent="0.2">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0.73794174034663862</v>
      </c>
      <c r="M533" s="22">
        <f t="shared" si="120"/>
        <v>0.74376253694082328</v>
      </c>
      <c r="N533" s="22">
        <f t="shared" si="120"/>
        <v>0.74750301879518044</v>
      </c>
      <c r="O533" s="22">
        <f t="shared" si="120"/>
        <v>0.74998858609492669</v>
      </c>
      <c r="P533" s="22">
        <f t="shared" si="120"/>
        <v>0.75119477530775824</v>
      </c>
      <c r="Q533" s="22">
        <f t="shared" si="120"/>
        <v>0.7538596961765357</v>
      </c>
      <c r="R533" s="22">
        <f t="shared" si="120"/>
        <v>0.75691680802528427</v>
      </c>
      <c r="S533" s="22">
        <f t="shared" si="120"/>
        <v>0.73619604563634833</v>
      </c>
      <c r="T533" s="22">
        <f t="shared" si="120"/>
        <v>0.74465653971921864</v>
      </c>
      <c r="U533" s="22">
        <f t="shared" si="120"/>
        <v>0.75128622936275991</v>
      </c>
      <c r="V533" s="22">
        <f t="shared" si="120"/>
        <v>0.75756713182620983</v>
      </c>
      <c r="W533" s="22">
        <f t="shared" si="120"/>
        <v>0.76491012040208251</v>
      </c>
      <c r="X533" s="22">
        <f t="shared" si="120"/>
        <v>0.77194230299255218</v>
      </c>
      <c r="Y533" s="22">
        <f t="shared" si="120"/>
        <v>0.77784014625640541</v>
      </c>
      <c r="Z533" s="22">
        <f t="shared" si="120"/>
        <v>0.78357417917078342</v>
      </c>
      <c r="AA533" s="22">
        <f t="shared" si="120"/>
        <v>0.78901298609781978</v>
      </c>
      <c r="AB533" s="22">
        <f t="shared" si="120"/>
        <v>0.79608790712439581</v>
      </c>
      <c r="AC533" s="22">
        <f t="shared" si="120"/>
        <v>0.80312644781467857</v>
      </c>
      <c r="AD533" s="22">
        <f t="shared" si="120"/>
        <v>0.81046968124591112</v>
      </c>
      <c r="AE533" s="22">
        <f t="shared" si="120"/>
        <v>0.81942826113588163</v>
      </c>
      <c r="AF533" s="22">
        <f t="shared" si="120"/>
        <v>0.8292220366944113</v>
      </c>
      <c r="AG533" s="22">
        <f t="shared" si="120"/>
        <v>0.84076688396873545</v>
      </c>
      <c r="AH533" s="22">
        <f t="shared" si="120"/>
        <v>0.84991043206299322</v>
      </c>
      <c r="AI533" s="22">
        <f t="shared" si="120"/>
        <v>0.85840468915289159</v>
      </c>
      <c r="AJ533" s="22">
        <f t="shared" si="120"/>
        <v>0.86783020594636673</v>
      </c>
      <c r="AK533" s="22">
        <f t="shared" si="120"/>
        <v>0.87700263938050371</v>
      </c>
      <c r="AL533" s="22">
        <f t="shared" si="120"/>
        <v>0.8867304494361532</v>
      </c>
      <c r="AM533" s="22">
        <f t="shared" si="120"/>
        <v>0.89659809809315782</v>
      </c>
      <c r="AN533" s="22">
        <f t="shared" si="120"/>
        <v>0.90750330348317998</v>
      </c>
      <c r="AO533" s="22">
        <f t="shared" si="120"/>
        <v>0.91803603673723821</v>
      </c>
      <c r="AP533" s="22">
        <f t="shared" si="120"/>
        <v>0.92881915815170113</v>
      </c>
      <c r="AQ533" s="22">
        <f t="shared" si="120"/>
        <v>0.94001616868821003</v>
      </c>
      <c r="AR533" s="22">
        <f t="shared" si="120"/>
        <v>0.95169108153748594</v>
      </c>
      <c r="AS533" s="22">
        <f t="shared" si="120"/>
        <v>0.9646910100928292</v>
      </c>
      <c r="AT533" s="22">
        <f t="shared" si="120"/>
        <v>0.97358215254011127</v>
      </c>
      <c r="AU533" s="22">
        <f t="shared" si="120"/>
        <v>0.98226881020538814</v>
      </c>
      <c r="AV533" s="22">
        <f t="shared" si="120"/>
        <v>0.99120161633211146</v>
      </c>
      <c r="AW533" s="22">
        <f t="shared" si="120"/>
        <v>1.0001899014441695</v>
      </c>
      <c r="AY533" s="79"/>
    </row>
    <row r="534" spans="1:51" x14ac:dyDescent="0.2">
      <c r="A534" s="95" t="str">
        <f t="shared" si="108"/>
        <v>PQ U&amp;D</v>
      </c>
      <c r="B534" s="95" t="s">
        <v>968</v>
      </c>
      <c r="C534" s="95" t="s">
        <v>1336</v>
      </c>
      <c r="D534" t="s">
        <v>369</v>
      </c>
      <c r="E534" t="s">
        <v>55</v>
      </c>
      <c r="F534" t="s">
        <v>422</v>
      </c>
      <c r="G534" t="s">
        <v>1158</v>
      </c>
      <c r="H534" t="s">
        <v>1243</v>
      </c>
      <c r="I534" t="s">
        <v>139</v>
      </c>
      <c r="J534" t="s">
        <v>287</v>
      </c>
      <c r="K534" s="22">
        <f t="shared" si="117"/>
        <v>15.353527292296844</v>
      </c>
      <c r="L534" s="22">
        <f t="shared" si="120"/>
        <v>15.220371053361493</v>
      </c>
      <c r="M534" s="22">
        <f t="shared" si="120"/>
        <v>15.169682504177887</v>
      </c>
      <c r="N534" s="22">
        <f t="shared" si="120"/>
        <v>14.967111251021189</v>
      </c>
      <c r="O534" s="22">
        <f t="shared" si="120"/>
        <v>14.673074129931962</v>
      </c>
      <c r="P534" s="22">
        <f t="shared" si="120"/>
        <v>14.293651368256896</v>
      </c>
      <c r="Q534" s="22">
        <f t="shared" si="120"/>
        <v>13.994389539168758</v>
      </c>
      <c r="R534" s="22">
        <f t="shared" si="120"/>
        <v>13.711253827544139</v>
      </c>
      <c r="S534" s="22">
        <f t="shared" si="120"/>
        <v>12.169037780121926</v>
      </c>
      <c r="T534" s="22">
        <f t="shared" si="120"/>
        <v>12.401807134203059</v>
      </c>
      <c r="U534" s="22">
        <f t="shared" si="120"/>
        <v>12.526260010284002</v>
      </c>
      <c r="V534" s="22">
        <f t="shared" si="120"/>
        <v>12.622062683352066</v>
      </c>
      <c r="W534" s="22">
        <f t="shared" si="120"/>
        <v>12.760674268300837</v>
      </c>
      <c r="X534" s="22">
        <f t="shared" si="120"/>
        <v>12.873164971451276</v>
      </c>
      <c r="Y534" s="22">
        <f t="shared" si="120"/>
        <v>12.945682732607438</v>
      </c>
      <c r="Z534" s="22">
        <f t="shared" si="120"/>
        <v>13.002132383564884</v>
      </c>
      <c r="AA534" s="22">
        <f t="shared" si="120"/>
        <v>13.037118833745307</v>
      </c>
      <c r="AB534" s="22">
        <f t="shared" si="120"/>
        <v>13.140692477306542</v>
      </c>
      <c r="AC534" s="22">
        <f t="shared" si="120"/>
        <v>13.233883747502103</v>
      </c>
      <c r="AD534" s="22">
        <f t="shared" si="120"/>
        <v>13.23869020405356</v>
      </c>
      <c r="AE534" s="22">
        <f t="shared" si="120"/>
        <v>13.301119774765679</v>
      </c>
      <c r="AF534" s="22">
        <f t="shared" si="120"/>
        <v>13.383674683163292</v>
      </c>
      <c r="AG534" s="22">
        <f t="shared" si="120"/>
        <v>13.522276087147475</v>
      </c>
      <c r="AH534" s="22">
        <f t="shared" si="120"/>
        <v>13.544412944106279</v>
      </c>
      <c r="AI534" s="22">
        <f t="shared" si="120"/>
        <v>13.542089215214004</v>
      </c>
      <c r="AJ534" s="22">
        <f t="shared" si="120"/>
        <v>13.562424652219031</v>
      </c>
      <c r="AK534" s="22">
        <f t="shared" si="120"/>
        <v>13.558671299619801</v>
      </c>
      <c r="AL534" s="22">
        <f t="shared" si="120"/>
        <v>13.561543071773121</v>
      </c>
      <c r="AM534" s="22">
        <f t="shared" si="120"/>
        <v>13.555025657095664</v>
      </c>
      <c r="AN534" s="22">
        <f t="shared" si="120"/>
        <v>13.65231474834372</v>
      </c>
      <c r="AO534" s="22">
        <f t="shared" si="120"/>
        <v>13.72348724176244</v>
      </c>
      <c r="AP534" s="22">
        <f t="shared" si="120"/>
        <v>13.790553263000465</v>
      </c>
      <c r="AQ534" s="22">
        <f t="shared" si="120"/>
        <v>13.858644184626581</v>
      </c>
      <c r="AR534" s="22">
        <f t="shared" si="120"/>
        <v>13.929236621781989</v>
      </c>
      <c r="AS534" s="22">
        <f t="shared" si="120"/>
        <v>14.039863069721484</v>
      </c>
      <c r="AT534" s="22">
        <f t="shared" si="120"/>
        <v>14.008704095961466</v>
      </c>
      <c r="AU534" s="22">
        <f t="shared" si="120"/>
        <v>13.961987215392144</v>
      </c>
      <c r="AV534" s="22">
        <f t="shared" si="120"/>
        <v>13.913601198226885</v>
      </c>
      <c r="AW534" s="22">
        <f t="shared" si="120"/>
        <v>13.857756490863558</v>
      </c>
      <c r="AY534" s="79"/>
    </row>
    <row r="535" spans="1:51" x14ac:dyDescent="0.2">
      <c r="A535" s="95" t="str">
        <f t="shared" si="108"/>
        <v>PQ U&amp;D</v>
      </c>
      <c r="B535" s="95" t="s">
        <v>968</v>
      </c>
      <c r="C535" s="95" t="s">
        <v>1336</v>
      </c>
      <c r="D535" t="s">
        <v>369</v>
      </c>
      <c r="E535" t="s">
        <v>55</v>
      </c>
      <c r="F535" t="s">
        <v>422</v>
      </c>
      <c r="G535" t="s">
        <v>1160</v>
      </c>
      <c r="H535" t="s">
        <v>1244</v>
      </c>
      <c r="I535" t="s">
        <v>139</v>
      </c>
      <c r="J535" t="s">
        <v>287</v>
      </c>
      <c r="K535" s="22">
        <f t="shared" si="117"/>
        <v>9.6543103644621464</v>
      </c>
      <c r="L535" s="22">
        <f t="shared" si="120"/>
        <v>9.5705816138517683</v>
      </c>
      <c r="M535" s="22">
        <f t="shared" si="120"/>
        <v>9.5387086131773007</v>
      </c>
      <c r="N535" s="22">
        <f t="shared" si="120"/>
        <v>9.4113316455488931</v>
      </c>
      <c r="O535" s="22">
        <f t="shared" si="120"/>
        <v>9.22644086627548</v>
      </c>
      <c r="P535" s="22">
        <f t="shared" si="120"/>
        <v>8.9878595272244652</v>
      </c>
      <c r="Q535" s="22">
        <f t="shared" si="120"/>
        <v>8.7996834473406587</v>
      </c>
      <c r="R535" s="22">
        <f t="shared" si="120"/>
        <v>8.6216474831450967</v>
      </c>
      <c r="S535" s="22">
        <f t="shared" si="120"/>
        <v>7.6519007866750153</v>
      </c>
      <c r="T535" s="22">
        <f t="shared" si="120"/>
        <v>7.79826634455969</v>
      </c>
      <c r="U535" s="22">
        <f t="shared" si="120"/>
        <v>7.8765224135763656</v>
      </c>
      <c r="V535" s="22">
        <f t="shared" si="120"/>
        <v>7.9367632117940001</v>
      </c>
      <c r="W535" s="22">
        <f t="shared" si="120"/>
        <v>8.0239222883846164</v>
      </c>
      <c r="X535" s="22">
        <f t="shared" si="120"/>
        <v>8.0946565333991707</v>
      </c>
      <c r="Y535" s="22">
        <f t="shared" si="120"/>
        <v>8.1402557601963093</v>
      </c>
      <c r="Z535" s="22">
        <f t="shared" si="120"/>
        <v>8.175751346320169</v>
      </c>
      <c r="AA535" s="22">
        <f t="shared" si="120"/>
        <v>8.1977508544567819</v>
      </c>
      <c r="AB535" s="22">
        <f t="shared" si="120"/>
        <v>8.2628780451981587</v>
      </c>
      <c r="AC535" s="22">
        <f t="shared" si="120"/>
        <v>8.3214767911799861</v>
      </c>
      <c r="AD535" s="22">
        <f t="shared" si="120"/>
        <v>8.3244990949423538</v>
      </c>
      <c r="AE535" s="22">
        <f t="shared" si="120"/>
        <v>8.3637548594387177</v>
      </c>
      <c r="AF535" s="22">
        <f t="shared" si="120"/>
        <v>8.4156654525296073</v>
      </c>
      <c r="AG535" s="22">
        <f t="shared" si="120"/>
        <v>8.5028181273214702</v>
      </c>
      <c r="AH535" s="22">
        <f t="shared" si="120"/>
        <v>8.5167378008600192</v>
      </c>
      <c r="AI535" s="22">
        <f t="shared" si="120"/>
        <v>8.515276638255374</v>
      </c>
      <c r="AJ535" s="22">
        <f t="shared" si="120"/>
        <v>8.5280635774717464</v>
      </c>
      <c r="AK535" s="22">
        <f t="shared" si="120"/>
        <v>8.5257034663252735</v>
      </c>
      <c r="AL535" s="22">
        <f t="shared" si="120"/>
        <v>8.5275092389751901</v>
      </c>
      <c r="AM535" s="22">
        <f t="shared" si="120"/>
        <v>8.5234110833610295</v>
      </c>
      <c r="AN535" s="22">
        <f t="shared" si="120"/>
        <v>8.5845865425310173</v>
      </c>
      <c r="AO535" s="22">
        <f t="shared" si="120"/>
        <v>8.6293398638881058</v>
      </c>
      <c r="AP535" s="22">
        <f t="shared" si="120"/>
        <v>8.6715110322206357</v>
      </c>
      <c r="AQ535" s="22">
        <f t="shared" si="120"/>
        <v>8.7143266587451382</v>
      </c>
      <c r="AR535" s="22">
        <f t="shared" si="120"/>
        <v>8.7587152402552686</v>
      </c>
      <c r="AS535" s="22">
        <f t="shared" si="120"/>
        <v>8.8282772400871714</v>
      </c>
      <c r="AT535" s="22">
        <f t="shared" si="120"/>
        <v>8.8086844522156653</v>
      </c>
      <c r="AU535" s="22">
        <f t="shared" si="120"/>
        <v>8.7793088399743002</v>
      </c>
      <c r="AV535" s="22">
        <f t="shared" si="120"/>
        <v>8.7488836732930295</v>
      </c>
      <c r="AW535" s="22">
        <f t="shared" si="120"/>
        <v>8.7137684761898431</v>
      </c>
      <c r="AY535" s="79"/>
    </row>
    <row r="536" spans="1:51" x14ac:dyDescent="0.2">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2">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5.9177410166742819</v>
      </c>
      <c r="T537" s="22">
        <f t="shared" si="120"/>
        <v>5.9267532558831455</v>
      </c>
      <c r="U537" s="22">
        <f t="shared" si="120"/>
        <v>5.9369392429781076</v>
      </c>
      <c r="V537" s="22">
        <f t="shared" si="120"/>
        <v>5.9484299369724756</v>
      </c>
      <c r="W537" s="22">
        <f t="shared" si="120"/>
        <v>5.9613561230675689</v>
      </c>
      <c r="X537" s="22">
        <f t="shared" si="120"/>
        <v>5.9754482628979506</v>
      </c>
      <c r="Y537" s="22">
        <f t="shared" si="120"/>
        <v>5.9840189867940028</v>
      </c>
      <c r="Z537" s="22">
        <f t="shared" si="120"/>
        <v>5.9935919924924663</v>
      </c>
      <c r="AA537" s="22">
        <f t="shared" si="120"/>
        <v>6.0040970561873648</v>
      </c>
      <c r="AB537" s="22">
        <f t="shared" si="120"/>
        <v>6.015772019922915</v>
      </c>
      <c r="AC537" s="22">
        <f t="shared" si="120"/>
        <v>6.0283300293613564</v>
      </c>
      <c r="AD537" s="22">
        <f t="shared" si="120"/>
        <v>6.0365358206617943</v>
      </c>
      <c r="AE537" s="22">
        <f t="shared" si="120"/>
        <v>6.0457468580703022</v>
      </c>
      <c r="AF537" s="22">
        <f t="shared" si="120"/>
        <v>6.0558159935957239</v>
      </c>
      <c r="AG537" s="22">
        <f t="shared" si="120"/>
        <v>6.0668477974371191</v>
      </c>
      <c r="AH537" s="22">
        <f t="shared" si="120"/>
        <v>6.0782061128825768</v>
      </c>
      <c r="AI537" s="22">
        <f t="shared" si="120"/>
        <v>6.0851673422995747</v>
      </c>
      <c r="AJ537" s="22">
        <f t="shared" si="120"/>
        <v>6.0928574061867389</v>
      </c>
      <c r="AK537" s="22">
        <f t="shared" si="120"/>
        <v>6.1010802783379781</v>
      </c>
      <c r="AL537" s="22">
        <f t="shared" si="120"/>
        <v>6.1099337878320572</v>
      </c>
      <c r="AM537" s="22">
        <f t="shared" si="120"/>
        <v>6.1193379299301505</v>
      </c>
      <c r="AN537" s="22">
        <f t="shared" si="120"/>
        <v>6.1247915653472518</v>
      </c>
      <c r="AO537" s="22">
        <f t="shared" si="120"/>
        <v>6.1306576553625556</v>
      </c>
      <c r="AP537" s="22">
        <f t="shared" si="120"/>
        <v>6.1370111691436762</v>
      </c>
      <c r="AQ537" s="22">
        <f t="shared" si="120"/>
        <v>6.1438608776263539</v>
      </c>
      <c r="AR537" s="22">
        <f t="shared" si="120"/>
        <v>6.1512019925053671</v>
      </c>
      <c r="AS537" s="22">
        <f t="shared" si="120"/>
        <v>6.1544845731259219</v>
      </c>
      <c r="AT537" s="22">
        <f t="shared" si="120"/>
        <v>6.1575398722372316</v>
      </c>
      <c r="AU537" s="22">
        <f t="shared" si="120"/>
        <v>6.1609269818317118</v>
      </c>
      <c r="AV537" s="22">
        <f t="shared" si="120"/>
        <v>6.1647001939833732</v>
      </c>
      <c r="AW537" s="22">
        <f t="shared" si="120"/>
        <v>6.1688206661186156</v>
      </c>
      <c r="AY537" s="79"/>
    </row>
    <row r="538" spans="1:51" x14ac:dyDescent="0.2">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0.66059463009348052</v>
      </c>
      <c r="T538" s="22">
        <f t="shared" si="120"/>
        <v>0.66160066209280566</v>
      </c>
      <c r="U538" s="22">
        <f t="shared" si="120"/>
        <v>0.66273771901337264</v>
      </c>
      <c r="V538" s="22">
        <f t="shared" si="120"/>
        <v>0.66402041974788251</v>
      </c>
      <c r="W538" s="22">
        <f t="shared" si="120"/>
        <v>0.66546336378648574</v>
      </c>
      <c r="X538" s="22">
        <f t="shared" si="120"/>
        <v>0.66703646268896311</v>
      </c>
      <c r="Y538" s="22">
        <f t="shared" si="120"/>
        <v>0.66799320854279376</v>
      </c>
      <c r="Z538" s="22">
        <f t="shared" si="120"/>
        <v>0.66906183864006219</v>
      </c>
      <c r="AA538" s="22">
        <f t="shared" si="120"/>
        <v>0.67023451393053002</v>
      </c>
      <c r="AB538" s="22">
        <f t="shared" si="120"/>
        <v>0.67153778460907243</v>
      </c>
      <c r="AC538" s="22">
        <f t="shared" si="120"/>
        <v>0.67293962926167272</v>
      </c>
      <c r="AD538" s="22">
        <f t="shared" si="120"/>
        <v>0.67385563786249902</v>
      </c>
      <c r="AE538" s="22">
        <f t="shared" si="120"/>
        <v>0.67488386161080183</v>
      </c>
      <c r="AF538" s="22">
        <f t="shared" si="120"/>
        <v>0.67600787444594213</v>
      </c>
      <c r="AG538" s="22">
        <f t="shared" si="120"/>
        <v>0.67723934948976972</v>
      </c>
      <c r="AH538" s="22">
        <f t="shared" si="120"/>
        <v>0.6785072728694912</v>
      </c>
      <c r="AI538" s="22">
        <f t="shared" si="120"/>
        <v>0.67928435161605349</v>
      </c>
      <c r="AJ538" s="22">
        <f t="shared" si="120"/>
        <v>0.68014278980971932</v>
      </c>
      <c r="AK538" s="22">
        <f t="shared" si="120"/>
        <v>0.68106070513784001</v>
      </c>
      <c r="AL538" s="22">
        <f t="shared" si="120"/>
        <v>0.68204901821419661</v>
      </c>
      <c r="AM538" s="22">
        <f t="shared" si="120"/>
        <v>0.68309879814764285</v>
      </c>
      <c r="AN538" s="22">
        <f t="shared" si="120"/>
        <v>0.68370758488921768</v>
      </c>
      <c r="AO538" s="22">
        <f t="shared" si="120"/>
        <v>0.68436241374246343</v>
      </c>
      <c r="AP538" s="22">
        <f t="shared" si="120"/>
        <v>0.68507165348009424</v>
      </c>
      <c r="AQ538" s="22">
        <f t="shared" si="120"/>
        <v>0.68583628319751733</v>
      </c>
      <c r="AR538" s="22">
        <f t="shared" si="120"/>
        <v>0.68665576837848608</v>
      </c>
      <c r="AS538" s="22">
        <f t="shared" si="120"/>
        <v>0.68702220130021696</v>
      </c>
      <c r="AT538" s="22">
        <f t="shared" si="120"/>
        <v>0.68736326289459471</v>
      </c>
      <c r="AU538" s="22">
        <f t="shared" si="120"/>
        <v>0.6877413643362339</v>
      </c>
      <c r="AV538" s="22">
        <f t="shared" si="120"/>
        <v>0.68816256622367178</v>
      </c>
      <c r="AW538" s="22">
        <f t="shared" si="120"/>
        <v>0.68862253257879269</v>
      </c>
      <c r="AY538" s="79"/>
    </row>
    <row r="539" spans="1:51" x14ac:dyDescent="0.2">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0.72463138273575967</v>
      </c>
      <c r="O539" s="22">
        <f t="shared" si="120"/>
        <v>0.72832072886952293</v>
      </c>
      <c r="P539" s="22">
        <f t="shared" si="120"/>
        <v>0.7325443847928953</v>
      </c>
      <c r="Q539" s="22">
        <f t="shared" si="120"/>
        <v>0.73708994755228407</v>
      </c>
      <c r="R539" s="22">
        <f t="shared" si="120"/>
        <v>0.74193942345928476</v>
      </c>
      <c r="S539" s="22">
        <f t="shared" si="120"/>
        <v>0.74639464232983788</v>
      </c>
      <c r="T539" s="22">
        <f t="shared" si="120"/>
        <v>0.74856351716878611</v>
      </c>
      <c r="U539" s="22">
        <f t="shared" ref="L539:AW545" si="121">U1490</f>
        <v>0.7508946920259173</v>
      </c>
      <c r="V539" s="22">
        <f t="shared" si="121"/>
        <v>0.75341667510432941</v>
      </c>
      <c r="W539" s="22">
        <f t="shared" si="121"/>
        <v>0.75615715708667941</v>
      </c>
      <c r="X539" s="22">
        <f t="shared" si="121"/>
        <v>0.75906737547896641</v>
      </c>
      <c r="Y539" s="22">
        <f t="shared" si="121"/>
        <v>0.76088672130758961</v>
      </c>
      <c r="Z539" s="22">
        <f t="shared" si="121"/>
        <v>0.76285477171358229</v>
      </c>
      <c r="AA539" s="22">
        <f t="shared" si="121"/>
        <v>0.76495995173574494</v>
      </c>
      <c r="AB539" s="22">
        <f t="shared" si="121"/>
        <v>0.76724835481418519</v>
      </c>
      <c r="AC539" s="22">
        <f t="shared" si="121"/>
        <v>0.76966726525164153</v>
      </c>
      <c r="AD539" s="22">
        <f t="shared" si="121"/>
        <v>0.77123981630413885</v>
      </c>
      <c r="AE539" s="22">
        <f t="shared" si="121"/>
        <v>0.7729717745117366</v>
      </c>
      <c r="AF539" s="22">
        <f t="shared" si="121"/>
        <v>0.77483635735979484</v>
      </c>
      <c r="AG539" s="22">
        <f t="shared" si="121"/>
        <v>0.77685363069924696</v>
      </c>
      <c r="AH539" s="22">
        <f t="shared" si="121"/>
        <v>0.7789061253482048</v>
      </c>
      <c r="AI539" s="22">
        <f t="shared" si="121"/>
        <v>0.78012107515728923</v>
      </c>
      <c r="AJ539" s="22">
        <f t="shared" si="121"/>
        <v>0.78145074369480261</v>
      </c>
      <c r="AK539" s="22">
        <f t="shared" si="121"/>
        <v>0.7828593435343304</v>
      </c>
      <c r="AL539" s="22">
        <f t="shared" si="121"/>
        <v>0.78436534735883467</v>
      </c>
      <c r="AM539" s="22">
        <f t="shared" si="121"/>
        <v>0.78595438278227181</v>
      </c>
      <c r="AN539" s="22">
        <f t="shared" si="121"/>
        <v>0.78680169998206073</v>
      </c>
      <c r="AO539" s="22">
        <f t="shared" si="121"/>
        <v>0.78771028208261162</v>
      </c>
      <c r="AP539" s="22">
        <f t="shared" si="121"/>
        <v>0.78869414542587013</v>
      </c>
      <c r="AQ539" s="22">
        <f t="shared" si="121"/>
        <v>0.78975510213576938</v>
      </c>
      <c r="AR539" s="22">
        <f t="shared" si="121"/>
        <v>0.79089245177101786</v>
      </c>
      <c r="AS539" s="22">
        <f t="shared" si="121"/>
        <v>0.79127935129009708</v>
      </c>
      <c r="AT539" s="22">
        <f t="shared" si="121"/>
        <v>0.7916151974997605</v>
      </c>
      <c r="AU539" s="22">
        <f t="shared" si="121"/>
        <v>0.79200195212614188</v>
      </c>
      <c r="AV539" s="22">
        <f t="shared" si="121"/>
        <v>0.79244958629193585</v>
      </c>
      <c r="AW539" s="22">
        <f t="shared" si="121"/>
        <v>0.79295116872451854</v>
      </c>
      <c r="AY539" s="79"/>
    </row>
    <row r="540" spans="1:51" x14ac:dyDescent="0.2">
      <c r="A540" s="95" t="str">
        <f t="shared" si="108"/>
        <v>PQ U&amp;D</v>
      </c>
      <c r="B540" s="95" t="s">
        <v>968</v>
      </c>
      <c r="C540" s="95" t="s">
        <v>1336</v>
      </c>
      <c r="D540" t="s">
        <v>369</v>
      </c>
      <c r="E540" t="s">
        <v>55</v>
      </c>
      <c r="F540" t="s">
        <v>422</v>
      </c>
      <c r="G540" t="s">
        <v>1170</v>
      </c>
      <c r="H540" t="s">
        <v>1249</v>
      </c>
      <c r="I540" t="s">
        <v>139</v>
      </c>
      <c r="J540" t="s">
        <v>287</v>
      </c>
      <c r="K540" s="22">
        <f t="shared" si="117"/>
        <v>1.1867254191644501</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1.2198688909683482</v>
      </c>
      <c r="R540" s="22">
        <f t="shared" si="121"/>
        <v>1.2278946750888551</v>
      </c>
      <c r="S540" s="22">
        <f t="shared" si="121"/>
        <v>1.2352679718224364</v>
      </c>
      <c r="T540" s="22">
        <f t="shared" si="121"/>
        <v>1.2388574156253576</v>
      </c>
      <c r="U540" s="22">
        <f t="shared" si="121"/>
        <v>1.2427154626616324</v>
      </c>
      <c r="V540" s="22">
        <f t="shared" si="121"/>
        <v>1.2468892934283116</v>
      </c>
      <c r="W540" s="22">
        <f t="shared" si="121"/>
        <v>1.2514247354427215</v>
      </c>
      <c r="X540" s="22">
        <f t="shared" si="121"/>
        <v>1.2562410877677852</v>
      </c>
      <c r="Y540" s="22">
        <f t="shared" si="121"/>
        <v>1.2592520681584702</v>
      </c>
      <c r="Z540" s="22">
        <f t="shared" si="121"/>
        <v>1.2625091516041205</v>
      </c>
      <c r="AA540" s="22">
        <f t="shared" si="121"/>
        <v>1.2659931817790702</v>
      </c>
      <c r="AB540" s="22">
        <f t="shared" si="121"/>
        <v>1.2697804423904187</v>
      </c>
      <c r="AC540" s="22">
        <f t="shared" si="121"/>
        <v>1.2737836900299913</v>
      </c>
      <c r="AD540" s="22">
        <f t="shared" si="121"/>
        <v>1.2763862300792366</v>
      </c>
      <c r="AE540" s="22">
        <f t="shared" si="121"/>
        <v>1.2792525857321959</v>
      </c>
      <c r="AF540" s="22">
        <f t="shared" si="121"/>
        <v>1.2823384324711629</v>
      </c>
      <c r="AG540" s="22">
        <f t="shared" si="121"/>
        <v>1.2856769788718418</v>
      </c>
      <c r="AH540" s="22">
        <f t="shared" si="121"/>
        <v>1.2890738158243156</v>
      </c>
      <c r="AI540" s="22">
        <f t="shared" si="121"/>
        <v>1.2910845330795322</v>
      </c>
      <c r="AJ540" s="22">
        <f t="shared" si="121"/>
        <v>1.2932851075000604</v>
      </c>
      <c r="AK540" s="22">
        <f t="shared" si="121"/>
        <v>1.2956163116221209</v>
      </c>
      <c r="AL540" s="22">
        <f t="shared" si="121"/>
        <v>1.2981087173607861</v>
      </c>
      <c r="AM540" s="22">
        <f t="shared" si="121"/>
        <v>1.3007385387090959</v>
      </c>
      <c r="AN540" s="22">
        <f t="shared" si="121"/>
        <v>1.3021408314635115</v>
      </c>
      <c r="AO540" s="22">
        <f t="shared" si="121"/>
        <v>1.303644516384237</v>
      </c>
      <c r="AP540" s="22">
        <f t="shared" si="121"/>
        <v>1.3052727902324839</v>
      </c>
      <c r="AQ540" s="22">
        <f t="shared" si="121"/>
        <v>1.3070286520365533</v>
      </c>
      <c r="AR540" s="22">
        <f t="shared" si="121"/>
        <v>1.308910942580334</v>
      </c>
      <c r="AS540" s="22">
        <f t="shared" si="121"/>
        <v>1.3095512534254661</v>
      </c>
      <c r="AT540" s="22">
        <f t="shared" si="121"/>
        <v>1.3101070720805417</v>
      </c>
      <c r="AU540" s="22">
        <f t="shared" si="121"/>
        <v>1.310747143131201</v>
      </c>
      <c r="AV540" s="22">
        <f t="shared" si="121"/>
        <v>1.3114879685829661</v>
      </c>
      <c r="AW540" s="22">
        <f t="shared" si="121"/>
        <v>1.312318077320435</v>
      </c>
      <c r="AY540" s="79"/>
    </row>
    <row r="541" spans="1:51" x14ac:dyDescent="0.2">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0.19368291106027899</v>
      </c>
      <c r="P541" s="22">
        <f t="shared" si="121"/>
        <v>0.19253602379697463</v>
      </c>
      <c r="Q541" s="22">
        <f t="shared" si="121"/>
        <v>0.19190012409058904</v>
      </c>
      <c r="R541" s="22">
        <f t="shared" si="121"/>
        <v>0.19132863754616405</v>
      </c>
      <c r="S541" s="22">
        <f t="shared" si="121"/>
        <v>0.18119977029128689</v>
      </c>
      <c r="T541" s="22">
        <f t="shared" si="121"/>
        <v>0.18372263045933149</v>
      </c>
      <c r="U541" s="22">
        <f t="shared" si="121"/>
        <v>0.18542569851972082</v>
      </c>
      <c r="V541" s="22">
        <f t="shared" si="121"/>
        <v>0.18690586811212617</v>
      </c>
      <c r="W541" s="22">
        <f t="shared" si="121"/>
        <v>0.18871846813186952</v>
      </c>
      <c r="X541" s="22">
        <f t="shared" si="121"/>
        <v>0.19032856308746704</v>
      </c>
      <c r="Y541" s="22">
        <f t="shared" si="121"/>
        <v>0.19181155412665482</v>
      </c>
      <c r="Z541" s="22">
        <f t="shared" si="121"/>
        <v>0.19316694252651395</v>
      </c>
      <c r="AA541" s="22">
        <f t="shared" si="121"/>
        <v>0.19434817692528195</v>
      </c>
      <c r="AB541" s="22">
        <f t="shared" si="121"/>
        <v>0.19609130445368728</v>
      </c>
      <c r="AC541" s="22">
        <f t="shared" si="121"/>
        <v>0.19775823400143536</v>
      </c>
      <c r="AD541" s="22">
        <f t="shared" si="121"/>
        <v>0.19979376823512379</v>
      </c>
      <c r="AE541" s="22">
        <f t="shared" si="121"/>
        <v>0.2023779928594536</v>
      </c>
      <c r="AF541" s="22">
        <f t="shared" si="121"/>
        <v>0.20521413875451175</v>
      </c>
      <c r="AG541" s="22">
        <f t="shared" si="121"/>
        <v>0.20863865671050874</v>
      </c>
      <c r="AH541" s="22">
        <f t="shared" si="121"/>
        <v>0.21111219620408483</v>
      </c>
      <c r="AI541" s="22">
        <f t="shared" si="121"/>
        <v>0.21359919528074695</v>
      </c>
      <c r="AJ541" s="22">
        <f t="shared" si="121"/>
        <v>0.21637994777249434</v>
      </c>
      <c r="AK541" s="22">
        <f t="shared" si="121"/>
        <v>0.21901936705190489</v>
      </c>
      <c r="AL541" s="22">
        <f t="shared" si="121"/>
        <v>0.22181322909338433</v>
      </c>
      <c r="AM541" s="22">
        <f t="shared" si="121"/>
        <v>0.22460946011468219</v>
      </c>
      <c r="AN541" s="22">
        <f t="shared" si="121"/>
        <v>0.22803030127957039</v>
      </c>
      <c r="AO541" s="22">
        <f t="shared" si="121"/>
        <v>0.23127378160095582</v>
      </c>
      <c r="AP541" s="22">
        <f t="shared" si="121"/>
        <v>0.23456525375289961</v>
      </c>
      <c r="AQ541" s="22">
        <f t="shared" si="121"/>
        <v>0.23796293573474386</v>
      </c>
      <c r="AR541" s="22">
        <f t="shared" si="121"/>
        <v>0.24148877503172564</v>
      </c>
      <c r="AS541" s="22">
        <f t="shared" si="121"/>
        <v>0.24576012405635958</v>
      </c>
      <c r="AT541" s="22">
        <f t="shared" si="121"/>
        <v>0.24853256796744563</v>
      </c>
      <c r="AU541" s="22">
        <f t="shared" si="121"/>
        <v>0.25120157665253162</v>
      </c>
      <c r="AV541" s="22">
        <f t="shared" si="121"/>
        <v>0.25392762754999298</v>
      </c>
      <c r="AW541" s="22">
        <f t="shared" si="121"/>
        <v>0.25664306300563272</v>
      </c>
      <c r="AY541" s="79"/>
    </row>
    <row r="542" spans="1:51" x14ac:dyDescent="0.2">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2">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2">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2">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2">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2">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2">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2">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2">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2">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2">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2">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2">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2">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2">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2">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2">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2">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0.66038869625937391</v>
      </c>
      <c r="U559" s="22">
        <f t="shared" si="123"/>
        <v>0.66020342469478921</v>
      </c>
      <c r="V559" s="22">
        <f t="shared" si="123"/>
        <v>0.66005840725031206</v>
      </c>
      <c r="W559" s="22">
        <f t="shared" si="123"/>
        <v>0.65992416571177226</v>
      </c>
      <c r="X559" s="22">
        <f t="shared" si="123"/>
        <v>0.65977411232427086</v>
      </c>
      <c r="Y559" s="22">
        <f t="shared" si="123"/>
        <v>0.65963380636148372</v>
      </c>
      <c r="Z559" s="22">
        <f t="shared" ref="L559:AW566" si="124">Z1510</f>
        <v>0.65950885900535394</v>
      </c>
      <c r="AA559" s="22">
        <f t="shared" si="124"/>
        <v>0.65938996649107751</v>
      </c>
      <c r="AB559" s="22">
        <f t="shared" si="124"/>
        <v>0.65927919026350434</v>
      </c>
      <c r="AC559" s="22">
        <f t="shared" si="124"/>
        <v>0.65914248070564796</v>
      </c>
      <c r="AD559" s="22">
        <f t="shared" si="124"/>
        <v>0.65900953819081531</v>
      </c>
      <c r="AE559" s="22">
        <f t="shared" si="124"/>
        <v>0.65886770470789013</v>
      </c>
      <c r="AF559" s="22">
        <f t="shared" si="124"/>
        <v>0.65870194021035933</v>
      </c>
      <c r="AG559" s="22">
        <f t="shared" si="124"/>
        <v>0.65852622329414567</v>
      </c>
      <c r="AH559" s="22">
        <f t="shared" si="124"/>
        <v>0.65832642389355089</v>
      </c>
      <c r="AI559" s="22">
        <f t="shared" si="124"/>
        <v>0.6581693318477011</v>
      </c>
      <c r="AJ559" s="22">
        <f t="shared" si="124"/>
        <v>0.65801985919199812</v>
      </c>
      <c r="AK559" s="22">
        <f t="shared" si="124"/>
        <v>0.65785915117586091</v>
      </c>
      <c r="AL559" s="22">
        <f t="shared" si="124"/>
        <v>0.65770555695996225</v>
      </c>
      <c r="AM559" s="22">
        <f t="shared" si="124"/>
        <v>0.65754680730045456</v>
      </c>
      <c r="AN559" s="22">
        <f t="shared" si="124"/>
        <v>0.65738921443316178</v>
      </c>
      <c r="AO559" s="22">
        <f t="shared" si="124"/>
        <v>0.65721499435540864</v>
      </c>
      <c r="AP559" s="22">
        <f t="shared" si="124"/>
        <v>0.65704963238558323</v>
      </c>
      <c r="AQ559" s="22">
        <f t="shared" si="124"/>
        <v>0.65688413494168396</v>
      </c>
      <c r="AR559" s="22">
        <f t="shared" si="124"/>
        <v>0.65671634182939487</v>
      </c>
      <c r="AS559" s="22">
        <f t="shared" si="124"/>
        <v>0.65654557216665388</v>
      </c>
      <c r="AT559" s="22">
        <f t="shared" si="124"/>
        <v>0.65635649622881898</v>
      </c>
      <c r="AU559" s="22">
        <f t="shared" si="124"/>
        <v>0.65622389108641888</v>
      </c>
      <c r="AV559" s="22">
        <f t="shared" si="124"/>
        <v>0.65609603440705455</v>
      </c>
      <c r="AW559" s="22">
        <f t="shared" si="124"/>
        <v>0.65596714127254918</v>
      </c>
      <c r="AY559" s="79"/>
    </row>
    <row r="560" spans="1:51" x14ac:dyDescent="0.2">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8.7171307906237401E-3</v>
      </c>
      <c r="U560" s="22">
        <f t="shared" si="124"/>
        <v>8.714685205971219E-3</v>
      </c>
      <c r="V560" s="22">
        <f t="shared" si="124"/>
        <v>8.7127709757041216E-3</v>
      </c>
      <c r="W560" s="22">
        <f t="shared" si="124"/>
        <v>8.7109989873953957E-3</v>
      </c>
      <c r="X560" s="22">
        <f t="shared" si="124"/>
        <v>8.7090182826803763E-3</v>
      </c>
      <c r="Y560" s="22">
        <f t="shared" si="124"/>
        <v>8.7071662439715883E-3</v>
      </c>
      <c r="Z560" s="22">
        <f t="shared" si="124"/>
        <v>8.7055169388706739E-3</v>
      </c>
      <c r="AA560" s="22">
        <f t="shared" si="124"/>
        <v>8.7039475576822217E-3</v>
      </c>
      <c r="AB560" s="22">
        <f t="shared" si="124"/>
        <v>8.7024853114782592E-3</v>
      </c>
      <c r="AC560" s="22">
        <f t="shared" si="124"/>
        <v>8.7006807453145554E-3</v>
      </c>
      <c r="AD560" s="22">
        <f t="shared" si="124"/>
        <v>8.6989259041187622E-3</v>
      </c>
      <c r="AE560" s="22">
        <f t="shared" si="124"/>
        <v>8.6970537021441498E-3</v>
      </c>
      <c r="AF560" s="22">
        <f t="shared" si="124"/>
        <v>8.6948656107767464E-3</v>
      </c>
      <c r="AG560" s="22">
        <f t="shared" si="124"/>
        <v>8.6925461474827246E-3</v>
      </c>
      <c r="AH560" s="22">
        <f t="shared" si="124"/>
        <v>8.6899087953948712E-3</v>
      </c>
      <c r="AI560" s="22">
        <f t="shared" si="124"/>
        <v>8.6878351803896525E-3</v>
      </c>
      <c r="AJ560" s="22">
        <f t="shared" si="124"/>
        <v>8.685862141334379E-3</v>
      </c>
      <c r="AK560" s="22">
        <f t="shared" si="124"/>
        <v>8.6837407955213629E-3</v>
      </c>
      <c r="AL560" s="22">
        <f t="shared" si="124"/>
        <v>8.681713351871503E-3</v>
      </c>
      <c r="AM560" s="22">
        <f t="shared" si="124"/>
        <v>8.679617856366003E-3</v>
      </c>
      <c r="AN560" s="22">
        <f t="shared" si="124"/>
        <v>8.677537630517736E-3</v>
      </c>
      <c r="AO560" s="22">
        <f t="shared" si="124"/>
        <v>8.6752379254913976E-3</v>
      </c>
      <c r="AP560" s="22">
        <f t="shared" si="124"/>
        <v>8.6730551474897017E-3</v>
      </c>
      <c r="AQ560" s="22">
        <f t="shared" si="124"/>
        <v>8.6708705812302295E-3</v>
      </c>
      <c r="AR560" s="22">
        <f t="shared" si="124"/>
        <v>8.6686557121480167E-3</v>
      </c>
      <c r="AS560" s="22">
        <f t="shared" si="124"/>
        <v>8.6664015525998329E-3</v>
      </c>
      <c r="AT560" s="22">
        <f t="shared" si="124"/>
        <v>8.6639057502204114E-3</v>
      </c>
      <c r="AU560" s="22">
        <f t="shared" si="124"/>
        <v>8.6621553623407298E-3</v>
      </c>
      <c r="AV560" s="22">
        <f t="shared" si="124"/>
        <v>8.66046765417312E-3</v>
      </c>
      <c r="AW560" s="22">
        <f t="shared" si="124"/>
        <v>8.6587662647976526E-3</v>
      </c>
      <c r="AY560" s="79"/>
    </row>
    <row r="561" spans="1:51" x14ac:dyDescent="0.2">
      <c r="A561" s="95" t="str">
        <f t="shared" si="108"/>
        <v>PQ Volatilisation</v>
      </c>
      <c r="B561" s="95" t="s">
        <v>968</v>
      </c>
      <c r="C561" s="95" t="s">
        <v>62</v>
      </c>
      <c r="D561" t="s">
        <v>369</v>
      </c>
      <c r="E561" t="s">
        <v>61</v>
      </c>
      <c r="F561" t="s">
        <v>62</v>
      </c>
      <c r="G561" t="s">
        <v>437</v>
      </c>
      <c r="H561" t="s">
        <v>1186</v>
      </c>
      <c r="I561" t="s">
        <v>139</v>
      </c>
      <c r="J561" t="s">
        <v>287</v>
      </c>
      <c r="K561" s="22">
        <f t="shared" si="117"/>
        <v>1.2008407282256135</v>
      </c>
      <c r="L561" s="22">
        <f t="shared" si="124"/>
        <v>1.2019035107607596</v>
      </c>
      <c r="M561" s="22">
        <f t="shared" si="124"/>
        <v>1.2088775122881088</v>
      </c>
      <c r="N561" s="22">
        <f t="shared" si="124"/>
        <v>1.2055442230548155</v>
      </c>
      <c r="O561" s="22">
        <f t="shared" si="124"/>
        <v>1.1958435838326282</v>
      </c>
      <c r="P561" s="22">
        <f t="shared" si="124"/>
        <v>1.1799964998501222</v>
      </c>
      <c r="Q561" s="22">
        <f t="shared" si="124"/>
        <v>1.169776622170569</v>
      </c>
      <c r="R561" s="22">
        <f t="shared" si="124"/>
        <v>1.1606871439933113</v>
      </c>
      <c r="S561" s="22">
        <f t="shared" si="124"/>
        <v>1.0581466820913914</v>
      </c>
      <c r="T561" s="22">
        <f t="shared" si="124"/>
        <v>1.0811007370653605</v>
      </c>
      <c r="U561" s="22">
        <f t="shared" si="124"/>
        <v>1.0962373736212656</v>
      </c>
      <c r="V561" s="22">
        <f t="shared" si="124"/>
        <v>1.1094295908986627</v>
      </c>
      <c r="W561" s="22">
        <f t="shared" si="124"/>
        <v>1.1260819451253103</v>
      </c>
      <c r="X561" s="22">
        <f t="shared" si="124"/>
        <v>1.1409777774824073</v>
      </c>
      <c r="Y561" s="22">
        <f t="shared" si="124"/>
        <v>1.1529726027889684</v>
      </c>
      <c r="Z561" s="22">
        <f t="shared" si="124"/>
        <v>1.1639042106537316</v>
      </c>
      <c r="AA561" s="22">
        <f t="shared" si="124"/>
        <v>1.1733291691179792</v>
      </c>
      <c r="AB561" s="22">
        <f t="shared" si="124"/>
        <v>1.1883113875074136</v>
      </c>
      <c r="AC561" s="22">
        <f t="shared" si="124"/>
        <v>1.2027019182394856</v>
      </c>
      <c r="AD561" s="22">
        <f t="shared" si="124"/>
        <v>1.2149899149490335</v>
      </c>
      <c r="AE561" s="22">
        <f t="shared" si="124"/>
        <v>1.2323877476985694</v>
      </c>
      <c r="AF561" s="22">
        <f t="shared" si="124"/>
        <v>1.2520054927946573</v>
      </c>
      <c r="AG561" s="22">
        <f t="shared" si="124"/>
        <v>1.2769207481959246</v>
      </c>
      <c r="AH561" s="22">
        <f t="shared" si="124"/>
        <v>1.2928179151571899</v>
      </c>
      <c r="AI561" s="22">
        <f t="shared" si="124"/>
        <v>1.3071721599558817</v>
      </c>
      <c r="AJ561" s="22">
        <f t="shared" si="124"/>
        <v>1.3240396401072183</v>
      </c>
      <c r="AK561" s="22">
        <f t="shared" si="124"/>
        <v>1.3394377409062461</v>
      </c>
      <c r="AL561" s="22">
        <f t="shared" si="124"/>
        <v>1.3560429960988876</v>
      </c>
      <c r="AM561" s="22">
        <f t="shared" si="124"/>
        <v>1.3724754415260532</v>
      </c>
      <c r="AN561" s="22">
        <f t="shared" si="124"/>
        <v>1.3952859972976908</v>
      </c>
      <c r="AO561" s="22">
        <f t="shared" si="124"/>
        <v>1.4163366526625445</v>
      </c>
      <c r="AP561" s="22">
        <f t="shared" si="124"/>
        <v>1.4376236961609334</v>
      </c>
      <c r="AQ561" s="22">
        <f t="shared" si="124"/>
        <v>1.4596469584782656</v>
      </c>
      <c r="AR561" s="22">
        <f t="shared" si="124"/>
        <v>1.4825821629092799</v>
      </c>
      <c r="AS561" s="22">
        <f t="shared" si="124"/>
        <v>1.5100637913409878</v>
      </c>
      <c r="AT561" s="22">
        <f t="shared" si="124"/>
        <v>1.5244988187348365</v>
      </c>
      <c r="AU561" s="22">
        <f t="shared" si="124"/>
        <v>1.5379134396371121</v>
      </c>
      <c r="AV561" s="22">
        <f t="shared" si="124"/>
        <v>1.5516700859590873</v>
      </c>
      <c r="AW561" s="22">
        <f t="shared" si="124"/>
        <v>1.5651983516984527</v>
      </c>
      <c r="AY561" s="79"/>
    </row>
    <row r="562" spans="1:51" x14ac:dyDescent="0.2">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4.3473821211305586</v>
      </c>
      <c r="O562" s="22">
        <f t="shared" si="124"/>
        <v>4.3052096453824609</v>
      </c>
      <c r="P562" s="22">
        <f t="shared" si="124"/>
        <v>4.2496956169043703</v>
      </c>
      <c r="Q562" s="22">
        <f t="shared" si="124"/>
        <v>4.2083609134426787</v>
      </c>
      <c r="R562" s="22">
        <f t="shared" si="124"/>
        <v>4.1703852155628214</v>
      </c>
      <c r="S562" s="22">
        <f t="shared" si="124"/>
        <v>3.918985241839104</v>
      </c>
      <c r="T562" s="22">
        <f t="shared" si="124"/>
        <v>3.962647023266995</v>
      </c>
      <c r="U562" s="22">
        <f t="shared" si="124"/>
        <v>3.988397466462279</v>
      </c>
      <c r="V562" s="22">
        <f t="shared" si="124"/>
        <v>4.0097420759989726</v>
      </c>
      <c r="W562" s="22">
        <f t="shared" si="124"/>
        <v>4.0388232265836717</v>
      </c>
      <c r="X562" s="22">
        <f t="shared" si="124"/>
        <v>4.063881936096621</v>
      </c>
      <c r="Y562" s="22">
        <f t="shared" si="124"/>
        <v>4.0803176241982966</v>
      </c>
      <c r="Z562" s="22">
        <f t="shared" si="124"/>
        <v>4.0943719762440898</v>
      </c>
      <c r="AA562" s="22">
        <f t="shared" si="124"/>
        <v>4.1051027315234014</v>
      </c>
      <c r="AB562" s="22">
        <f t="shared" si="124"/>
        <v>4.1278786035109292</v>
      </c>
      <c r="AC562" s="22">
        <f t="shared" si="124"/>
        <v>4.149204796729399</v>
      </c>
      <c r="AD562" s="22">
        <f t="shared" si="124"/>
        <v>4.1548667718492807</v>
      </c>
      <c r="AE562" s="22">
        <f t="shared" si="124"/>
        <v>4.1707310137254909</v>
      </c>
      <c r="AF562" s="22">
        <f t="shared" si="124"/>
        <v>4.1903910179403239</v>
      </c>
      <c r="AG562" s="22">
        <f t="shared" si="124"/>
        <v>4.2200248954303605</v>
      </c>
      <c r="AH562" s="22">
        <f t="shared" si="124"/>
        <v>4.2299973767021726</v>
      </c>
      <c r="AI562" s="22">
        <f t="shared" si="124"/>
        <v>4.2344058167490939</v>
      </c>
      <c r="AJ562" s="22">
        <f t="shared" si="124"/>
        <v>4.2430165616646569</v>
      </c>
      <c r="AK562" s="22">
        <f t="shared" si="124"/>
        <v>4.2477733537700137</v>
      </c>
      <c r="AL562" s="22">
        <f t="shared" si="124"/>
        <v>4.2539691533655395</v>
      </c>
      <c r="AM562" s="22">
        <f t="shared" si="124"/>
        <v>4.2588371425380025</v>
      </c>
      <c r="AN562" s="22">
        <f t="shared" si="124"/>
        <v>4.2797220284315198</v>
      </c>
      <c r="AO562" s="22">
        <f t="shared" si="124"/>
        <v>4.2963498578029604</v>
      </c>
      <c r="AP562" s="22">
        <f t="shared" si="124"/>
        <v>4.3125285701488281</v>
      </c>
      <c r="AQ562" s="22">
        <f t="shared" si="124"/>
        <v>4.3291488784909324</v>
      </c>
      <c r="AR562" s="22">
        <f t="shared" si="124"/>
        <v>4.3464700481298193</v>
      </c>
      <c r="AS562" s="22">
        <f t="shared" si="124"/>
        <v>4.3694873280939213</v>
      </c>
      <c r="AT562" s="22">
        <f t="shared" si="124"/>
        <v>4.3680189479011426</v>
      </c>
      <c r="AU562" s="22">
        <f t="shared" si="124"/>
        <v>4.3640461344633534</v>
      </c>
      <c r="AV562" s="22">
        <f t="shared" si="124"/>
        <v>4.3599917873846739</v>
      </c>
      <c r="AW562" s="22">
        <f t="shared" si="124"/>
        <v>4.3548399908669477</v>
      </c>
      <c r="AY562" s="79"/>
    </row>
    <row r="563" spans="1:51" x14ac:dyDescent="0.2">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2.27834100209484E-4</v>
      </c>
      <c r="U563" s="22">
        <f t="shared" si="124"/>
        <v>2.2777018151970223E-4</v>
      </c>
      <c r="V563" s="22">
        <f t="shared" si="124"/>
        <v>2.2772015050135763E-4</v>
      </c>
      <c r="W563" s="22">
        <f t="shared" si="124"/>
        <v>2.276738371705614E-4</v>
      </c>
      <c r="X563" s="22">
        <f t="shared" si="124"/>
        <v>2.2762206875187344E-4</v>
      </c>
      <c r="Y563" s="22">
        <f t="shared" si="124"/>
        <v>2.2757366319471181E-4</v>
      </c>
      <c r="Z563" s="22">
        <f t="shared" si="124"/>
        <v>2.2753055635684708E-4</v>
      </c>
      <c r="AA563" s="22">
        <f t="shared" si="124"/>
        <v>2.2748953843942165E-4</v>
      </c>
      <c r="AB563" s="22">
        <f t="shared" si="124"/>
        <v>2.2745132064090905E-4</v>
      </c>
      <c r="AC563" s="22">
        <f t="shared" si="124"/>
        <v>2.2740415584344853E-4</v>
      </c>
      <c r="AD563" s="22">
        <f t="shared" si="124"/>
        <v>2.2735829067583124E-4</v>
      </c>
      <c r="AE563" s="22">
        <f t="shared" si="124"/>
        <v>2.2730935812422204E-4</v>
      </c>
      <c r="AF563" s="22">
        <f t="shared" si="124"/>
        <v>2.2725216937257396E-4</v>
      </c>
      <c r="AG563" s="22">
        <f t="shared" si="124"/>
        <v>2.2719154703648017E-4</v>
      </c>
      <c r="AH563" s="22">
        <f t="shared" si="124"/>
        <v>2.2712261624327501E-4</v>
      </c>
      <c r="AI563" s="22">
        <f t="shared" si="124"/>
        <v>2.2706841948745679E-4</v>
      </c>
      <c r="AJ563" s="22">
        <f t="shared" si="124"/>
        <v>2.2701685142123931E-4</v>
      </c>
      <c r="AK563" s="22">
        <f t="shared" si="124"/>
        <v>2.26961407155672E-4</v>
      </c>
      <c r="AL563" s="22">
        <f t="shared" si="124"/>
        <v>2.2690841715118691E-4</v>
      </c>
      <c r="AM563" s="22">
        <f t="shared" si="124"/>
        <v>2.268536485186568E-4</v>
      </c>
      <c r="AN563" s="22">
        <f t="shared" si="124"/>
        <v>2.267992789794407E-4</v>
      </c>
      <c r="AO563" s="22">
        <f t="shared" si="124"/>
        <v>2.2673917305261599E-4</v>
      </c>
      <c r="AP563" s="22">
        <f t="shared" si="124"/>
        <v>2.2668212317302622E-4</v>
      </c>
      <c r="AQ563" s="22">
        <f t="shared" si="124"/>
        <v>2.2662502655488093E-4</v>
      </c>
      <c r="AR563" s="22">
        <f t="shared" si="124"/>
        <v>2.2656713793114123E-4</v>
      </c>
      <c r="AS563" s="22">
        <f t="shared" si="124"/>
        <v>2.2650822239749554E-4</v>
      </c>
      <c r="AT563" s="22">
        <f t="shared" si="124"/>
        <v>2.2644299119894249E-4</v>
      </c>
      <c r="AU563" s="22">
        <f t="shared" si="124"/>
        <v>2.2639724242481442E-4</v>
      </c>
      <c r="AV563" s="22">
        <f t="shared" si="124"/>
        <v>2.2635313187043375E-4</v>
      </c>
      <c r="AW563" s="22">
        <f t="shared" si="124"/>
        <v>2.2630866373902947E-4</v>
      </c>
      <c r="AY563" s="79"/>
    </row>
    <row r="564" spans="1:51" x14ac:dyDescent="0.2">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1.5037050613825948E-6</v>
      </c>
      <c r="U564" s="22">
        <f t="shared" si="124"/>
        <v>1.5032831980300348E-6</v>
      </c>
      <c r="V564" s="22">
        <f t="shared" si="124"/>
        <v>1.5029529933089607E-6</v>
      </c>
      <c r="W564" s="22">
        <f t="shared" si="124"/>
        <v>1.5026473253257052E-6</v>
      </c>
      <c r="X564" s="22">
        <f t="shared" si="124"/>
        <v>1.5023056537623651E-6</v>
      </c>
      <c r="Y564" s="22">
        <f t="shared" si="124"/>
        <v>1.5019861770850986E-6</v>
      </c>
      <c r="Z564" s="22">
        <f t="shared" si="124"/>
        <v>1.501701671955191E-6</v>
      </c>
      <c r="AA564" s="22">
        <f t="shared" si="124"/>
        <v>1.5014309537001836E-6</v>
      </c>
      <c r="AB564" s="22">
        <f t="shared" si="124"/>
        <v>1.5011787162299995E-6</v>
      </c>
      <c r="AC564" s="22">
        <f t="shared" si="124"/>
        <v>1.5008674285667609E-6</v>
      </c>
      <c r="AD564" s="22">
        <f t="shared" si="124"/>
        <v>1.5005647184604863E-6</v>
      </c>
      <c r="AE564" s="22">
        <f t="shared" si="124"/>
        <v>1.5002417636198659E-6</v>
      </c>
      <c r="AF564" s="22">
        <f t="shared" si="124"/>
        <v>1.4998643178589887E-6</v>
      </c>
      <c r="AG564" s="22">
        <f t="shared" si="124"/>
        <v>1.4994642104407695E-6</v>
      </c>
      <c r="AH564" s="22">
        <f t="shared" si="124"/>
        <v>1.4990092672056151E-6</v>
      </c>
      <c r="AI564" s="22">
        <f t="shared" si="124"/>
        <v>1.4986515686172149E-6</v>
      </c>
      <c r="AJ564" s="22">
        <f t="shared" si="124"/>
        <v>1.49831121938018E-6</v>
      </c>
      <c r="AK564" s="22">
        <f t="shared" si="124"/>
        <v>1.4979452872274355E-6</v>
      </c>
      <c r="AL564" s="22">
        <f t="shared" si="124"/>
        <v>1.497595553197834E-6</v>
      </c>
      <c r="AM564" s="22">
        <f t="shared" si="124"/>
        <v>1.4972340802231352E-6</v>
      </c>
      <c r="AN564" s="22">
        <f t="shared" si="124"/>
        <v>1.4968752412643093E-6</v>
      </c>
      <c r="AO564" s="22">
        <f t="shared" si="124"/>
        <v>1.4964785421472656E-6</v>
      </c>
      <c r="AP564" s="22">
        <f t="shared" si="124"/>
        <v>1.4961020129419735E-6</v>
      </c>
      <c r="AQ564" s="22">
        <f t="shared" si="124"/>
        <v>1.4957251752622144E-6</v>
      </c>
      <c r="AR564" s="22">
        <f t="shared" si="124"/>
        <v>1.4953431103455323E-6</v>
      </c>
      <c r="AS564" s="22">
        <f t="shared" si="124"/>
        <v>1.4949542678234709E-6</v>
      </c>
      <c r="AT564" s="22">
        <f t="shared" si="124"/>
        <v>1.4945237419130207E-6</v>
      </c>
      <c r="AU564" s="22">
        <f t="shared" si="124"/>
        <v>1.4942218000037758E-6</v>
      </c>
      <c r="AV564" s="22">
        <f t="shared" si="124"/>
        <v>1.4939306703448634E-6</v>
      </c>
      <c r="AW564" s="22">
        <f t="shared" si="124"/>
        <v>1.4936371806775946E-6</v>
      </c>
      <c r="AY564" s="79"/>
    </row>
    <row r="565" spans="1:51" x14ac:dyDescent="0.2">
      <c r="A565" s="95" t="str">
        <f t="shared" si="108"/>
        <v>PQ Leaching</v>
      </c>
      <c r="B565" s="95" t="s">
        <v>968</v>
      </c>
      <c r="C565" s="95" t="s">
        <v>1190</v>
      </c>
      <c r="D565" t="s">
        <v>369</v>
      </c>
      <c r="E565" t="s">
        <v>61</v>
      </c>
      <c r="F565" t="s">
        <v>63</v>
      </c>
      <c r="G565" t="s">
        <v>437</v>
      </c>
      <c r="H565" t="s">
        <v>1189</v>
      </c>
      <c r="I565" t="s">
        <v>139</v>
      </c>
      <c r="J565" t="s">
        <v>287</v>
      </c>
      <c r="K565" s="22">
        <f t="shared" si="117"/>
        <v>0.20714502561891829</v>
      </c>
      <c r="L565" s="22">
        <f t="shared" si="124"/>
        <v>0.20732835560623103</v>
      </c>
      <c r="M565" s="22">
        <f t="shared" si="124"/>
        <v>0.20853137086969875</v>
      </c>
      <c r="N565" s="22">
        <f t="shared" si="124"/>
        <v>0.20795637847695567</v>
      </c>
      <c r="O565" s="22">
        <f t="shared" si="124"/>
        <v>0.20628301821112838</v>
      </c>
      <c r="P565" s="22">
        <f t="shared" si="124"/>
        <v>0.20354939622414608</v>
      </c>
      <c r="Q565" s="22">
        <f t="shared" si="124"/>
        <v>0.20178646732442315</v>
      </c>
      <c r="R565" s="22">
        <f t="shared" si="124"/>
        <v>0.20021853233884618</v>
      </c>
      <c r="S565" s="22">
        <f t="shared" si="124"/>
        <v>0.182530302660765</v>
      </c>
      <c r="T565" s="22">
        <f t="shared" si="124"/>
        <v>0.18648987714377463</v>
      </c>
      <c r="U565" s="22">
        <f t="shared" si="124"/>
        <v>0.18910094694966831</v>
      </c>
      <c r="V565" s="22">
        <f t="shared" si="124"/>
        <v>0.19137660443001928</v>
      </c>
      <c r="W565" s="22">
        <f t="shared" si="124"/>
        <v>0.19424913553411605</v>
      </c>
      <c r="X565" s="22">
        <f t="shared" si="124"/>
        <v>0.19681866661571523</v>
      </c>
      <c r="Y565" s="22">
        <f t="shared" si="124"/>
        <v>0.198887773981097</v>
      </c>
      <c r="Z565" s="22">
        <f t="shared" si="124"/>
        <v>0.20077347633776868</v>
      </c>
      <c r="AA565" s="22">
        <f t="shared" si="124"/>
        <v>0.20239928167285137</v>
      </c>
      <c r="AB565" s="22">
        <f t="shared" si="124"/>
        <v>0.20498371434502882</v>
      </c>
      <c r="AC565" s="22">
        <f t="shared" si="124"/>
        <v>0.20746608089631127</v>
      </c>
      <c r="AD565" s="22">
        <f t="shared" si="124"/>
        <v>0.20958576032870826</v>
      </c>
      <c r="AE565" s="22">
        <f t="shared" si="124"/>
        <v>0.2125868864780032</v>
      </c>
      <c r="AF565" s="22">
        <f t="shared" si="124"/>
        <v>0.21597094750707838</v>
      </c>
      <c r="AG565" s="22">
        <f t="shared" si="124"/>
        <v>0.22026882906379694</v>
      </c>
      <c r="AH565" s="22">
        <f t="shared" si="124"/>
        <v>0.22301109036461528</v>
      </c>
      <c r="AI565" s="22">
        <f t="shared" si="124"/>
        <v>0.2254871975923895</v>
      </c>
      <c r="AJ565" s="22">
        <f t="shared" si="124"/>
        <v>0.22839683791849513</v>
      </c>
      <c r="AK565" s="22">
        <f t="shared" si="124"/>
        <v>0.23105301030632744</v>
      </c>
      <c r="AL565" s="22">
        <f t="shared" si="124"/>
        <v>0.23391741682705808</v>
      </c>
      <c r="AM565" s="22">
        <f t="shared" si="124"/>
        <v>0.23675201366324419</v>
      </c>
      <c r="AN565" s="22">
        <f t="shared" si="124"/>
        <v>0.24068683453385165</v>
      </c>
      <c r="AO565" s="22">
        <f t="shared" si="124"/>
        <v>0.24431807258428889</v>
      </c>
      <c r="AP565" s="22">
        <f t="shared" si="124"/>
        <v>0.247990087587761</v>
      </c>
      <c r="AQ565" s="22">
        <f t="shared" si="124"/>
        <v>0.25178910033750079</v>
      </c>
      <c r="AR565" s="22">
        <f t="shared" si="124"/>
        <v>0.25574542310185078</v>
      </c>
      <c r="AS565" s="22">
        <f t="shared" si="124"/>
        <v>0.26048600400632033</v>
      </c>
      <c r="AT565" s="22">
        <f t="shared" si="124"/>
        <v>0.2629760462317593</v>
      </c>
      <c r="AU565" s="22">
        <f t="shared" si="124"/>
        <v>0.26529006833740182</v>
      </c>
      <c r="AV565" s="22">
        <f t="shared" si="124"/>
        <v>0.26766308982794251</v>
      </c>
      <c r="AW565" s="22">
        <f t="shared" si="124"/>
        <v>0.26999671566798311</v>
      </c>
      <c r="AY565" s="79"/>
    </row>
    <row r="566" spans="1:51" x14ac:dyDescent="0.2">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2">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0.10241934435921343</v>
      </c>
      <c r="U567" s="22">
        <f t="shared" si="125"/>
        <v>0.10289653491421205</v>
      </c>
      <c r="V567" s="22">
        <f t="shared" si="125"/>
        <v>0.10327004584650011</v>
      </c>
      <c r="W567" s="22">
        <f t="shared" si="125"/>
        <v>0.10361580205805489</v>
      </c>
      <c r="X567" s="22">
        <f t="shared" si="125"/>
        <v>0.10400228370418145</v>
      </c>
      <c r="Y567" s="22">
        <f t="shared" si="125"/>
        <v>0.10436365961419813</v>
      </c>
      <c r="Z567" s="22">
        <f t="shared" si="125"/>
        <v>0.10468547747303018</v>
      </c>
      <c r="AA567" s="22">
        <f t="shared" si="125"/>
        <v>0.10499170031407964</v>
      </c>
      <c r="AB567" s="22">
        <f t="shared" si="125"/>
        <v>0.10527701862309623</v>
      </c>
      <c r="AC567" s="22">
        <f t="shared" si="125"/>
        <v>0.1056291315333171</v>
      </c>
      <c r="AD567" s="22">
        <f t="shared" si="125"/>
        <v>0.10597154194356044</v>
      </c>
      <c r="AE567" s="22">
        <f t="shared" si="125"/>
        <v>0.10633685217660206</v>
      </c>
      <c r="AF567" s="22">
        <f t="shared" si="125"/>
        <v>0.10676379979132655</v>
      </c>
      <c r="AG567" s="22">
        <f t="shared" si="125"/>
        <v>0.10721638113028523</v>
      </c>
      <c r="AH567" s="22">
        <f t="shared" si="125"/>
        <v>0.10773098998066055</v>
      </c>
      <c r="AI567" s="22">
        <f t="shared" si="125"/>
        <v>0.10813560058948724</v>
      </c>
      <c r="AJ567" s="22">
        <f t="shared" si="125"/>
        <v>0.10852058648676627</v>
      </c>
      <c r="AK567" s="22">
        <f t="shared" si="125"/>
        <v>0.10893451048846137</v>
      </c>
      <c r="AL567" s="22">
        <f t="shared" si="125"/>
        <v>0.10933011198993048</v>
      </c>
      <c r="AM567" s="22">
        <f t="shared" si="125"/>
        <v>0.10973899199424218</v>
      </c>
      <c r="AN567" s="22">
        <f t="shared" si="125"/>
        <v>0.11014489253259981</v>
      </c>
      <c r="AO567" s="22">
        <f t="shared" si="125"/>
        <v>0.11059361857310758</v>
      </c>
      <c r="AP567" s="22">
        <f t="shared" si="125"/>
        <v>0.11101952942636521</v>
      </c>
      <c r="AQ567" s="22">
        <f t="shared" si="125"/>
        <v>0.11144578921038648</v>
      </c>
      <c r="AR567" s="22">
        <f t="shared" si="125"/>
        <v>0.11187796178126933</v>
      </c>
      <c r="AS567" s="22">
        <f t="shared" si="125"/>
        <v>0.11231780083764567</v>
      </c>
      <c r="AT567" s="22">
        <f t="shared" si="125"/>
        <v>0.1128047900413833</v>
      </c>
      <c r="AU567" s="22">
        <f t="shared" si="125"/>
        <v>0.11314633150587833</v>
      </c>
      <c r="AV567" s="22">
        <f t="shared" si="125"/>
        <v>0.11347564269792666</v>
      </c>
      <c r="AW567" s="22">
        <f t="shared" si="125"/>
        <v>0.1138076234124414</v>
      </c>
      <c r="AY567" s="79"/>
    </row>
    <row r="568" spans="1:51" x14ac:dyDescent="0.2">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2">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2">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2">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2">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2">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2">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2">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2">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2">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2">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2">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2">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0.39831175345583053</v>
      </c>
      <c r="M580" s="22">
        <f t="shared" si="128"/>
        <v>0.40145358914715529</v>
      </c>
      <c r="N580" s="22">
        <f t="shared" si="128"/>
        <v>0.40347255325329029</v>
      </c>
      <c r="O580" s="22">
        <f t="shared" si="128"/>
        <v>0.40481416413578281</v>
      </c>
      <c r="P580" s="22">
        <f t="shared" si="128"/>
        <v>0.40546521734783814</v>
      </c>
      <c r="Q580" s="22">
        <f t="shared" si="128"/>
        <v>0.40690363619044922</v>
      </c>
      <c r="R580" s="22">
        <f t="shared" si="128"/>
        <v>0.40855374420631185</v>
      </c>
      <c r="S580" s="22">
        <f t="shared" si="128"/>
        <v>0.39736949652274572</v>
      </c>
      <c r="T580" s="22">
        <f t="shared" si="128"/>
        <v>0.40193613647411602</v>
      </c>
      <c r="U580" s="22">
        <f t="shared" si="128"/>
        <v>0.40551458062818502</v>
      </c>
      <c r="V580" s="22">
        <f t="shared" si="128"/>
        <v>0.40890476326282849</v>
      </c>
      <c r="W580" s="22">
        <f t="shared" si="128"/>
        <v>0.41286821795762335</v>
      </c>
      <c r="X580" s="22">
        <f t="shared" si="128"/>
        <v>0.4166639118790918</v>
      </c>
      <c r="Y580" s="22">
        <f t="shared" si="128"/>
        <v>0.4198473343142145</v>
      </c>
      <c r="Z580" s="22">
        <f t="shared" si="128"/>
        <v>0.42294233840413964</v>
      </c>
      <c r="AA580" s="22">
        <f t="shared" si="128"/>
        <v>0.42587799118724151</v>
      </c>
      <c r="AB580" s="22">
        <f t="shared" si="128"/>
        <v>0.42969675362549747</v>
      </c>
      <c r="AC580" s="22">
        <f t="shared" si="128"/>
        <v>0.43349587939767537</v>
      </c>
      <c r="AD580" s="22">
        <f t="shared" si="128"/>
        <v>0.43745946625570531</v>
      </c>
      <c r="AE580" s="22">
        <f t="shared" si="128"/>
        <v>0.44229495321809359</v>
      </c>
      <c r="AF580" s="22">
        <f t="shared" si="128"/>
        <v>0.44758124575636155</v>
      </c>
      <c r="AG580" s="22">
        <f t="shared" si="128"/>
        <v>0.45381269752253439</v>
      </c>
      <c r="AH580" s="22">
        <f t="shared" si="128"/>
        <v>0.45874802300299961</v>
      </c>
      <c r="AI580" s="22">
        <f t="shared" si="128"/>
        <v>0.46333288688967006</v>
      </c>
      <c r="AJ580" s="22">
        <f t="shared" si="128"/>
        <v>0.46842040791737738</v>
      </c>
      <c r="AK580" s="22">
        <f t="shared" si="128"/>
        <v>0.47337132456140918</v>
      </c>
      <c r="AL580" s="22">
        <f t="shared" si="128"/>
        <v>0.47862201153126527</v>
      </c>
      <c r="AM580" s="22">
        <f t="shared" si="128"/>
        <v>0.48394817784516875</v>
      </c>
      <c r="AN580" s="22">
        <f t="shared" si="128"/>
        <v>0.48983437623076936</v>
      </c>
      <c r="AO580" s="22">
        <f t="shared" si="128"/>
        <v>0.49551952889490208</v>
      </c>
      <c r="AP580" s="22">
        <f t="shared" si="128"/>
        <v>0.50133983118096659</v>
      </c>
      <c r="AQ580" s="22">
        <f t="shared" si="128"/>
        <v>0.50738353443884876</v>
      </c>
      <c r="AR580" s="22">
        <f t="shared" si="128"/>
        <v>0.51368519045610384</v>
      </c>
      <c r="AS580" s="22">
        <f t="shared" si="128"/>
        <v>0.52070203752488053</v>
      </c>
      <c r="AT580" s="22">
        <f t="shared" si="128"/>
        <v>0.52550112442398844</v>
      </c>
      <c r="AU580" s="22">
        <f t="shared" si="128"/>
        <v>0.53018983852857582</v>
      </c>
      <c r="AV580" s="22">
        <f t="shared" si="128"/>
        <v>0.53501141383334805</v>
      </c>
      <c r="AW580" s="22">
        <f t="shared" si="128"/>
        <v>0.53986293449927925</v>
      </c>
      <c r="AY580" s="79"/>
    </row>
    <row r="581" spans="1:51" x14ac:dyDescent="0.2">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3.1424516095088999E-2</v>
      </c>
      <c r="M581" s="22">
        <f t="shared" si="128"/>
        <v>3.1672388936885787E-2</v>
      </c>
      <c r="N581" s="22">
        <f t="shared" si="128"/>
        <v>3.1831673641638247E-2</v>
      </c>
      <c r="O581" s="22">
        <f t="shared" si="128"/>
        <v>3.1937519056453263E-2</v>
      </c>
      <c r="P581" s="22">
        <f t="shared" si="128"/>
        <v>3.198888342610464E-2</v>
      </c>
      <c r="Q581" s="22">
        <f t="shared" si="128"/>
        <v>3.2102366434524382E-2</v>
      </c>
      <c r="R581" s="22">
        <f t="shared" si="128"/>
        <v>3.2232550506305392E-2</v>
      </c>
      <c r="S581" s="22">
        <f t="shared" si="128"/>
        <v>3.1350177419660695E-2</v>
      </c>
      <c r="T581" s="22">
        <f t="shared" si="128"/>
        <v>3.1710459157287665E-2</v>
      </c>
      <c r="U581" s="22">
        <f t="shared" si="128"/>
        <v>3.19927779062055E-2</v>
      </c>
      <c r="V581" s="22">
        <f t="shared" si="128"/>
        <v>3.2260243899471644E-2</v>
      </c>
      <c r="W581" s="22">
        <f t="shared" si="128"/>
        <v>3.2572937774980257E-2</v>
      </c>
      <c r="X581" s="22">
        <f t="shared" si="128"/>
        <v>3.2872396286290406E-2</v>
      </c>
      <c r="Y581" s="22">
        <f t="shared" si="128"/>
        <v>3.3123550083992911E-2</v>
      </c>
      <c r="Z581" s="22">
        <f t="shared" si="128"/>
        <v>3.336772818065812E-2</v>
      </c>
      <c r="AA581" s="22">
        <f t="shared" si="128"/>
        <v>3.3599334371868343E-2</v>
      </c>
      <c r="AB581" s="22">
        <f t="shared" si="128"/>
        <v>3.3900612857032622E-2</v>
      </c>
      <c r="AC581" s="22">
        <f t="shared" si="128"/>
        <v>3.4200342121708499E-2</v>
      </c>
      <c r="AD581" s="22">
        <f t="shared" si="128"/>
        <v>3.4513046424139431E-2</v>
      </c>
      <c r="AE581" s="22">
        <f t="shared" si="128"/>
        <v>3.4894538651167102E-2</v>
      </c>
      <c r="AF581" s="22">
        <f t="shared" si="128"/>
        <v>3.5311596856231003E-2</v>
      </c>
      <c r="AG581" s="22">
        <f t="shared" si="128"/>
        <v>3.5803222711162215E-2</v>
      </c>
      <c r="AH581" s="22">
        <f t="shared" si="128"/>
        <v>3.6192591625460596E-2</v>
      </c>
      <c r="AI581" s="22">
        <f t="shared" si="128"/>
        <v>3.6554311127208743E-2</v>
      </c>
      <c r="AJ581" s="22">
        <f t="shared" si="128"/>
        <v>3.6955687398514313E-2</v>
      </c>
      <c r="AK581" s="22">
        <f t="shared" si="128"/>
        <v>3.7346286366322763E-2</v>
      </c>
      <c r="AL581" s="22">
        <f t="shared" si="128"/>
        <v>3.7760535495962914E-2</v>
      </c>
      <c r="AM581" s="22">
        <f t="shared" si="128"/>
        <v>3.8180739513555217E-2</v>
      </c>
      <c r="AN581" s="22">
        <f t="shared" si="128"/>
        <v>3.8645126854130414E-2</v>
      </c>
      <c r="AO581" s="22">
        <f t="shared" si="128"/>
        <v>3.9093652838731792E-2</v>
      </c>
      <c r="AP581" s="22">
        <f t="shared" si="128"/>
        <v>3.9552841354460577E-2</v>
      </c>
      <c r="AQ581" s="22">
        <f t="shared" si="128"/>
        <v>4.0029654927380476E-2</v>
      </c>
      <c r="AR581" s="22">
        <f t="shared" si="128"/>
        <v>4.0526819495640978E-2</v>
      </c>
      <c r="AS581" s="22">
        <f t="shared" si="128"/>
        <v>4.1080408541749817E-2</v>
      </c>
      <c r="AT581" s="22">
        <f t="shared" si="128"/>
        <v>4.145902901225889E-2</v>
      </c>
      <c r="AU581" s="22">
        <f t="shared" si="128"/>
        <v>4.1828941701418883E-2</v>
      </c>
      <c r="AV581" s="22">
        <f t="shared" si="128"/>
        <v>4.2209336378336959E-2</v>
      </c>
      <c r="AW581" s="22">
        <f t="shared" si="128"/>
        <v>4.2592093572744245E-2</v>
      </c>
      <c r="AY581" s="79"/>
    </row>
    <row r="582" spans="1:51" x14ac:dyDescent="0.2">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2.9129279224209421E-4</v>
      </c>
      <c r="M582" s="22">
        <f t="shared" si="128"/>
        <v>2.9359047510821973E-4</v>
      </c>
      <c r="N582" s="22">
        <f t="shared" si="128"/>
        <v>2.9506698110336069E-4</v>
      </c>
      <c r="O582" s="22">
        <f t="shared" si="128"/>
        <v>2.960481260901027E-4</v>
      </c>
      <c r="P582" s="22">
        <f t="shared" si="128"/>
        <v>2.9652425341095714E-4</v>
      </c>
      <c r="Q582" s="22">
        <f t="shared" si="128"/>
        <v>2.9757619585915883E-4</v>
      </c>
      <c r="R582" s="22">
        <f t="shared" si="128"/>
        <v>2.9878295053629647E-4</v>
      </c>
      <c r="S582" s="22">
        <f t="shared" si="128"/>
        <v>2.906037022248744E-4</v>
      </c>
      <c r="T582" s="22">
        <f t="shared" si="128"/>
        <v>2.9394337094179688E-4</v>
      </c>
      <c r="U582" s="22">
        <f t="shared" si="128"/>
        <v>2.9656035369582628E-4</v>
      </c>
      <c r="V582" s="22">
        <f t="shared" si="128"/>
        <v>2.9903965729981968E-4</v>
      </c>
      <c r="W582" s="22">
        <f t="shared" si="128"/>
        <v>3.0193820542187468E-4</v>
      </c>
      <c r="X582" s="22">
        <f t="shared" si="128"/>
        <v>3.0471406697074431E-4</v>
      </c>
      <c r="Y582" s="22">
        <f t="shared" si="128"/>
        <v>3.0704216299594947E-4</v>
      </c>
      <c r="Z582" s="22">
        <f t="shared" si="128"/>
        <v>3.093055970410988E-4</v>
      </c>
      <c r="AA582" s="22">
        <f t="shared" si="128"/>
        <v>3.1145249451229731E-4</v>
      </c>
      <c r="AB582" s="22">
        <f t="shared" si="128"/>
        <v>3.1424522649647207E-4</v>
      </c>
      <c r="AC582" s="22">
        <f t="shared" si="128"/>
        <v>3.1702359782158373E-4</v>
      </c>
      <c r="AD582" s="22">
        <f t="shared" si="128"/>
        <v>3.1992224259707024E-4</v>
      </c>
      <c r="AE582" s="22">
        <f t="shared" si="128"/>
        <v>3.2345852413258482E-4</v>
      </c>
      <c r="AF582" s="22">
        <f t="shared" si="128"/>
        <v>3.2732448816884659E-4</v>
      </c>
      <c r="AG582" s="22">
        <f t="shared" si="128"/>
        <v>3.3188166472450077E-4</v>
      </c>
      <c r="AH582" s="22">
        <f t="shared" si="128"/>
        <v>3.3549096002486584E-4</v>
      </c>
      <c r="AI582" s="22">
        <f t="shared" si="128"/>
        <v>3.3884395624456256E-4</v>
      </c>
      <c r="AJ582" s="22">
        <f t="shared" si="128"/>
        <v>3.4256455497882901E-4</v>
      </c>
      <c r="AK582" s="22">
        <f t="shared" si="128"/>
        <v>3.4618525238704095E-4</v>
      </c>
      <c r="AL582" s="22">
        <f t="shared" si="128"/>
        <v>3.5002517740900785E-4</v>
      </c>
      <c r="AM582" s="22">
        <f t="shared" si="128"/>
        <v>3.539203018788781E-4</v>
      </c>
      <c r="AN582" s="22">
        <f t="shared" si="128"/>
        <v>3.5822498821704474E-4</v>
      </c>
      <c r="AO582" s="22">
        <f t="shared" si="128"/>
        <v>3.6238264608048877E-4</v>
      </c>
      <c r="AP582" s="22">
        <f t="shared" si="128"/>
        <v>3.6663914137567152E-4</v>
      </c>
      <c r="AQ582" s="22">
        <f t="shared" si="128"/>
        <v>3.7105901395587245E-4</v>
      </c>
      <c r="AR582" s="22">
        <f t="shared" si="128"/>
        <v>3.756675321858498E-4</v>
      </c>
      <c r="AS582" s="22">
        <f t="shared" si="128"/>
        <v>3.8079908293137994E-4</v>
      </c>
      <c r="AT582" s="22">
        <f t="shared" si="128"/>
        <v>3.8430874442372815E-4</v>
      </c>
      <c r="AU582" s="22">
        <f t="shared" si="128"/>
        <v>3.877376882389691E-4</v>
      </c>
      <c r="AV582" s="22">
        <f t="shared" si="128"/>
        <v>3.9126379592057032E-4</v>
      </c>
      <c r="AW582" s="22">
        <f t="shared" si="128"/>
        <v>3.9481180320164583E-4</v>
      </c>
      <c r="AY582" s="79"/>
    </row>
    <row r="583" spans="1:51" x14ac:dyDescent="0.2">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3.2323215352203891E-3</v>
      </c>
      <c r="L583" s="22">
        <f t="shared" si="128"/>
        <v>3.2042886428129457E-3</v>
      </c>
      <c r="M583" s="22">
        <f t="shared" si="128"/>
        <v>3.193617369300608E-3</v>
      </c>
      <c r="N583" s="22">
        <f t="shared" si="128"/>
        <v>3.150970789688672E-3</v>
      </c>
      <c r="O583" s="22">
        <f t="shared" si="128"/>
        <v>3.0890682378804132E-3</v>
      </c>
      <c r="P583" s="22">
        <f t="shared" si="128"/>
        <v>3.0091897617382942E-3</v>
      </c>
      <c r="Q583" s="22">
        <f t="shared" si="128"/>
        <v>2.9461872714039495E-3</v>
      </c>
      <c r="R583" s="22">
        <f t="shared" si="128"/>
        <v>2.8865797531671877E-3</v>
      </c>
      <c r="S583" s="22">
        <f t="shared" si="128"/>
        <v>2.561902690551985E-3</v>
      </c>
      <c r="T583" s="22">
        <f t="shared" si="128"/>
        <v>2.6109067650953812E-3</v>
      </c>
      <c r="U583" s="22">
        <f t="shared" si="128"/>
        <v>2.6371073705861066E-3</v>
      </c>
      <c r="V583" s="22">
        <f t="shared" si="128"/>
        <v>2.6572763543899086E-3</v>
      </c>
      <c r="W583" s="22">
        <f t="shared" si="128"/>
        <v>2.6864577406949136E-3</v>
      </c>
      <c r="X583" s="22">
        <f t="shared" si="128"/>
        <v>2.7101399939897432E-3</v>
      </c>
      <c r="Y583" s="22">
        <f t="shared" si="128"/>
        <v>2.7254068910752506E-3</v>
      </c>
      <c r="Z583" s="22">
        <f t="shared" si="128"/>
        <v>2.7372910281189241E-3</v>
      </c>
      <c r="AA583" s="22">
        <f t="shared" si="128"/>
        <v>2.7446565965779596E-3</v>
      </c>
      <c r="AB583" s="22">
        <f t="shared" si="128"/>
        <v>2.766461574169799E-3</v>
      </c>
      <c r="AC583" s="22">
        <f t="shared" si="128"/>
        <v>2.7860807889478114E-3</v>
      </c>
      <c r="AD583" s="22">
        <f t="shared" si="128"/>
        <v>2.7870926745375917E-3</v>
      </c>
      <c r="AE583" s="22">
        <f t="shared" si="128"/>
        <v>2.8002357420559331E-3</v>
      </c>
      <c r="AF583" s="22">
        <f t="shared" si="128"/>
        <v>2.8176157227712195E-3</v>
      </c>
      <c r="AG583" s="22">
        <f t="shared" si="128"/>
        <v>2.8467949657152583E-3</v>
      </c>
      <c r="AH583" s="22">
        <f t="shared" si="128"/>
        <v>2.8514553566539535E-3</v>
      </c>
      <c r="AI583" s="22">
        <f t="shared" si="128"/>
        <v>2.8509661505713695E-3</v>
      </c>
      <c r="AJ583" s="22">
        <f t="shared" si="128"/>
        <v>2.8552472952040066E-3</v>
      </c>
      <c r="AK583" s="22">
        <f t="shared" si="128"/>
        <v>2.8544571157094324E-3</v>
      </c>
      <c r="AL583" s="22">
        <f t="shared" si="128"/>
        <v>2.8550616993206577E-3</v>
      </c>
      <c r="AM583" s="22">
        <f t="shared" si="128"/>
        <v>2.8536896120201398E-3</v>
      </c>
      <c r="AN583" s="22">
        <f t="shared" si="128"/>
        <v>2.8741715259670993E-3</v>
      </c>
      <c r="AO583" s="22">
        <f t="shared" si="128"/>
        <v>2.8891552087920934E-3</v>
      </c>
      <c r="AP583" s="22">
        <f t="shared" si="128"/>
        <v>2.9032743711579932E-3</v>
      </c>
      <c r="AQ583" s="22">
        <f t="shared" si="128"/>
        <v>2.9176093020266492E-3</v>
      </c>
      <c r="AR583" s="22">
        <f t="shared" si="128"/>
        <v>2.9324708677435766E-3</v>
      </c>
      <c r="AS583" s="22">
        <f t="shared" si="128"/>
        <v>2.955760646257155E-3</v>
      </c>
      <c r="AT583" s="22">
        <f t="shared" si="128"/>
        <v>2.949200862307677E-3</v>
      </c>
      <c r="AU583" s="22">
        <f t="shared" si="128"/>
        <v>2.9393657295562411E-3</v>
      </c>
      <c r="AV583" s="22">
        <f t="shared" si="128"/>
        <v>2.9291791996267137E-3</v>
      </c>
      <c r="AW583" s="22">
        <f t="shared" si="128"/>
        <v>2.9174224191291709E-3</v>
      </c>
      <c r="AY583" s="79"/>
    </row>
    <row r="584" spans="1:51" x14ac:dyDescent="0.2">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1.6090517274103575E-2</v>
      </c>
      <c r="L584" s="22">
        <f t="shared" si="128"/>
        <v>1.5950969356419611E-2</v>
      </c>
      <c r="M584" s="22">
        <f t="shared" si="128"/>
        <v>1.5897847688628834E-2</v>
      </c>
      <c r="N584" s="22">
        <f t="shared" si="128"/>
        <v>1.5685552742581484E-2</v>
      </c>
      <c r="O584" s="22">
        <f t="shared" si="128"/>
        <v>1.5377401443792467E-2</v>
      </c>
      <c r="P584" s="22">
        <f t="shared" si="128"/>
        <v>1.4979765878707444E-2</v>
      </c>
      <c r="Q584" s="22">
        <f t="shared" si="128"/>
        <v>1.4666139078901097E-2</v>
      </c>
      <c r="R584" s="22">
        <f t="shared" si="128"/>
        <v>1.4369412471908495E-2</v>
      </c>
      <c r="S584" s="22">
        <f t="shared" si="128"/>
        <v>1.2753167977791692E-2</v>
      </c>
      <c r="T584" s="22">
        <f t="shared" si="128"/>
        <v>1.2997110574266151E-2</v>
      </c>
      <c r="U584" s="22">
        <f t="shared" si="128"/>
        <v>1.312753735596061E-2</v>
      </c>
      <c r="V584" s="22">
        <f t="shared" si="128"/>
        <v>1.3227938686323331E-2</v>
      </c>
      <c r="W584" s="22">
        <f t="shared" si="128"/>
        <v>1.337320381397436E-2</v>
      </c>
      <c r="X584" s="22">
        <f t="shared" si="128"/>
        <v>1.349109422233195E-2</v>
      </c>
      <c r="Y584" s="22">
        <f t="shared" si="128"/>
        <v>1.3567092933660515E-2</v>
      </c>
      <c r="Z584" s="22">
        <f t="shared" si="128"/>
        <v>1.3626252243866949E-2</v>
      </c>
      <c r="AA584" s="22">
        <f t="shared" si="128"/>
        <v>1.3662918090761304E-2</v>
      </c>
      <c r="AB584" s="22">
        <f t="shared" si="128"/>
        <v>1.3771463408663595E-2</v>
      </c>
      <c r="AC584" s="22">
        <f t="shared" si="128"/>
        <v>1.3869127985299977E-2</v>
      </c>
      <c r="AD584" s="22">
        <f t="shared" si="128"/>
        <v>1.3874165158237254E-2</v>
      </c>
      <c r="AE584" s="22">
        <f t="shared" si="128"/>
        <v>1.3939591432397862E-2</v>
      </c>
      <c r="AF584" s="22">
        <f t="shared" si="128"/>
        <v>1.4026109087549346E-2</v>
      </c>
      <c r="AG584" s="22">
        <f t="shared" si="128"/>
        <v>1.4171363545535784E-2</v>
      </c>
      <c r="AH584" s="22">
        <f t="shared" si="128"/>
        <v>1.4194563001433364E-2</v>
      </c>
      <c r="AI584" s="22">
        <f t="shared" si="128"/>
        <v>1.4192127730425623E-2</v>
      </c>
      <c r="AJ584" s="22">
        <f t="shared" si="128"/>
        <v>1.4213439295786241E-2</v>
      </c>
      <c r="AK584" s="22">
        <f t="shared" si="128"/>
        <v>1.4209505777208791E-2</v>
      </c>
      <c r="AL584" s="22">
        <f t="shared" si="128"/>
        <v>1.4212515398291981E-2</v>
      </c>
      <c r="AM584" s="22">
        <f t="shared" si="128"/>
        <v>1.4205685138935052E-2</v>
      </c>
      <c r="AN584" s="22">
        <f t="shared" si="128"/>
        <v>1.4307644237551697E-2</v>
      </c>
      <c r="AO584" s="22">
        <f t="shared" si="128"/>
        <v>1.4382233106480177E-2</v>
      </c>
      <c r="AP584" s="22">
        <f t="shared" si="128"/>
        <v>1.4452518387034392E-2</v>
      </c>
      <c r="AQ584" s="22">
        <f t="shared" si="128"/>
        <v>1.4523877764575229E-2</v>
      </c>
      <c r="AR584" s="22">
        <f t="shared" si="128"/>
        <v>1.4597858733758781E-2</v>
      </c>
      <c r="AS584" s="22">
        <f t="shared" si="128"/>
        <v>1.4713795400145288E-2</v>
      </c>
      <c r="AT584" s="22">
        <f t="shared" si="128"/>
        <v>1.4681140753692774E-2</v>
      </c>
      <c r="AU584" s="22">
        <f t="shared" si="128"/>
        <v>1.4632181399957167E-2</v>
      </c>
      <c r="AV584" s="22">
        <f t="shared" si="128"/>
        <v>1.4581472788821714E-2</v>
      </c>
      <c r="AW584" s="22">
        <f t="shared" si="128"/>
        <v>1.4522947460316408E-2</v>
      </c>
      <c r="AY584" s="79"/>
    </row>
    <row r="585" spans="1:51" x14ac:dyDescent="0.2">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0.15836052531214873</v>
      </c>
      <c r="L585" s="22">
        <f t="shared" si="128"/>
        <v>0.16370016056893644</v>
      </c>
      <c r="M585" s="22">
        <f t="shared" si="128"/>
        <v>0.17003774892948584</v>
      </c>
      <c r="N585" s="22">
        <f t="shared" si="128"/>
        <v>0.17476418316081974</v>
      </c>
      <c r="O585" s="22">
        <f t="shared" si="128"/>
        <v>0.17840915017095665</v>
      </c>
      <c r="P585" s="22">
        <f t="shared" si="128"/>
        <v>0.18092055691117107</v>
      </c>
      <c r="Q585" s="22">
        <f t="shared" si="128"/>
        <v>0.18434967364231716</v>
      </c>
      <c r="R585" s="22">
        <f t="shared" si="128"/>
        <v>0.18794438918293385</v>
      </c>
      <c r="S585" s="22">
        <f t="shared" si="128"/>
        <v>0.17354626936315642</v>
      </c>
      <c r="T585" s="22">
        <f t="shared" si="128"/>
        <v>0.18112703744691877</v>
      </c>
      <c r="U585" s="22">
        <f t="shared" si="128"/>
        <v>0.18729176246517146</v>
      </c>
      <c r="V585" s="22">
        <f t="shared" si="128"/>
        <v>0.19315163846975197</v>
      </c>
      <c r="W585" s="22">
        <f t="shared" si="128"/>
        <v>0.1997999174777515</v>
      </c>
      <c r="X585" s="22">
        <f t="shared" si="128"/>
        <v>0.20618321754826516</v>
      </c>
      <c r="Y585" s="22">
        <f t="shared" si="128"/>
        <v>0.21205125968323466</v>
      </c>
      <c r="Z585" s="22">
        <f t="shared" si="128"/>
        <v>0.21776504311044109</v>
      </c>
      <c r="AA585" s="22">
        <f t="shared" si="128"/>
        <v>0.22321845446592189</v>
      </c>
      <c r="AB585" s="22">
        <f t="shared" si="128"/>
        <v>0.22996706841629874</v>
      </c>
      <c r="AC585" s="22">
        <f t="shared" si="128"/>
        <v>0.23668130693108949</v>
      </c>
      <c r="AD585" s="22">
        <f t="shared" si="128"/>
        <v>0.24461911204797512</v>
      </c>
      <c r="AE585" s="22">
        <f t="shared" si="128"/>
        <v>0.25393877237777696</v>
      </c>
      <c r="AF585" s="22">
        <f t="shared" si="128"/>
        <v>0.26402636464996099</v>
      </c>
      <c r="AG585" s="22">
        <f t="shared" si="128"/>
        <v>0.27567496604841074</v>
      </c>
      <c r="AH585" s="22">
        <f t="shared" si="128"/>
        <v>0.28538857228327053</v>
      </c>
      <c r="AI585" s="22">
        <f t="shared" si="128"/>
        <v>0.29495307266242238</v>
      </c>
      <c r="AJ585" s="22">
        <f t="shared" si="128"/>
        <v>0.3053980286161922</v>
      </c>
      <c r="AK585" s="22">
        <f t="shared" si="128"/>
        <v>0.3157092357133186</v>
      </c>
      <c r="AL585" s="22">
        <f t="shared" si="128"/>
        <v>0.32659469477462816</v>
      </c>
      <c r="AM585" s="22">
        <f t="shared" si="128"/>
        <v>0.33769759276940581</v>
      </c>
      <c r="AN585" s="22">
        <f t="shared" si="128"/>
        <v>0.34971796912079089</v>
      </c>
      <c r="AO585" s="22">
        <f t="shared" si="128"/>
        <v>0.36149422928557057</v>
      </c>
      <c r="AP585" s="22">
        <f t="shared" si="128"/>
        <v>0.3735858155993782</v>
      </c>
      <c r="AQ585" s="22">
        <f t="shared" si="128"/>
        <v>0.38614747590772142</v>
      </c>
      <c r="AR585" s="22">
        <f t="shared" si="128"/>
        <v>0.3992463303443215</v>
      </c>
      <c r="AS585" s="22">
        <f t="shared" si="128"/>
        <v>0.41401924594323458</v>
      </c>
      <c r="AT585" s="22">
        <f t="shared" si="128"/>
        <v>0.42507748495703629</v>
      </c>
      <c r="AU585" s="22">
        <f t="shared" si="128"/>
        <v>0.43601753921735037</v>
      </c>
      <c r="AV585" s="22">
        <f t="shared" si="128"/>
        <v>0.44726275396189152</v>
      </c>
      <c r="AW585" s="22">
        <f t="shared" si="128"/>
        <v>0.45863622701416706</v>
      </c>
      <c r="AY585" s="79"/>
    </row>
    <row r="586" spans="1:51" x14ac:dyDescent="0.2">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1.195503235691774E-4</v>
      </c>
      <c r="T586" s="22">
        <f t="shared" si="128"/>
        <v>1.1973238900774034E-4</v>
      </c>
      <c r="U586" s="22">
        <f t="shared" si="128"/>
        <v>1.1993816652481025E-4</v>
      </c>
      <c r="V586" s="22">
        <f t="shared" si="128"/>
        <v>1.2017030175701969E-4</v>
      </c>
      <c r="W586" s="22">
        <f t="shared" si="128"/>
        <v>1.2043143682964787E-4</v>
      </c>
      <c r="X586" s="22">
        <f t="shared" si="128"/>
        <v>1.2071612652319093E-4</v>
      </c>
      <c r="Y586" s="22">
        <f t="shared" si="128"/>
        <v>1.2088927246048491E-4</v>
      </c>
      <c r="Z586" s="22">
        <f t="shared" si="128"/>
        <v>1.2108266651499932E-4</v>
      </c>
      <c r="AA586" s="22">
        <f t="shared" si="128"/>
        <v>1.2129489002398719E-4</v>
      </c>
      <c r="AB586" s="22">
        <f t="shared" si="128"/>
        <v>1.2153074787723059E-4</v>
      </c>
      <c r="AC586" s="22">
        <f t="shared" si="128"/>
        <v>1.2178444503760319E-4</v>
      </c>
      <c r="AD586" s="22">
        <f t="shared" si="128"/>
        <v>1.2195021859922819E-4</v>
      </c>
      <c r="AE586" s="22">
        <f t="shared" si="128"/>
        <v>1.2213630016303642E-4</v>
      </c>
      <c r="AF586" s="22">
        <f t="shared" si="128"/>
        <v>1.2233971704233787E-4</v>
      </c>
      <c r="AG586" s="22">
        <f t="shared" si="128"/>
        <v>1.2256258176640642E-4</v>
      </c>
      <c r="AH586" s="22">
        <f t="shared" si="128"/>
        <v>1.2279204268449652E-4</v>
      </c>
      <c r="AI586" s="22">
        <f t="shared" ref="L586:AW593" si="129">AI1537</f>
        <v>1.2293267358180957E-4</v>
      </c>
      <c r="AJ586" s="22">
        <f t="shared" si="129"/>
        <v>1.230880284078129E-4</v>
      </c>
      <c r="AK586" s="22">
        <f t="shared" si="129"/>
        <v>1.2325414703713089E-4</v>
      </c>
      <c r="AL586" s="22">
        <f t="shared" si="129"/>
        <v>1.2343300581478905E-4</v>
      </c>
      <c r="AM586" s="22">
        <f t="shared" si="129"/>
        <v>1.2362298848343737E-4</v>
      </c>
      <c r="AN586" s="22">
        <f t="shared" si="129"/>
        <v>1.2373316293630814E-4</v>
      </c>
      <c r="AO586" s="22">
        <f t="shared" si="129"/>
        <v>1.2385166980530415E-4</v>
      </c>
      <c r="AP586" s="22">
        <f t="shared" si="129"/>
        <v>1.2398002361906419E-4</v>
      </c>
      <c r="AQ586" s="22">
        <f t="shared" si="129"/>
        <v>1.2411840156820918E-4</v>
      </c>
      <c r="AR586" s="22">
        <f t="shared" si="129"/>
        <v>1.2426670691930035E-4</v>
      </c>
      <c r="AS586" s="22">
        <f t="shared" si="129"/>
        <v>1.2433302167931155E-4</v>
      </c>
      <c r="AT586" s="22">
        <f t="shared" si="129"/>
        <v>1.2439474489368146E-4</v>
      </c>
      <c r="AU586" s="22">
        <f t="shared" si="129"/>
        <v>1.2446317135013558E-4</v>
      </c>
      <c r="AV586" s="22">
        <f t="shared" si="129"/>
        <v>1.2453939785824996E-4</v>
      </c>
      <c r="AW586" s="22">
        <f t="shared" si="129"/>
        <v>1.24622639719568E-4</v>
      </c>
      <c r="AY586" s="79"/>
    </row>
    <row r="587" spans="1:51" x14ac:dyDescent="0.2">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8.2041591156770978E-4</v>
      </c>
      <c r="T587" s="22">
        <f t="shared" si="129"/>
        <v>8.216653384055813E-4</v>
      </c>
      <c r="U587" s="22">
        <f t="shared" si="129"/>
        <v>8.2307748974241456E-4</v>
      </c>
      <c r="V587" s="22">
        <f t="shared" si="129"/>
        <v>8.246705212997898E-4</v>
      </c>
      <c r="W587" s="22">
        <f t="shared" si="129"/>
        <v>8.2646256470257108E-4</v>
      </c>
      <c r="X587" s="22">
        <f t="shared" si="129"/>
        <v>8.284162520491963E-4</v>
      </c>
      <c r="Y587" s="22">
        <f t="shared" si="129"/>
        <v>8.2960446867411488E-4</v>
      </c>
      <c r="Z587" s="22">
        <f t="shared" si="129"/>
        <v>8.3093163831104511E-4</v>
      </c>
      <c r="AA587" s="22">
        <f t="shared" si="129"/>
        <v>8.323880253653359E-4</v>
      </c>
      <c r="AB587" s="22">
        <f t="shared" si="129"/>
        <v>8.3400660346610628E-4</v>
      </c>
      <c r="AC587" s="22">
        <f t="shared" si="129"/>
        <v>8.3574760408304538E-4</v>
      </c>
      <c r="AD587" s="22">
        <f t="shared" si="129"/>
        <v>8.3688522766794265E-4</v>
      </c>
      <c r="AE587" s="22">
        <f t="shared" si="129"/>
        <v>8.3816221522631858E-4</v>
      </c>
      <c r="AF587" s="22">
        <f t="shared" si="129"/>
        <v>8.3955816665060555E-4</v>
      </c>
      <c r="AG587" s="22">
        <f t="shared" si="129"/>
        <v>8.4108757920503671E-4</v>
      </c>
      <c r="AH587" s="22">
        <f t="shared" si="129"/>
        <v>8.4266225824114254E-4</v>
      </c>
      <c r="AI587" s="22">
        <f t="shared" si="129"/>
        <v>8.436273399102601E-4</v>
      </c>
      <c r="AJ587" s="22">
        <f t="shared" si="129"/>
        <v>8.4469346476368369E-4</v>
      </c>
      <c r="AK587" s="22">
        <f t="shared" si="129"/>
        <v>8.4583345638086619E-4</v>
      </c>
      <c r="AL587" s="22">
        <f t="shared" si="129"/>
        <v>8.4706087745956699E-4</v>
      </c>
      <c r="AM587" s="22">
        <f t="shared" si="129"/>
        <v>8.483646364091695E-4</v>
      </c>
      <c r="AN587" s="22">
        <f t="shared" si="129"/>
        <v>8.4912071026564152E-4</v>
      </c>
      <c r="AO587" s="22">
        <f t="shared" si="129"/>
        <v>8.4993396545434991E-4</v>
      </c>
      <c r="AP587" s="22">
        <f t="shared" si="129"/>
        <v>8.5081479545108508E-4</v>
      </c>
      <c r="AQ587" s="22">
        <f t="shared" si="129"/>
        <v>8.5176441622917501E-4</v>
      </c>
      <c r="AR587" s="22">
        <f t="shared" si="129"/>
        <v>8.5278216395392656E-4</v>
      </c>
      <c r="AS587" s="22">
        <f t="shared" si="129"/>
        <v>8.5323725000188266E-4</v>
      </c>
      <c r="AT587" s="22">
        <f t="shared" si="129"/>
        <v>8.5366082649812602E-4</v>
      </c>
      <c r="AU587" s="22">
        <f t="shared" si="129"/>
        <v>8.5413040409500023E-4</v>
      </c>
      <c r="AV587" s="22">
        <f t="shared" si="129"/>
        <v>8.546535096648827E-4</v>
      </c>
      <c r="AW587" s="22">
        <f t="shared" si="129"/>
        <v>8.5522475820269445E-4</v>
      </c>
      <c r="AY587" s="79"/>
    </row>
    <row r="588" spans="1:51" x14ac:dyDescent="0.2">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1.4486129996083081E-5</v>
      </c>
      <c r="L588" s="22">
        <f t="shared" si="129"/>
        <v>1.4523786941695515E-5</v>
      </c>
      <c r="M588" s="22">
        <f t="shared" si="129"/>
        <v>1.4575733367418309E-5</v>
      </c>
      <c r="N588" s="22">
        <f t="shared" si="129"/>
        <v>1.4639017833045651E-5</v>
      </c>
      <c r="O588" s="22">
        <f t="shared" si="129"/>
        <v>1.471355007817218E-5</v>
      </c>
      <c r="P588" s="22">
        <f t="shared" si="129"/>
        <v>1.4798876460462532E-5</v>
      </c>
      <c r="Q588" s="22">
        <f t="shared" si="129"/>
        <v>1.4890706011157255E-5</v>
      </c>
      <c r="R588" s="22">
        <f t="shared" si="129"/>
        <v>1.4988675221399694E-5</v>
      </c>
      <c r="S588" s="22">
        <f t="shared" si="129"/>
        <v>1.5078679643027028E-5</v>
      </c>
      <c r="T588" s="22">
        <f t="shared" si="129"/>
        <v>1.5122495296339113E-5</v>
      </c>
      <c r="U588" s="22">
        <f t="shared" si="129"/>
        <v>1.516958973789732E-5</v>
      </c>
      <c r="V588" s="22">
        <f t="shared" si="129"/>
        <v>1.5220538890996556E-5</v>
      </c>
      <c r="W588" s="22">
        <f t="shared" si="129"/>
        <v>1.5275902163367261E-5</v>
      </c>
      <c r="X588" s="22">
        <f t="shared" si="129"/>
        <v>1.5334694454120534E-5</v>
      </c>
      <c r="Y588" s="22">
        <f t="shared" si="129"/>
        <v>1.5371448915304841E-5</v>
      </c>
      <c r="Z588" s="22">
        <f t="shared" si="129"/>
        <v>1.5411207509365297E-5</v>
      </c>
      <c r="AA588" s="22">
        <f t="shared" si="129"/>
        <v>1.5453736398701918E-5</v>
      </c>
      <c r="AB588" s="22">
        <f t="shared" si="129"/>
        <v>1.5499966763922933E-5</v>
      </c>
      <c r="AC588" s="22">
        <f t="shared" si="129"/>
        <v>1.5548833641447303E-5</v>
      </c>
      <c r="AD588" s="22">
        <f t="shared" si="129"/>
        <v>1.5580602349578564E-5</v>
      </c>
      <c r="AE588" s="22">
        <f t="shared" si="129"/>
        <v>1.5615591404277508E-5</v>
      </c>
      <c r="AF588" s="22">
        <f t="shared" si="129"/>
        <v>1.5653259744642323E-5</v>
      </c>
      <c r="AG588" s="22">
        <f t="shared" si="129"/>
        <v>1.5694012741398928E-5</v>
      </c>
      <c r="AH588" s="22">
        <f t="shared" si="129"/>
        <v>1.5735477279761714E-5</v>
      </c>
      <c r="AI588" s="22">
        <f t="shared" si="129"/>
        <v>1.5760021720349279E-5</v>
      </c>
      <c r="AJ588" s="22">
        <f t="shared" si="129"/>
        <v>1.5786883711006113E-5</v>
      </c>
      <c r="AK588" s="22">
        <f t="shared" si="129"/>
        <v>1.5815340273420816E-5</v>
      </c>
      <c r="AL588" s="22">
        <f t="shared" si="129"/>
        <v>1.5845764593107772E-5</v>
      </c>
      <c r="AM588" s="22">
        <f t="shared" si="129"/>
        <v>1.5877866318833775E-5</v>
      </c>
      <c r="AN588" s="22">
        <f t="shared" si="129"/>
        <v>1.5894983838021428E-5</v>
      </c>
      <c r="AO588" s="22">
        <f t="shared" si="129"/>
        <v>1.5913339031971955E-5</v>
      </c>
      <c r="AP588" s="22">
        <f t="shared" si="129"/>
        <v>1.593321505910849E-5</v>
      </c>
      <c r="AQ588" s="22">
        <f t="shared" si="129"/>
        <v>1.5954648527995344E-5</v>
      </c>
      <c r="AR588" s="22">
        <f t="shared" si="129"/>
        <v>1.5977625288303394E-5</v>
      </c>
      <c r="AS588" s="22">
        <f t="shared" si="129"/>
        <v>1.5985441440203981E-5</v>
      </c>
      <c r="AT588" s="22">
        <f t="shared" si="129"/>
        <v>1.5992226212116376E-5</v>
      </c>
      <c r="AU588" s="22">
        <f t="shared" si="129"/>
        <v>1.6000039436891757E-5</v>
      </c>
      <c r="AV588" s="22">
        <f t="shared" si="129"/>
        <v>1.6009082551352237E-5</v>
      </c>
      <c r="AW588" s="22">
        <f t="shared" si="129"/>
        <v>1.6019215529788255E-5</v>
      </c>
      <c r="AY588" s="79"/>
    </row>
    <row r="589" spans="1:51" x14ac:dyDescent="0.2">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1.4738364076719785E-3</v>
      </c>
      <c r="L589" s="22">
        <f t="shared" si="129"/>
        <v>1.4776676709189833E-3</v>
      </c>
      <c r="M589" s="22">
        <f t="shared" si="129"/>
        <v>1.4829527631761549E-3</v>
      </c>
      <c r="N589" s="22">
        <f t="shared" si="129"/>
        <v>1.4893914013429299E-3</v>
      </c>
      <c r="O589" s="22">
        <f t="shared" si="129"/>
        <v>1.4969744022163664E-3</v>
      </c>
      <c r="P589" s="22">
        <f t="shared" si="129"/>
        <v>1.5056556116759296E-3</v>
      </c>
      <c r="Q589" s="22">
        <f t="shared" si="129"/>
        <v>1.5149984613639165E-3</v>
      </c>
      <c r="R589" s="22">
        <f t="shared" si="129"/>
        <v>1.5249659674490626E-3</v>
      </c>
      <c r="S589" s="22">
        <f t="shared" si="129"/>
        <v>1.5341231262956069E-3</v>
      </c>
      <c r="T589" s="22">
        <f t="shared" si="129"/>
        <v>1.5385809839218152E-3</v>
      </c>
      <c r="U589" s="22">
        <f t="shared" si="129"/>
        <v>1.5433724294346084E-3</v>
      </c>
      <c r="V589" s="22">
        <f t="shared" si="129"/>
        <v>1.5485560579674195E-3</v>
      </c>
      <c r="W589" s="22">
        <f t="shared" si="129"/>
        <v>1.5541887843401544E-3</v>
      </c>
      <c r="X589" s="22">
        <f t="shared" si="129"/>
        <v>1.5601703831954754E-3</v>
      </c>
      <c r="Y589" s="22">
        <f t="shared" si="129"/>
        <v>1.5639098265839071E-3</v>
      </c>
      <c r="Z589" s="22">
        <f t="shared" si="129"/>
        <v>1.5679549140889886E-3</v>
      </c>
      <c r="AA589" s="22">
        <f t="shared" si="129"/>
        <v>1.5722818547901358E-3</v>
      </c>
      <c r="AB589" s="22">
        <f t="shared" si="129"/>
        <v>1.5769853881300361E-3</v>
      </c>
      <c r="AC589" s="22">
        <f t="shared" si="129"/>
        <v>1.5819571634243445E-3</v>
      </c>
      <c r="AD589" s="22">
        <f t="shared" si="129"/>
        <v>1.5851893502596976E-3</v>
      </c>
      <c r="AE589" s="22">
        <f t="shared" si="129"/>
        <v>1.5887491790545015E-3</v>
      </c>
      <c r="AF589" s="22">
        <f t="shared" si="129"/>
        <v>1.5925816016174124E-3</v>
      </c>
      <c r="AG589" s="22">
        <f t="shared" si="129"/>
        <v>1.5967278608569652E-3</v>
      </c>
      <c r="AH589" s="22">
        <f t="shared" si="129"/>
        <v>1.6009465132011667E-3</v>
      </c>
      <c r="AI589" s="22">
        <f t="shared" si="129"/>
        <v>1.6034436943084516E-3</v>
      </c>
      <c r="AJ589" s="22">
        <f t="shared" si="129"/>
        <v>1.6061766657662043E-3</v>
      </c>
      <c r="AK589" s="22">
        <f t="shared" si="129"/>
        <v>1.6090718708855374E-3</v>
      </c>
      <c r="AL589" s="22">
        <f t="shared" si="129"/>
        <v>1.6121672780125896E-3</v>
      </c>
      <c r="AM589" s="22">
        <f t="shared" si="129"/>
        <v>1.6154333464612968E-3</v>
      </c>
      <c r="AN589" s="22">
        <f t="shared" si="129"/>
        <v>1.6171749035917807E-3</v>
      </c>
      <c r="AO589" s="22">
        <f t="shared" si="129"/>
        <v>1.6190423832513916E-3</v>
      </c>
      <c r="AP589" s="22">
        <f t="shared" si="129"/>
        <v>1.6210645943209887E-3</v>
      </c>
      <c r="AQ589" s="22">
        <f t="shared" si="129"/>
        <v>1.6232452614002358E-3</v>
      </c>
      <c r="AR589" s="22">
        <f t="shared" si="129"/>
        <v>1.6255829448175118E-3</v>
      </c>
      <c r="AS589" s="22">
        <f t="shared" si="129"/>
        <v>1.6263781695767885E-3</v>
      </c>
      <c r="AT589" s="22">
        <f t="shared" si="129"/>
        <v>1.6270684604871241E-3</v>
      </c>
      <c r="AU589" s="22">
        <f t="shared" si="129"/>
        <v>1.6278633874371373E-3</v>
      </c>
      <c r="AV589" s="22">
        <f t="shared" si="129"/>
        <v>1.6287834448530387E-3</v>
      </c>
      <c r="AW589" s="22">
        <f t="shared" si="129"/>
        <v>1.6298143863495728E-3</v>
      </c>
      <c r="AY589" s="79"/>
    </row>
    <row r="590" spans="1:51" x14ac:dyDescent="0.2">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2">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2">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0.13004550543955873</v>
      </c>
      <c r="M592" s="22">
        <f t="shared" si="129"/>
        <v>0.13010384136507713</v>
      </c>
      <c r="N592" s="22">
        <f t="shared" si="129"/>
        <v>0.1289093884029483</v>
      </c>
      <c r="O592" s="22">
        <f t="shared" si="129"/>
        <v>0.12695857121838477</v>
      </c>
      <c r="P592" s="22">
        <f t="shared" si="129"/>
        <v>0.12428257569245395</v>
      </c>
      <c r="Q592" s="22">
        <f t="shared" si="129"/>
        <v>0.12233950618032065</v>
      </c>
      <c r="R592" s="22">
        <f t="shared" si="129"/>
        <v>0.12056837226162823</v>
      </c>
      <c r="S592" s="22">
        <f t="shared" si="129"/>
        <v>0.10742568641023791</v>
      </c>
      <c r="T592" s="22">
        <f t="shared" si="129"/>
        <v>0.1091029492210569</v>
      </c>
      <c r="U592" s="22">
        <f t="shared" si="129"/>
        <v>0.1098152981393777</v>
      </c>
      <c r="V592" s="22">
        <f t="shared" si="129"/>
        <v>0.11028443328369632</v>
      </c>
      <c r="W592" s="22">
        <f t="shared" si="129"/>
        <v>0.11115311990923482</v>
      </c>
      <c r="X592" s="22">
        <f t="shared" si="129"/>
        <v>0.11180012354863146</v>
      </c>
      <c r="Y592" s="22">
        <f t="shared" si="129"/>
        <v>0.11213950095917391</v>
      </c>
      <c r="Z592" s="22">
        <f t="shared" si="129"/>
        <v>0.11234743559515332</v>
      </c>
      <c r="AA592" s="22">
        <f t="shared" si="129"/>
        <v>0.11237564219545433</v>
      </c>
      <c r="AB592" s="22">
        <f t="shared" si="129"/>
        <v>0.1130282053559263</v>
      </c>
      <c r="AC592" s="22">
        <f t="shared" si="129"/>
        <v>0.11359821524900583</v>
      </c>
      <c r="AD592" s="22">
        <f t="shared" si="129"/>
        <v>0.11441835566605747</v>
      </c>
      <c r="AE592" s="22">
        <f t="shared" si="129"/>
        <v>0.11580372782809943</v>
      </c>
      <c r="AF592" s="22">
        <f t="shared" si="129"/>
        <v>0.11742607569995514</v>
      </c>
      <c r="AG592" s="22">
        <f t="shared" si="129"/>
        <v>0.11962260335271972</v>
      </c>
      <c r="AH592" s="22">
        <f t="shared" si="129"/>
        <v>0.12080838440395283</v>
      </c>
      <c r="AI592" s="22">
        <f t="shared" si="129"/>
        <v>0.12184404408189208</v>
      </c>
      <c r="AJ592" s="22">
        <f t="shared" si="129"/>
        <v>0.12314557152083414</v>
      </c>
      <c r="AK592" s="22">
        <f t="shared" si="129"/>
        <v>0.12427557755093979</v>
      </c>
      <c r="AL592" s="22">
        <f t="shared" si="129"/>
        <v>0.1255259175330139</v>
      </c>
      <c r="AM592" s="22">
        <f t="shared" si="129"/>
        <v>0.12674552603750175</v>
      </c>
      <c r="AN592" s="22">
        <f t="shared" si="129"/>
        <v>0.12838752833674963</v>
      </c>
      <c r="AO592" s="22">
        <f t="shared" si="129"/>
        <v>0.12981338825169941</v>
      </c>
      <c r="AP592" s="22">
        <f t="shared" si="129"/>
        <v>0.13123798099286382</v>
      </c>
      <c r="AQ592" s="22">
        <f t="shared" si="129"/>
        <v>0.13271316927423235</v>
      </c>
      <c r="AR592" s="22">
        <f t="shared" si="129"/>
        <v>0.13425553565091783</v>
      </c>
      <c r="AS592" s="22">
        <f t="shared" si="129"/>
        <v>0.1362655431555625</v>
      </c>
      <c r="AT592" s="22">
        <f t="shared" si="129"/>
        <v>0.1368880254632967</v>
      </c>
      <c r="AU592" s="22">
        <f t="shared" si="129"/>
        <v>0.13738521125796219</v>
      </c>
      <c r="AV592" s="22">
        <f t="shared" si="129"/>
        <v>0.13789795385940914</v>
      </c>
      <c r="AW592" s="22">
        <f t="shared" si="129"/>
        <v>0.13836722215964953</v>
      </c>
      <c r="AY592" s="79"/>
    </row>
    <row r="593" spans="1:51" x14ac:dyDescent="0.2">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1.2724633182830881E-2</v>
      </c>
      <c r="L593" s="22">
        <f t="shared" si="129"/>
        <v>1.2655466337890216E-2</v>
      </c>
      <c r="M593" s="22">
        <f t="shared" si="129"/>
        <v>1.266114333794641E-2</v>
      </c>
      <c r="N593" s="22">
        <f t="shared" si="129"/>
        <v>1.2544904339887072E-2</v>
      </c>
      <c r="O593" s="22">
        <f t="shared" si="129"/>
        <v>1.2355059245839619E-2</v>
      </c>
      <c r="P593" s="22">
        <f t="shared" si="129"/>
        <v>1.209464293091744E-2</v>
      </c>
      <c r="Q593" s="22">
        <f t="shared" si="129"/>
        <v>1.1905551806853851E-2</v>
      </c>
      <c r="R593" s="22">
        <f t="shared" si="129"/>
        <v>1.1733192711380727E-2</v>
      </c>
      <c r="S593" s="22">
        <f t="shared" si="129"/>
        <v>1.0454203346699911E-2</v>
      </c>
      <c r="T593" s="22">
        <f t="shared" si="129"/>
        <v>1.0617427311806347E-2</v>
      </c>
      <c r="U593" s="22">
        <f t="shared" si="129"/>
        <v>1.0686750028698176E-2</v>
      </c>
      <c r="V593" s="22">
        <f t="shared" si="129"/>
        <v>1.0732404232638389E-2</v>
      </c>
      <c r="W593" s="22">
        <f t="shared" si="129"/>
        <v>1.0816941059270873E-2</v>
      </c>
      <c r="X593" s="22">
        <f t="shared" ref="L593:AW600" si="130">X1544</f>
        <v>1.087990465613799E-2</v>
      </c>
      <c r="Y593" s="22">
        <f t="shared" si="130"/>
        <v>1.0912931398434408E-2</v>
      </c>
      <c r="Z593" s="22">
        <f t="shared" si="130"/>
        <v>1.0933166698202938E-2</v>
      </c>
      <c r="AA593" s="22">
        <f t="shared" si="130"/>
        <v>1.0935911642593046E-2</v>
      </c>
      <c r="AB593" s="22">
        <f t="shared" si="130"/>
        <v>1.0999416268014638E-2</v>
      </c>
      <c r="AC593" s="22">
        <f t="shared" si="130"/>
        <v>1.1054887166372485E-2</v>
      </c>
      <c r="AD593" s="22">
        <f t="shared" si="130"/>
        <v>1.1134699685884465E-2</v>
      </c>
      <c r="AE593" s="22">
        <f t="shared" si="130"/>
        <v>1.1269518115040561E-2</v>
      </c>
      <c r="AF593" s="22">
        <f t="shared" si="130"/>
        <v>1.1427397995711722E-2</v>
      </c>
      <c r="AG593" s="22">
        <f t="shared" si="130"/>
        <v>1.1641154570195772E-2</v>
      </c>
      <c r="AH593" s="22">
        <f t="shared" si="130"/>
        <v>1.1756549655379731E-2</v>
      </c>
      <c r="AI593" s="22">
        <f t="shared" si="130"/>
        <v>1.1857335577564188E-2</v>
      </c>
      <c r="AJ593" s="22">
        <f t="shared" si="130"/>
        <v>1.1983994600770704E-2</v>
      </c>
      <c r="AK593" s="22">
        <f t="shared" si="130"/>
        <v>1.209396190204173E-2</v>
      </c>
      <c r="AL593" s="22">
        <f t="shared" si="130"/>
        <v>1.2215639583254724E-2</v>
      </c>
      <c r="AM593" s="22">
        <f t="shared" si="130"/>
        <v>1.2334326609936505E-2</v>
      </c>
      <c r="AN593" s="22">
        <f t="shared" si="130"/>
        <v>1.2494119174505589E-2</v>
      </c>
      <c r="AO593" s="22">
        <f t="shared" si="130"/>
        <v>1.2632877696725955E-2</v>
      </c>
      <c r="AP593" s="22">
        <f t="shared" si="130"/>
        <v>1.2771512903072156E-2</v>
      </c>
      <c r="AQ593" s="22">
        <f t="shared" si="130"/>
        <v>1.2915071848641296E-2</v>
      </c>
      <c r="AR593" s="22">
        <f t="shared" si="130"/>
        <v>1.3065168276002324E-2</v>
      </c>
      <c r="AS593" s="22">
        <f t="shared" si="130"/>
        <v>1.3260773516090847E-2</v>
      </c>
      <c r="AT593" s="22">
        <f t="shared" si="130"/>
        <v>1.3321350802978501E-2</v>
      </c>
      <c r="AU593" s="22">
        <f t="shared" si="130"/>
        <v>1.3369734774933539E-2</v>
      </c>
      <c r="AV593" s="22">
        <f t="shared" si="130"/>
        <v>1.3419632668064721E-2</v>
      </c>
      <c r="AW593" s="22">
        <f t="shared" si="130"/>
        <v>1.3465299830163544E-2</v>
      </c>
      <c r="AY593" s="79"/>
    </row>
    <row r="594" spans="1:51" x14ac:dyDescent="0.2">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6.4453339767617107E-2</v>
      </c>
      <c r="L594" s="22">
        <f t="shared" si="130"/>
        <v>6.5763803942104557E-2</v>
      </c>
      <c r="M594" s="22">
        <f t="shared" si="130"/>
        <v>6.7295612361813625E-2</v>
      </c>
      <c r="N594" s="22">
        <f t="shared" si="130"/>
        <v>6.8471619369899747E-2</v>
      </c>
      <c r="O594" s="22">
        <f t="shared" si="130"/>
        <v>6.9415657765503513E-2</v>
      </c>
      <c r="P594" s="22">
        <f t="shared" si="130"/>
        <v>7.0122113289878343E-2</v>
      </c>
      <c r="Q594" s="22">
        <f t="shared" si="130"/>
        <v>7.1027984276732931E-2</v>
      </c>
      <c r="R594" s="22">
        <f t="shared" si="130"/>
        <v>7.1969839340941838E-2</v>
      </c>
      <c r="S594" s="22">
        <f t="shared" si="130"/>
        <v>6.9091020117855437E-2</v>
      </c>
      <c r="T594" s="22">
        <f t="shared" si="130"/>
        <v>7.0923520025616846E-2</v>
      </c>
      <c r="U594" s="22">
        <f t="shared" si="130"/>
        <v>7.2452558917721649E-2</v>
      </c>
      <c r="V594" s="22">
        <f t="shared" si="130"/>
        <v>7.3914725789307509E-2</v>
      </c>
      <c r="W594" s="22">
        <f t="shared" si="130"/>
        <v>7.5540335927502686E-2</v>
      </c>
      <c r="X594" s="22">
        <f t="shared" si="130"/>
        <v>7.710742274610026E-2</v>
      </c>
      <c r="Y594" s="22">
        <f t="shared" si="130"/>
        <v>7.8514475152186416E-2</v>
      </c>
      <c r="Z594" s="22">
        <f t="shared" si="130"/>
        <v>7.9886368180485237E-2</v>
      </c>
      <c r="AA594" s="22">
        <f t="shared" si="130"/>
        <v>8.1201368710931643E-2</v>
      </c>
      <c r="AB594" s="22">
        <f t="shared" si="130"/>
        <v>8.2782551319957556E-2</v>
      </c>
      <c r="AC594" s="22">
        <f t="shared" si="130"/>
        <v>8.4352893309328145E-2</v>
      </c>
      <c r="AD594" s="22">
        <f t="shared" si="130"/>
        <v>8.5998825916539595E-2</v>
      </c>
      <c r="AE594" s="22">
        <f t="shared" si="130"/>
        <v>8.791554994164491E-2</v>
      </c>
      <c r="AF594" s="22">
        <f t="shared" si="130"/>
        <v>8.9973918009766785E-2</v>
      </c>
      <c r="AG594" s="22">
        <f t="shared" si="130"/>
        <v>9.2332462068458354E-2</v>
      </c>
      <c r="AH594" s="22">
        <f t="shared" si="130"/>
        <v>9.4282044413809288E-2</v>
      </c>
      <c r="AI594" s="22">
        <f t="shared" si="130"/>
        <v>9.6147404966029248E-2</v>
      </c>
      <c r="AJ594" s="22">
        <f t="shared" si="130"/>
        <v>9.8173701325843382E-2</v>
      </c>
      <c r="AK594" s="22">
        <f t="shared" si="130"/>
        <v>0.1001572245577764</v>
      </c>
      <c r="AL594" s="22">
        <f t="shared" si="130"/>
        <v>0.10223848995104871</v>
      </c>
      <c r="AM594" s="22">
        <f t="shared" si="130"/>
        <v>0.10434595485218236</v>
      </c>
      <c r="AN594" s="22">
        <f t="shared" si="130"/>
        <v>0.10666367827206967</v>
      </c>
      <c r="AO594" s="22">
        <f t="shared" si="130"/>
        <v>0.10891945161625204</v>
      </c>
      <c r="AP594" s="22">
        <f t="shared" si="130"/>
        <v>0.11122270700738313</v>
      </c>
      <c r="AQ594" s="22">
        <f t="shared" si="130"/>
        <v>0.11360290610560657</v>
      </c>
      <c r="AR594" s="22">
        <f t="shared" si="130"/>
        <v>0.11607217368997393</v>
      </c>
      <c r="AS594" s="22">
        <f t="shared" si="130"/>
        <v>0.11880939144121157</v>
      </c>
      <c r="AT594" s="22">
        <f t="shared" si="130"/>
        <v>0.12081746755875615</v>
      </c>
      <c r="AU594" s="22">
        <f t="shared" si="130"/>
        <v>0.12279062605907758</v>
      </c>
      <c r="AV594" s="22">
        <f t="shared" si="130"/>
        <v>0.12480975001742217</v>
      </c>
      <c r="AW594" s="22">
        <f t="shared" si="130"/>
        <v>0.1268408444448812</v>
      </c>
      <c r="AY594" s="79"/>
    </row>
    <row r="595" spans="1:51" x14ac:dyDescent="0.2">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0.31034319165291718</v>
      </c>
      <c r="L595" s="22">
        <f t="shared" si="130"/>
        <v>0.31442985679016988</v>
      </c>
      <c r="M595" s="22">
        <f t="shared" si="130"/>
        <v>0.32099421325528477</v>
      </c>
      <c r="N595" s="22">
        <f t="shared" si="130"/>
        <v>0.3228790317815291</v>
      </c>
      <c r="O595" s="22">
        <f t="shared" si="130"/>
        <v>0.32172327535887091</v>
      </c>
      <c r="P595" s="22">
        <f t="shared" si="130"/>
        <v>0.31753924052538912</v>
      </c>
      <c r="Q595" s="22">
        <f t="shared" si="130"/>
        <v>0.31577785743754239</v>
      </c>
      <c r="R595" s="22">
        <f t="shared" si="130"/>
        <v>0.31441607582114922</v>
      </c>
      <c r="S595" s="22">
        <f t="shared" si="130"/>
        <v>0.26879192155029241</v>
      </c>
      <c r="T595" s="22">
        <f t="shared" si="130"/>
        <v>0.28063901740950847</v>
      </c>
      <c r="U595" s="22">
        <f t="shared" si="130"/>
        <v>0.28880309945041127</v>
      </c>
      <c r="V595" s="22">
        <f t="shared" si="130"/>
        <v>0.29604855006817871</v>
      </c>
      <c r="W595" s="22">
        <f t="shared" si="130"/>
        <v>0.30496938447162802</v>
      </c>
      <c r="X595" s="22">
        <f t="shared" si="130"/>
        <v>0.31306661968905752</v>
      </c>
      <c r="Y595" s="22">
        <f t="shared" si="130"/>
        <v>0.32021357019479407</v>
      </c>
      <c r="Z595" s="22">
        <f t="shared" si="130"/>
        <v>0.32685390014438859</v>
      </c>
      <c r="AA595" s="22">
        <f t="shared" si="130"/>
        <v>0.33276450713212152</v>
      </c>
      <c r="AB595" s="22">
        <f t="shared" si="130"/>
        <v>0.34142456701129209</v>
      </c>
      <c r="AC595" s="22">
        <f t="shared" si="130"/>
        <v>0.34982483105719137</v>
      </c>
      <c r="AD595" s="22">
        <f t="shared" si="130"/>
        <v>0.35965297279223607</v>
      </c>
      <c r="AE595" s="22">
        <f t="shared" si="130"/>
        <v>0.37217634319205956</v>
      </c>
      <c r="AF595" s="22">
        <f t="shared" si="130"/>
        <v>0.3859945703932357</v>
      </c>
      <c r="AG595" s="22">
        <f t="shared" si="130"/>
        <v>0.40272226665089866</v>
      </c>
      <c r="AH595" s="22">
        <f t="shared" si="130"/>
        <v>0.41501766533472662</v>
      </c>
      <c r="AI595" s="22">
        <f t="shared" si="130"/>
        <v>0.42700130219026528</v>
      </c>
      <c r="AJ595" s="22">
        <f t="shared" si="130"/>
        <v>0.44046546100421546</v>
      </c>
      <c r="AK595" s="22">
        <f t="shared" si="130"/>
        <v>0.45333055520989524</v>
      </c>
      <c r="AL595" s="22">
        <f t="shared" si="130"/>
        <v>0.46701619271583805</v>
      </c>
      <c r="AM595" s="22">
        <f t="shared" si="130"/>
        <v>0.48079646315959662</v>
      </c>
      <c r="AN595" s="22">
        <f t="shared" si="130"/>
        <v>0.49715144699339536</v>
      </c>
      <c r="AO595" s="22">
        <f t="shared" si="130"/>
        <v>0.51271284356388047</v>
      </c>
      <c r="AP595" s="22">
        <f t="shared" si="130"/>
        <v>0.52856616956956437</v>
      </c>
      <c r="AQ595" s="22">
        <f t="shared" si="130"/>
        <v>0.54499431888614669</v>
      </c>
      <c r="AR595" s="22">
        <f t="shared" si="130"/>
        <v>0.56210625186052299</v>
      </c>
      <c r="AS595" s="22">
        <f t="shared" si="130"/>
        <v>0.58227066272581418</v>
      </c>
      <c r="AT595" s="22">
        <f t="shared" si="130"/>
        <v>0.59525693388734258</v>
      </c>
      <c r="AU595" s="22">
        <f t="shared" si="130"/>
        <v>0.60778527419801665</v>
      </c>
      <c r="AV595" s="22">
        <f t="shared" si="130"/>
        <v>0.62062894178535877</v>
      </c>
      <c r="AW595" s="22">
        <f t="shared" si="130"/>
        <v>0.63346374044156473</v>
      </c>
      <c r="AY595" s="79"/>
    </row>
    <row r="596" spans="1:51" x14ac:dyDescent="0.2">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8.9709854381943815E-2</v>
      </c>
      <c r="M596" s="22">
        <f t="shared" si="130"/>
        <v>9.0417475033143083E-2</v>
      </c>
      <c r="N596" s="22">
        <f t="shared" si="130"/>
        <v>9.0872196678668984E-2</v>
      </c>
      <c r="O596" s="22">
        <f t="shared" si="130"/>
        <v>9.1174361291842948E-2</v>
      </c>
      <c r="P596" s="22">
        <f t="shared" si="130"/>
        <v>9.1320994898161728E-2</v>
      </c>
      <c r="Q596" s="22">
        <f t="shared" si="130"/>
        <v>9.1644963105957017E-2</v>
      </c>
      <c r="R596" s="22">
        <f t="shared" si="130"/>
        <v>9.2016609055475651E-2</v>
      </c>
      <c r="S596" s="22">
        <f t="shared" si="130"/>
        <v>8.9497634351969751E-2</v>
      </c>
      <c r="T596" s="22">
        <f t="shared" si="130"/>
        <v>9.0526156863539653E-2</v>
      </c>
      <c r="U596" s="22">
        <f t="shared" si="130"/>
        <v>9.133211275409571E-2</v>
      </c>
      <c r="V596" s="22">
        <f t="shared" si="130"/>
        <v>9.2095667401537948E-2</v>
      </c>
      <c r="W596" s="22">
        <f t="shared" si="130"/>
        <v>9.2988337377843094E-2</v>
      </c>
      <c r="X596" s="22">
        <f t="shared" si="130"/>
        <v>9.3843223396191833E-2</v>
      </c>
      <c r="Y596" s="22">
        <f t="shared" si="130"/>
        <v>9.4560210431129388E-2</v>
      </c>
      <c r="Z596" s="22">
        <f t="shared" si="130"/>
        <v>9.5257283424355771E-2</v>
      </c>
      <c r="AA596" s="22">
        <f t="shared" si="130"/>
        <v>9.5918466483612935E-2</v>
      </c>
      <c r="AB596" s="22">
        <f t="shared" si="130"/>
        <v>9.6778548113850782E-2</v>
      </c>
      <c r="AC596" s="22">
        <f t="shared" si="130"/>
        <v>9.7634207071548518E-2</v>
      </c>
      <c r="AD596" s="22">
        <f t="shared" si="130"/>
        <v>9.8526906814348045E-2</v>
      </c>
      <c r="AE596" s="22">
        <f t="shared" si="130"/>
        <v>9.9615980454525591E-2</v>
      </c>
      <c r="AF596" s="22">
        <f t="shared" si="130"/>
        <v>0.1008065868820634</v>
      </c>
      <c r="AG596" s="22">
        <f t="shared" si="130"/>
        <v>0.10221006700957981</v>
      </c>
      <c r="AH596" s="22">
        <f t="shared" si="130"/>
        <v>0.10332162680247739</v>
      </c>
      <c r="AI596" s="22">
        <f t="shared" si="130"/>
        <v>0.10435425380397972</v>
      </c>
      <c r="AJ596" s="22">
        <f t="shared" si="130"/>
        <v>0.10550009187328319</v>
      </c>
      <c r="AK596" s="22">
        <f t="shared" si="130"/>
        <v>0.10661516318950658</v>
      </c>
      <c r="AL596" s="22">
        <f t="shared" si="130"/>
        <v>0.10779775034487957</v>
      </c>
      <c r="AM596" s="22">
        <f t="shared" si="130"/>
        <v>0.10899733735251546</v>
      </c>
      <c r="AN596" s="22">
        <f t="shared" si="130"/>
        <v>0.11032305770963274</v>
      </c>
      <c r="AO596" s="22">
        <f t="shared" si="130"/>
        <v>0.1116034974988518</v>
      </c>
      <c r="AP596" s="22">
        <f t="shared" si="130"/>
        <v>0.11291437639210956</v>
      </c>
      <c r="AQ596" s="22">
        <f t="shared" si="130"/>
        <v>0.11427557081956052</v>
      </c>
      <c r="AR596" s="22">
        <f t="shared" si="130"/>
        <v>0.11569486271533871</v>
      </c>
      <c r="AS596" s="22">
        <f t="shared" si="130"/>
        <v>0.11727523367677491</v>
      </c>
      <c r="AT596" s="22">
        <f t="shared" si="130"/>
        <v>0.11835610910450192</v>
      </c>
      <c r="AU596" s="22">
        <f t="shared" si="130"/>
        <v>0.11941212579472428</v>
      </c>
      <c r="AV596" s="22">
        <f t="shared" si="130"/>
        <v>0.120498066178682</v>
      </c>
      <c r="AW596" s="22">
        <f t="shared" si="130"/>
        <v>0.12159075101335114</v>
      </c>
      <c r="AY596" s="79"/>
    </row>
    <row r="597" spans="1:51" x14ac:dyDescent="0.2">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2.7090100081973278E-2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2.7786681470952927E-2</v>
      </c>
      <c r="S597" s="22">
        <f t="shared" si="130"/>
        <v>2.7026015016948877E-2</v>
      </c>
      <c r="T597" s="22">
        <f t="shared" si="130"/>
        <v>2.7336602721799708E-2</v>
      </c>
      <c r="U597" s="22">
        <f t="shared" si="130"/>
        <v>2.7579980953625429E-2</v>
      </c>
      <c r="V597" s="22">
        <f t="shared" si="130"/>
        <v>2.7810555085751417E-2</v>
      </c>
      <c r="W597" s="22">
        <f t="shared" si="130"/>
        <v>2.8080118771534705E-2</v>
      </c>
      <c r="X597" s="22">
        <f t="shared" si="130"/>
        <v>2.8338272660595177E-2</v>
      </c>
      <c r="Y597" s="22">
        <f t="shared" si="130"/>
        <v>2.8554784555166308E-2</v>
      </c>
      <c r="Z597" s="22">
        <f t="shared" si="130"/>
        <v>2.8765282914360448E-2</v>
      </c>
      <c r="AA597" s="22">
        <f t="shared" si="130"/>
        <v>2.8964943424024437E-2</v>
      </c>
      <c r="AB597" s="22">
        <f t="shared" si="130"/>
        <v>2.9224666256062608E-2</v>
      </c>
      <c r="AC597" s="22">
        <f t="shared" si="130"/>
        <v>2.9483053553196983E-2</v>
      </c>
      <c r="AD597" s="22">
        <f t="shared" si="130"/>
        <v>2.9752626227706403E-2</v>
      </c>
      <c r="AE597" s="22">
        <f t="shared" si="130"/>
        <v>3.0081498837213019E-2</v>
      </c>
      <c r="AF597" s="22">
        <f t="shared" si="130"/>
        <v>3.0441031772612943E-2</v>
      </c>
      <c r="AG597" s="22">
        <f t="shared" si="130"/>
        <v>3.0864847164795019E-2</v>
      </c>
      <c r="AH597" s="22">
        <f t="shared" si="130"/>
        <v>3.1200510021948794E-2</v>
      </c>
      <c r="AI597" s="22">
        <f t="shared" si="130"/>
        <v>3.1512337178628218E-2</v>
      </c>
      <c r="AJ597" s="22">
        <f t="shared" si="130"/>
        <v>3.1858351205615788E-2</v>
      </c>
      <c r="AK597" s="22">
        <f t="shared" si="130"/>
        <v>3.2195074453726519E-2</v>
      </c>
      <c r="AL597" s="22">
        <f t="shared" si="130"/>
        <v>3.2552185772381829E-2</v>
      </c>
      <c r="AM597" s="22">
        <f t="shared" si="130"/>
        <v>3.2914430615133806E-2</v>
      </c>
      <c r="AN597" s="22">
        <f t="shared" si="130"/>
        <v>3.331476452942278E-2</v>
      </c>
      <c r="AO597" s="22">
        <f t="shared" si="130"/>
        <v>3.370142486097568E-2</v>
      </c>
      <c r="AP597" s="22">
        <f t="shared" si="130"/>
        <v>3.4097277029707398E-2</v>
      </c>
      <c r="AQ597" s="22">
        <f t="shared" si="130"/>
        <v>3.4508323213259036E-2</v>
      </c>
      <c r="AR597" s="22">
        <f t="shared" si="130"/>
        <v>3.4936913358311179E-2</v>
      </c>
      <c r="AS597" s="22">
        <f t="shared" si="130"/>
        <v>3.5414145294611905E-2</v>
      </c>
      <c r="AT597" s="22">
        <f t="shared" si="130"/>
        <v>3.5740542251947324E-2</v>
      </c>
      <c r="AU597" s="22">
        <f t="shared" si="130"/>
        <v>3.6059432501223176E-2</v>
      </c>
      <c r="AV597" s="22">
        <f t="shared" si="130"/>
        <v>3.638735894684221E-2</v>
      </c>
      <c r="AW597" s="22">
        <f t="shared" si="130"/>
        <v>3.6717322045469181E-2</v>
      </c>
      <c r="AY597" s="79"/>
    </row>
    <row r="598" spans="1:51" x14ac:dyDescent="0.2">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1.4564639612104711E-3</v>
      </c>
      <c r="M598" s="22">
        <f t="shared" si="130"/>
        <v>1.4679523755410987E-3</v>
      </c>
      <c r="N598" s="22">
        <f t="shared" si="130"/>
        <v>1.4753349055168039E-3</v>
      </c>
      <c r="O598" s="22">
        <f t="shared" si="130"/>
        <v>1.4802406304505133E-3</v>
      </c>
      <c r="P598" s="22">
        <f t="shared" si="130"/>
        <v>1.4826212670547858E-3</v>
      </c>
      <c r="Q598" s="22">
        <f t="shared" si="130"/>
        <v>1.4878809792957942E-3</v>
      </c>
      <c r="R598" s="22">
        <f t="shared" si="130"/>
        <v>1.4939147526814823E-3</v>
      </c>
      <c r="S598" s="22">
        <f t="shared" si="130"/>
        <v>1.4530185111243717E-3</v>
      </c>
      <c r="T598" s="22">
        <f t="shared" si="130"/>
        <v>1.4697168547089842E-3</v>
      </c>
      <c r="U598" s="22">
        <f t="shared" si="130"/>
        <v>1.4828017684791316E-3</v>
      </c>
      <c r="V598" s="22">
        <f t="shared" si="130"/>
        <v>1.4951982864990986E-3</v>
      </c>
      <c r="W598" s="22">
        <f t="shared" si="130"/>
        <v>1.5096910271093734E-3</v>
      </c>
      <c r="X598" s="22">
        <f t="shared" si="130"/>
        <v>1.5235703348537217E-3</v>
      </c>
      <c r="Y598" s="22">
        <f t="shared" si="130"/>
        <v>1.5352108149797475E-3</v>
      </c>
      <c r="Z598" s="22">
        <f t="shared" si="130"/>
        <v>1.5465279852054938E-3</v>
      </c>
      <c r="AA598" s="22">
        <f t="shared" si="130"/>
        <v>1.5572624725614869E-3</v>
      </c>
      <c r="AB598" s="22">
        <f t="shared" si="130"/>
        <v>1.5712261324823602E-3</v>
      </c>
      <c r="AC598" s="22">
        <f t="shared" si="130"/>
        <v>1.5851179891079189E-3</v>
      </c>
      <c r="AD598" s="22">
        <f t="shared" si="130"/>
        <v>1.5996112129853511E-3</v>
      </c>
      <c r="AE598" s="22">
        <f t="shared" si="130"/>
        <v>1.6172926206629243E-3</v>
      </c>
      <c r="AF598" s="22">
        <f t="shared" si="130"/>
        <v>1.636622440844233E-3</v>
      </c>
      <c r="AG598" s="22">
        <f t="shared" si="130"/>
        <v>1.6594083236225038E-3</v>
      </c>
      <c r="AH598" s="22">
        <f t="shared" si="130"/>
        <v>1.6774548001243291E-3</v>
      </c>
      <c r="AI598" s="22">
        <f t="shared" si="130"/>
        <v>1.6942197812228126E-3</v>
      </c>
      <c r="AJ598" s="22">
        <f t="shared" si="130"/>
        <v>1.7128227748941451E-3</v>
      </c>
      <c r="AK598" s="22">
        <f t="shared" si="130"/>
        <v>1.7309262619352049E-3</v>
      </c>
      <c r="AL598" s="22">
        <f t="shared" si="130"/>
        <v>1.7501258870450394E-3</v>
      </c>
      <c r="AM598" s="22">
        <f t="shared" si="130"/>
        <v>1.7696015093943904E-3</v>
      </c>
      <c r="AN598" s="22">
        <f t="shared" si="130"/>
        <v>1.7911249410852239E-3</v>
      </c>
      <c r="AO598" s="22">
        <f t="shared" si="130"/>
        <v>1.8119132304024437E-3</v>
      </c>
      <c r="AP598" s="22">
        <f t="shared" si="130"/>
        <v>1.8331957068783579E-3</v>
      </c>
      <c r="AQ598" s="22">
        <f t="shared" si="130"/>
        <v>1.8552950697793623E-3</v>
      </c>
      <c r="AR598" s="22">
        <f t="shared" si="130"/>
        <v>1.8783376609292489E-3</v>
      </c>
      <c r="AS598" s="22">
        <f t="shared" si="130"/>
        <v>1.9039954146569001E-3</v>
      </c>
      <c r="AT598" s="22">
        <f t="shared" si="130"/>
        <v>1.9215437221186409E-3</v>
      </c>
      <c r="AU598" s="22">
        <f t="shared" si="130"/>
        <v>1.938688441194845E-3</v>
      </c>
      <c r="AV598" s="22">
        <f t="shared" si="130"/>
        <v>1.9563189796028518E-3</v>
      </c>
      <c r="AW598" s="22">
        <f t="shared" si="130"/>
        <v>1.9740590160082297E-3</v>
      </c>
      <c r="AY598" s="79"/>
    </row>
    <row r="599" spans="1:51" x14ac:dyDescent="0.2">
      <c r="A599" s="95" t="str">
        <f t="shared" si="108"/>
        <v>PQ MM Leaching</v>
      </c>
      <c r="B599" s="95" t="s">
        <v>968</v>
      </c>
      <c r="C599" s="95" t="s">
        <v>1333</v>
      </c>
      <c r="D599" t="s">
        <v>369</v>
      </c>
      <c r="E599" t="s">
        <v>64</v>
      </c>
      <c r="F599" t="s">
        <v>63</v>
      </c>
      <c r="G599" t="s">
        <v>1158</v>
      </c>
      <c r="H599" t="s">
        <v>1309</v>
      </c>
      <c r="I599" t="s">
        <v>139</v>
      </c>
      <c r="J599" t="s">
        <v>287</v>
      </c>
      <c r="K599" s="22">
        <f t="shared" si="127"/>
        <v>3.030301439269115E-2</v>
      </c>
      <c r="L599" s="22">
        <f t="shared" si="130"/>
        <v>3.0040206026371367E-2</v>
      </c>
      <c r="M599" s="22">
        <f t="shared" si="130"/>
        <v>2.99401628371932E-2</v>
      </c>
      <c r="N599" s="22">
        <f t="shared" si="130"/>
        <v>2.9540351153331298E-2</v>
      </c>
      <c r="O599" s="22">
        <f t="shared" si="130"/>
        <v>2.896001473012887E-2</v>
      </c>
      <c r="P599" s="22">
        <f t="shared" si="130"/>
        <v>2.8211154016296501E-2</v>
      </c>
      <c r="Q599" s="22">
        <f t="shared" si="130"/>
        <v>2.7620505669412022E-2</v>
      </c>
      <c r="R599" s="22">
        <f t="shared" si="130"/>
        <v>2.7061685185942385E-2</v>
      </c>
      <c r="S599" s="22">
        <f t="shared" si="130"/>
        <v>2.4017837723924858E-2</v>
      </c>
      <c r="T599" s="22">
        <f t="shared" si="130"/>
        <v>2.4477250922769193E-2</v>
      </c>
      <c r="U599" s="22">
        <f t="shared" si="130"/>
        <v>2.4722881599244746E-2</v>
      </c>
      <c r="V599" s="22">
        <f t="shared" si="130"/>
        <v>2.4911965822405392E-2</v>
      </c>
      <c r="W599" s="22">
        <f t="shared" si="130"/>
        <v>2.5185541319014813E-2</v>
      </c>
      <c r="X599" s="22">
        <f t="shared" si="130"/>
        <v>2.5407562443653844E-2</v>
      </c>
      <c r="Y599" s="22">
        <f t="shared" si="130"/>
        <v>2.5550689603830473E-2</v>
      </c>
      <c r="Z599" s="22">
        <f t="shared" si="130"/>
        <v>2.5662103388614917E-2</v>
      </c>
      <c r="AA599" s="22">
        <f t="shared" si="130"/>
        <v>2.5731155592918373E-2</v>
      </c>
      <c r="AB599" s="22">
        <f t="shared" si="130"/>
        <v>2.593557725784186E-2</v>
      </c>
      <c r="AC599" s="22">
        <f t="shared" si="130"/>
        <v>2.611950739638573E-2</v>
      </c>
      <c r="AD599" s="22">
        <f t="shared" si="130"/>
        <v>2.6128993823789925E-2</v>
      </c>
      <c r="AE599" s="22">
        <f t="shared" si="130"/>
        <v>2.6252210081774377E-2</v>
      </c>
      <c r="AF599" s="22">
        <f t="shared" si="130"/>
        <v>2.641514740098018E-2</v>
      </c>
      <c r="AG599" s="22">
        <f t="shared" si="130"/>
        <v>2.6688702803580544E-2</v>
      </c>
      <c r="AH599" s="22">
        <f t="shared" si="130"/>
        <v>2.6732393968630815E-2</v>
      </c>
      <c r="AI599" s="22">
        <f t="shared" si="130"/>
        <v>2.6727807661606592E-2</v>
      </c>
      <c r="AJ599" s="22">
        <f t="shared" si="130"/>
        <v>2.6767943392537564E-2</v>
      </c>
      <c r="AK599" s="22">
        <f t="shared" si="130"/>
        <v>2.6760535459775924E-2</v>
      </c>
      <c r="AL599" s="22">
        <f t="shared" si="130"/>
        <v>2.6766203431131164E-2</v>
      </c>
      <c r="AM599" s="22">
        <f t="shared" si="130"/>
        <v>2.675334011268881E-2</v>
      </c>
      <c r="AN599" s="22">
        <f t="shared" si="130"/>
        <v>2.694535805594156E-2</v>
      </c>
      <c r="AO599" s="22">
        <f t="shared" si="130"/>
        <v>2.7085830082425877E-2</v>
      </c>
      <c r="AP599" s="22">
        <f t="shared" si="130"/>
        <v>2.7218197229606188E-2</v>
      </c>
      <c r="AQ599" s="22">
        <f t="shared" si="130"/>
        <v>2.7352587206499832E-2</v>
      </c>
      <c r="AR599" s="22">
        <f t="shared" si="130"/>
        <v>2.7491914385096024E-2</v>
      </c>
      <c r="AS599" s="22">
        <f t="shared" si="130"/>
        <v>2.7710256058660829E-2</v>
      </c>
      <c r="AT599" s="22">
        <f t="shared" si="130"/>
        <v>2.7648758084134469E-2</v>
      </c>
      <c r="AU599" s="22">
        <f t="shared" si="130"/>
        <v>2.7556553714589756E-2</v>
      </c>
      <c r="AV599" s="22">
        <f t="shared" si="130"/>
        <v>2.7461054996500443E-2</v>
      </c>
      <c r="AW599" s="22">
        <f t="shared" si="130"/>
        <v>2.7350835179335974E-2</v>
      </c>
      <c r="AY599" s="79"/>
    </row>
    <row r="600" spans="1:51" x14ac:dyDescent="0.2">
      <c r="A600" s="95" t="str">
        <f t="shared" si="108"/>
        <v>PQ MM Leaching</v>
      </c>
      <c r="B600" s="95" t="s">
        <v>968</v>
      </c>
      <c r="C600" s="95" t="s">
        <v>1333</v>
      </c>
      <c r="D600" t="s">
        <v>369</v>
      </c>
      <c r="E600" t="s">
        <v>64</v>
      </c>
      <c r="F600" t="s">
        <v>63</v>
      </c>
      <c r="G600" t="s">
        <v>1160</v>
      </c>
      <c r="H600" t="s">
        <v>1310</v>
      </c>
      <c r="I600" t="s">
        <v>139</v>
      </c>
      <c r="J600" t="s">
        <v>287</v>
      </c>
      <c r="K600" s="22">
        <f t="shared" si="127"/>
        <v>4.0226293185258936E-2</v>
      </c>
      <c r="L600" s="22">
        <f t="shared" si="130"/>
        <v>3.9877423391049029E-2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3.1882919944479234E-2</v>
      </c>
      <c r="T600" s="22">
        <f t="shared" si="131"/>
        <v>3.2492776435665373E-2</v>
      </c>
      <c r="U600" s="22">
        <f t="shared" si="131"/>
        <v>3.2818843389901528E-2</v>
      </c>
      <c r="V600" s="22">
        <f t="shared" si="131"/>
        <v>3.3069846715808329E-2</v>
      </c>
      <c r="W600" s="22">
        <f t="shared" si="131"/>
        <v>3.3433009534935908E-2</v>
      </c>
      <c r="X600" s="22">
        <f t="shared" si="131"/>
        <v>3.372773555582987E-2</v>
      </c>
      <c r="Y600" s="22">
        <f t="shared" si="131"/>
        <v>3.3917732334151289E-2</v>
      </c>
      <c r="Z600" s="22">
        <f t="shared" si="131"/>
        <v>3.4065630609667365E-2</v>
      </c>
      <c r="AA600" s="22">
        <f t="shared" si="131"/>
        <v>3.4157295226903257E-2</v>
      </c>
      <c r="AB600" s="22">
        <f t="shared" si="131"/>
        <v>3.4428658521658995E-2</v>
      </c>
      <c r="AC600" s="22">
        <f t="shared" si="131"/>
        <v>3.4672819963249946E-2</v>
      </c>
      <c r="AD600" s="22">
        <f t="shared" si="131"/>
        <v>3.4685412895593133E-2</v>
      </c>
      <c r="AE600" s="22">
        <f t="shared" si="131"/>
        <v>3.4848978580994651E-2</v>
      </c>
      <c r="AF600" s="22">
        <f t="shared" si="131"/>
        <v>3.5065272718873365E-2</v>
      </c>
      <c r="AG600" s="22">
        <f t="shared" si="131"/>
        <v>3.542840886383946E-2</v>
      </c>
      <c r="AH600" s="22">
        <f t="shared" si="131"/>
        <v>3.5486407503583416E-2</v>
      </c>
      <c r="AI600" s="22">
        <f t="shared" si="131"/>
        <v>3.5480319326064061E-2</v>
      </c>
      <c r="AJ600" s="22">
        <f t="shared" si="131"/>
        <v>3.5533598239465607E-2</v>
      </c>
      <c r="AK600" s="22">
        <f t="shared" si="131"/>
        <v>3.5523764443021973E-2</v>
      </c>
      <c r="AL600" s="22">
        <f t="shared" si="131"/>
        <v>3.5531288495729951E-2</v>
      </c>
      <c r="AM600" s="22">
        <f t="shared" si="131"/>
        <v>3.5514212847337627E-2</v>
      </c>
      <c r="AN600" s="22">
        <f t="shared" si="131"/>
        <v>3.5769110593879244E-2</v>
      </c>
      <c r="AO600" s="22">
        <f t="shared" si="131"/>
        <v>3.5955582766200436E-2</v>
      </c>
      <c r="AP600" s="22">
        <f t="shared" si="131"/>
        <v>3.6131295967585977E-2</v>
      </c>
      <c r="AQ600" s="22">
        <f t="shared" si="131"/>
        <v>3.6309694411438075E-2</v>
      </c>
      <c r="AR600" s="22">
        <f t="shared" si="131"/>
        <v>3.6494646834396953E-2</v>
      </c>
      <c r="AS600" s="22">
        <f t="shared" si="131"/>
        <v>3.678448850036322E-2</v>
      </c>
      <c r="AT600" s="22">
        <f t="shared" si="131"/>
        <v>3.6702851884231939E-2</v>
      </c>
      <c r="AU600" s="22">
        <f t="shared" si="131"/>
        <v>3.6580453499892925E-2</v>
      </c>
      <c r="AV600" s="22">
        <f t="shared" si="131"/>
        <v>3.6453681972054293E-2</v>
      </c>
      <c r="AW600" s="22">
        <f t="shared" si="131"/>
        <v>3.6307368650791018E-2</v>
      </c>
      <c r="AY600" s="79"/>
    </row>
    <row r="601" spans="1:51" x14ac:dyDescent="0.2">
      <c r="A601" s="95" t="str">
        <f t="shared" si="108"/>
        <v>PQ MM Leaching</v>
      </c>
      <c r="B601" s="95" t="s">
        <v>968</v>
      </c>
      <c r="C601" s="95" t="s">
        <v>1333</v>
      </c>
      <c r="D601" t="s">
        <v>369</v>
      </c>
      <c r="E601" t="s">
        <v>64</v>
      </c>
      <c r="F601" t="s">
        <v>63</v>
      </c>
      <c r="G601" t="s">
        <v>1162</v>
      </c>
      <c r="H601" t="s">
        <v>1311</v>
      </c>
      <c r="I601" t="s">
        <v>139</v>
      </c>
      <c r="J601" t="s">
        <v>287</v>
      </c>
      <c r="K601" s="22">
        <f t="shared" si="127"/>
        <v>4.1968337096859203E-2</v>
      </c>
      <c r="L601" s="22">
        <f t="shared" si="131"/>
        <v>4.3383434779753476E-2</v>
      </c>
      <c r="M601" s="22">
        <f t="shared" si="131"/>
        <v>4.5063007666824861E-2</v>
      </c>
      <c r="N601" s="22">
        <f t="shared" si="131"/>
        <v>4.6315596244033502E-2</v>
      </c>
      <c r="O601" s="22">
        <f t="shared" si="131"/>
        <v>4.7281576900430208E-2</v>
      </c>
      <c r="P601" s="22">
        <f t="shared" si="131"/>
        <v>4.7947144057730852E-2</v>
      </c>
      <c r="Q601" s="22">
        <f t="shared" si="131"/>
        <v>4.8855920576585825E-2</v>
      </c>
      <c r="R601" s="22">
        <f t="shared" si="131"/>
        <v>4.9808583705724517E-2</v>
      </c>
      <c r="S601" s="22">
        <f t="shared" si="131"/>
        <v>4.5992827569741108E-2</v>
      </c>
      <c r="T601" s="22">
        <f t="shared" si="131"/>
        <v>4.8001865047769987E-2</v>
      </c>
      <c r="U601" s="22">
        <f t="shared" si="131"/>
        <v>4.9635626095010099E-2</v>
      </c>
      <c r="V601" s="22">
        <f t="shared" si="131"/>
        <v>5.1188596767602117E-2</v>
      </c>
      <c r="W601" s="22">
        <f t="shared" si="131"/>
        <v>5.2950508165481844E-2</v>
      </c>
      <c r="X601" s="22">
        <f t="shared" si="131"/>
        <v>5.4642195463321171E-2</v>
      </c>
      <c r="Y601" s="22">
        <f t="shared" si="131"/>
        <v>5.6197330304744171E-2</v>
      </c>
      <c r="Z601" s="22">
        <f t="shared" si="131"/>
        <v>5.7711583863191099E-2</v>
      </c>
      <c r="AA601" s="22">
        <f t="shared" si="131"/>
        <v>5.9156834222417472E-2</v>
      </c>
      <c r="AB601" s="22">
        <f t="shared" si="131"/>
        <v>6.0945336152729353E-2</v>
      </c>
      <c r="AC601" s="22">
        <f t="shared" si="131"/>
        <v>6.2724727985271067E-2</v>
      </c>
      <c r="AD601" s="22">
        <f t="shared" si="131"/>
        <v>6.4828386585152428E-2</v>
      </c>
      <c r="AE601" s="22">
        <f t="shared" si="131"/>
        <v>6.7298261230859621E-2</v>
      </c>
      <c r="AF601" s="22">
        <f t="shared" si="131"/>
        <v>6.9971651409000274E-2</v>
      </c>
      <c r="AG601" s="22">
        <f t="shared" si="131"/>
        <v>7.3058736585267875E-2</v>
      </c>
      <c r="AH601" s="22">
        <f t="shared" si="131"/>
        <v>7.563301385599043E-2</v>
      </c>
      <c r="AI601" s="22">
        <f t="shared" si="131"/>
        <v>7.8167775440571283E-2</v>
      </c>
      <c r="AJ601" s="22">
        <f t="shared" si="131"/>
        <v>8.0935873308178169E-2</v>
      </c>
      <c r="AK601" s="22">
        <f t="shared" si="131"/>
        <v>8.3668525365720503E-2</v>
      </c>
      <c r="AL601" s="22">
        <f t="shared" si="131"/>
        <v>8.6553364339565772E-2</v>
      </c>
      <c r="AM601" s="22">
        <f t="shared" si="131"/>
        <v>8.9495828472457392E-2</v>
      </c>
      <c r="AN601" s="22">
        <f t="shared" si="131"/>
        <v>9.2681440579714905E-2</v>
      </c>
      <c r="AO601" s="22">
        <f t="shared" si="131"/>
        <v>9.5802357584515191E-2</v>
      </c>
      <c r="AP601" s="22">
        <f t="shared" si="131"/>
        <v>9.9006841589941233E-2</v>
      </c>
      <c r="AQ601" s="22">
        <f t="shared" si="131"/>
        <v>0.10233590350911345</v>
      </c>
      <c r="AR601" s="22">
        <f t="shared" si="131"/>
        <v>0.10580733136333606</v>
      </c>
      <c r="AS601" s="22">
        <f t="shared" si="131"/>
        <v>0.10972241500262403</v>
      </c>
      <c r="AT601" s="22">
        <f t="shared" si="131"/>
        <v>0.11265304371652905</v>
      </c>
      <c r="AU601" s="22">
        <f t="shared" si="131"/>
        <v>0.11555235138269004</v>
      </c>
      <c r="AV601" s="22">
        <f t="shared" si="131"/>
        <v>0.11853253196869915</v>
      </c>
      <c r="AW601" s="22">
        <f t="shared" si="131"/>
        <v>0.12154670327230575</v>
      </c>
      <c r="AY601" s="79"/>
    </row>
    <row r="602" spans="1:51" x14ac:dyDescent="0.2">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4.4831371338441527E-3</v>
      </c>
      <c r="T602" s="22">
        <f t="shared" si="131"/>
        <v>4.4899645877902617E-3</v>
      </c>
      <c r="U602" s="22">
        <f t="shared" si="131"/>
        <v>4.4976812446803844E-3</v>
      </c>
      <c r="V602" s="22">
        <f t="shared" si="131"/>
        <v>4.5063863158882386E-3</v>
      </c>
      <c r="W602" s="22">
        <f t="shared" si="131"/>
        <v>4.5161788811117947E-3</v>
      </c>
      <c r="X602" s="22">
        <f t="shared" si="131"/>
        <v>4.5268547446196596E-3</v>
      </c>
      <c r="Y602" s="22">
        <f t="shared" si="131"/>
        <v>4.5333477172681842E-3</v>
      </c>
      <c r="Z602" s="22">
        <f t="shared" si="131"/>
        <v>4.5405999943124754E-3</v>
      </c>
      <c r="AA602" s="22">
        <f t="shared" si="131"/>
        <v>4.5485583758995193E-3</v>
      </c>
      <c r="AB602" s="22">
        <f t="shared" si="131"/>
        <v>4.5574030453961476E-3</v>
      </c>
      <c r="AC602" s="22">
        <f t="shared" si="131"/>
        <v>4.5669166889101189E-3</v>
      </c>
      <c r="AD602" s="22">
        <f t="shared" si="131"/>
        <v>4.5731331974710569E-3</v>
      </c>
      <c r="AE602" s="22">
        <f t="shared" si="131"/>
        <v>4.5801112561138658E-3</v>
      </c>
      <c r="AF602" s="22">
        <f t="shared" si="131"/>
        <v>4.5877393890876687E-3</v>
      </c>
      <c r="AG602" s="22">
        <f t="shared" si="131"/>
        <v>4.5960968162402412E-3</v>
      </c>
      <c r="AH602" s="22">
        <f t="shared" si="131"/>
        <v>4.60470160066862E-3</v>
      </c>
      <c r="AI602" s="22">
        <f t="shared" si="131"/>
        <v>4.6099752593178585E-3</v>
      </c>
      <c r="AJ602" s="22">
        <f t="shared" si="131"/>
        <v>4.6158010652929838E-3</v>
      </c>
      <c r="AK602" s="22">
        <f t="shared" si="131"/>
        <v>4.6220305138924079E-3</v>
      </c>
      <c r="AL602" s="22">
        <f t="shared" si="131"/>
        <v>4.6287377180545888E-3</v>
      </c>
      <c r="AM602" s="22">
        <f t="shared" si="131"/>
        <v>4.635862068128902E-3</v>
      </c>
      <c r="AN602" s="22">
        <f t="shared" si="131"/>
        <v>4.6399936101115553E-3</v>
      </c>
      <c r="AO602" s="22">
        <f t="shared" si="131"/>
        <v>4.6444376176989054E-3</v>
      </c>
      <c r="AP602" s="22">
        <f t="shared" si="131"/>
        <v>4.6492508857149065E-3</v>
      </c>
      <c r="AQ602" s="22">
        <f t="shared" si="131"/>
        <v>4.6544400588078442E-3</v>
      </c>
      <c r="AR602" s="22">
        <f t="shared" si="131"/>
        <v>4.6600015094737631E-3</v>
      </c>
      <c r="AS602" s="22">
        <f t="shared" si="131"/>
        <v>4.6624883129741824E-3</v>
      </c>
      <c r="AT602" s="22">
        <f t="shared" si="131"/>
        <v>4.6648029335130551E-3</v>
      </c>
      <c r="AU602" s="22">
        <f t="shared" si="131"/>
        <v>4.6673689256300846E-3</v>
      </c>
      <c r="AV602" s="22">
        <f t="shared" si="131"/>
        <v>4.6702274196843731E-3</v>
      </c>
      <c r="AW602" s="22">
        <f t="shared" si="131"/>
        <v>4.6733489894838004E-3</v>
      </c>
      <c r="AY602" s="79"/>
    </row>
    <row r="603" spans="1:51" x14ac:dyDescent="0.2">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3.7291632343986812E-3</v>
      </c>
      <c r="T603" s="22">
        <f t="shared" si="131"/>
        <v>3.7348424472980965E-3</v>
      </c>
      <c r="U603" s="22">
        <f t="shared" si="131"/>
        <v>3.7412613170109757E-3</v>
      </c>
      <c r="V603" s="22">
        <f t="shared" si="131"/>
        <v>3.7485023695444986E-3</v>
      </c>
      <c r="W603" s="22">
        <f t="shared" si="131"/>
        <v>3.7566480213753234E-3</v>
      </c>
      <c r="X603" s="22">
        <f t="shared" si="131"/>
        <v>3.7655284184054385E-3</v>
      </c>
      <c r="Y603" s="22">
        <f t="shared" si="131"/>
        <v>3.770929403064159E-3</v>
      </c>
      <c r="Z603" s="22">
        <f t="shared" si="131"/>
        <v>3.7769619923229323E-3</v>
      </c>
      <c r="AA603" s="22">
        <f t="shared" si="131"/>
        <v>3.7835819334787997E-3</v>
      </c>
      <c r="AB603" s="22">
        <f t="shared" si="131"/>
        <v>3.7909391066641191E-3</v>
      </c>
      <c r="AC603" s="22">
        <f t="shared" si="131"/>
        <v>3.7988527458320239E-3</v>
      </c>
      <c r="AD603" s="22">
        <f t="shared" si="131"/>
        <v>3.8040237621270109E-3</v>
      </c>
      <c r="AE603" s="22">
        <f t="shared" si="131"/>
        <v>3.8098282510287203E-3</v>
      </c>
      <c r="AF603" s="22">
        <f t="shared" si="131"/>
        <v>3.8161734847754797E-3</v>
      </c>
      <c r="AG603" s="22">
        <f t="shared" si="131"/>
        <v>3.823125360022894E-3</v>
      </c>
      <c r="AH603" s="22">
        <f t="shared" si="131"/>
        <v>3.8302829920051928E-3</v>
      </c>
      <c r="AI603" s="22">
        <f t="shared" si="131"/>
        <v>3.834669726864819E-3</v>
      </c>
      <c r="AJ603" s="22">
        <f t="shared" si="131"/>
        <v>3.8395157489258354E-3</v>
      </c>
      <c r="AK603" s="22">
        <f t="shared" si="131"/>
        <v>3.8446975290039364E-3</v>
      </c>
      <c r="AL603" s="22">
        <f t="shared" si="131"/>
        <v>3.8502767157253038E-3</v>
      </c>
      <c r="AM603" s="22">
        <f t="shared" si="131"/>
        <v>3.8562028927689521E-3</v>
      </c>
      <c r="AN603" s="22">
        <f t="shared" si="131"/>
        <v>3.8596395921165526E-3</v>
      </c>
      <c r="AO603" s="22">
        <f t="shared" si="131"/>
        <v>3.8633362066106815E-3</v>
      </c>
      <c r="AP603" s="22">
        <f t="shared" si="131"/>
        <v>3.8673399793231139E-3</v>
      </c>
      <c r="AQ603" s="22">
        <f t="shared" si="131"/>
        <v>3.8716564374053405E-3</v>
      </c>
      <c r="AR603" s="22">
        <f t="shared" si="131"/>
        <v>3.8762825634269383E-3</v>
      </c>
      <c r="AS603" s="22">
        <f t="shared" si="131"/>
        <v>3.8783511363721934E-3</v>
      </c>
      <c r="AT603" s="22">
        <f t="shared" si="131"/>
        <v>3.8802764840823911E-3</v>
      </c>
      <c r="AU603" s="22">
        <f t="shared" si="131"/>
        <v>3.8824109277045466E-3</v>
      </c>
      <c r="AV603" s="22">
        <f t="shared" si="131"/>
        <v>3.8847886802949221E-3</v>
      </c>
      <c r="AW603" s="22">
        <f t="shared" si="131"/>
        <v>3.8873852645577018E-3</v>
      </c>
      <c r="AY603" s="79"/>
    </row>
    <row r="604" spans="1:51" x14ac:dyDescent="0.2">
      <c r="A604" s="95" t="str">
        <f t="shared" si="108"/>
        <v>PQ MM Leaching</v>
      </c>
      <c r="B604" s="95" t="s">
        <v>968</v>
      </c>
      <c r="C604" s="95" t="s">
        <v>1333</v>
      </c>
      <c r="D604" t="s">
        <v>369</v>
      </c>
      <c r="E604" t="s">
        <v>64</v>
      </c>
      <c r="F604" t="s">
        <v>63</v>
      </c>
      <c r="G604" t="s">
        <v>1168</v>
      </c>
      <c r="H604" t="s">
        <v>1314</v>
      </c>
      <c r="I604" t="s">
        <v>139</v>
      </c>
      <c r="J604" t="s">
        <v>287</v>
      </c>
      <c r="K604" s="22">
        <f t="shared" si="127"/>
        <v>5.4322987485311551E-4</v>
      </c>
      <c r="L604" s="22">
        <f t="shared" si="131"/>
        <v>5.4464201031358182E-4</v>
      </c>
      <c r="M604" s="22">
        <f t="shared" si="131"/>
        <v>5.4659000127818655E-4</v>
      </c>
      <c r="N604" s="22">
        <f t="shared" si="131"/>
        <v>5.4896316873921192E-4</v>
      </c>
      <c r="O604" s="22">
        <f t="shared" si="131"/>
        <v>5.5175812793145673E-4</v>
      </c>
      <c r="P604" s="22">
        <f t="shared" si="131"/>
        <v>5.5495786726734487E-4</v>
      </c>
      <c r="Q604" s="22">
        <f t="shared" si="131"/>
        <v>5.5840147541839707E-4</v>
      </c>
      <c r="R604" s="22">
        <f t="shared" si="131"/>
        <v>5.620753208024884E-4</v>
      </c>
      <c r="S604" s="22">
        <f t="shared" si="131"/>
        <v>5.6545048661351359E-4</v>
      </c>
      <c r="T604" s="22">
        <f t="shared" si="131"/>
        <v>5.6709357361271675E-4</v>
      </c>
      <c r="U604" s="22">
        <f t="shared" si="131"/>
        <v>5.688596151711496E-4</v>
      </c>
      <c r="V604" s="22">
        <f t="shared" si="131"/>
        <v>5.7077020841237065E-4</v>
      </c>
      <c r="W604" s="22">
        <f t="shared" si="131"/>
        <v>5.7284633112627235E-4</v>
      </c>
      <c r="X604" s="22">
        <f t="shared" si="131"/>
        <v>5.7505104202951998E-4</v>
      </c>
      <c r="Y604" s="22">
        <f t="shared" si="131"/>
        <v>5.7642933432393154E-4</v>
      </c>
      <c r="Z604" s="22">
        <f t="shared" si="131"/>
        <v>5.7792028160119863E-4</v>
      </c>
      <c r="AA604" s="22">
        <f t="shared" si="131"/>
        <v>5.7951511495132196E-4</v>
      </c>
      <c r="AB604" s="22">
        <f t="shared" si="131"/>
        <v>5.8124875364710992E-4</v>
      </c>
      <c r="AC604" s="22">
        <f t="shared" si="131"/>
        <v>5.8308126155427384E-4</v>
      </c>
      <c r="AD604" s="22">
        <f t="shared" si="131"/>
        <v>5.8427258810919626E-4</v>
      </c>
      <c r="AE604" s="22">
        <f t="shared" si="131"/>
        <v>5.8558467766040652E-4</v>
      </c>
      <c r="AF604" s="22">
        <f t="shared" si="131"/>
        <v>5.8699724042408691E-4</v>
      </c>
      <c r="AG604" s="22">
        <f t="shared" si="131"/>
        <v>5.8852547780245982E-4</v>
      </c>
      <c r="AH604" s="22">
        <f t="shared" si="131"/>
        <v>5.9008039799106414E-4</v>
      </c>
      <c r="AI604" s="22">
        <f t="shared" si="131"/>
        <v>5.9100081451309786E-4</v>
      </c>
      <c r="AJ604" s="22">
        <f t="shared" si="131"/>
        <v>5.9200813916272929E-4</v>
      </c>
      <c r="AK604" s="22">
        <f t="shared" si="131"/>
        <v>5.9307526025328071E-4</v>
      </c>
      <c r="AL604" s="22">
        <f t="shared" si="131"/>
        <v>5.942161722415414E-4</v>
      </c>
      <c r="AM604" s="22">
        <f t="shared" si="131"/>
        <v>5.9541998695626641E-4</v>
      </c>
      <c r="AN604" s="22">
        <f t="shared" si="131"/>
        <v>5.9606189392580344E-4</v>
      </c>
      <c r="AO604" s="22">
        <f t="shared" si="131"/>
        <v>5.9675021369894824E-4</v>
      </c>
      <c r="AP604" s="22">
        <f t="shared" si="131"/>
        <v>5.9749556471656829E-4</v>
      </c>
      <c r="AQ604" s="22">
        <f t="shared" si="131"/>
        <v>5.9829931979982535E-4</v>
      </c>
      <c r="AR604" s="22">
        <f t="shared" si="131"/>
        <v>5.9916094831137718E-4</v>
      </c>
      <c r="AS604" s="22">
        <f t="shared" si="131"/>
        <v>5.9945405400764929E-4</v>
      </c>
      <c r="AT604" s="22">
        <f t="shared" si="131"/>
        <v>5.9970848295436412E-4</v>
      </c>
      <c r="AU604" s="22">
        <f t="shared" si="131"/>
        <v>6.00001478883441E-4</v>
      </c>
      <c r="AV604" s="22">
        <f t="shared" si="131"/>
        <v>6.0034059567570894E-4</v>
      </c>
      <c r="AW604" s="22">
        <f t="shared" si="131"/>
        <v>6.0072058236705953E-4</v>
      </c>
      <c r="AY604" s="79"/>
    </row>
    <row r="605" spans="1:51" x14ac:dyDescent="0.2">
      <c r="A605" s="95" t="str">
        <f t="shared" si="108"/>
        <v>PQ MM Leaching</v>
      </c>
      <c r="B605" s="95" t="s">
        <v>968</v>
      </c>
      <c r="C605" s="95" t="s">
        <v>1333</v>
      </c>
      <c r="D605" t="s">
        <v>369</v>
      </c>
      <c r="E605" t="s">
        <v>64</v>
      </c>
      <c r="F605" t="s">
        <v>63</v>
      </c>
      <c r="G605" t="s">
        <v>1170</v>
      </c>
      <c r="H605" t="s">
        <v>1315</v>
      </c>
      <c r="I605" t="s">
        <v>139</v>
      </c>
      <c r="J605" t="s">
        <v>287</v>
      </c>
      <c r="K605" s="22">
        <f t="shared" si="127"/>
        <v>6.6992563985089938E-3</v>
      </c>
      <c r="L605" s="22">
        <f t="shared" si="131"/>
        <v>6.716671231449923E-3</v>
      </c>
      <c r="M605" s="22">
        <f t="shared" si="131"/>
        <v>6.7406943780734313E-3</v>
      </c>
      <c r="N605" s="22">
        <f t="shared" si="131"/>
        <v>6.769960915195136E-3</v>
      </c>
      <c r="O605" s="22">
        <f t="shared" si="131"/>
        <v>6.8044291009834836E-3</v>
      </c>
      <c r="P605" s="22">
        <f t="shared" si="131"/>
        <v>6.8438891439814974E-3</v>
      </c>
      <c r="Q605" s="22">
        <f t="shared" si="131"/>
        <v>6.8863566425632549E-3</v>
      </c>
      <c r="R605" s="22">
        <f t="shared" si="131"/>
        <v>6.9316634884048298E-3</v>
      </c>
      <c r="S605" s="22">
        <f t="shared" si="131"/>
        <v>6.973286937707302E-3</v>
      </c>
      <c r="T605" s="22">
        <f t="shared" si="131"/>
        <v>6.9935499269173423E-3</v>
      </c>
      <c r="U605" s="22">
        <f t="shared" si="131"/>
        <v>7.0153292247027649E-3</v>
      </c>
      <c r="V605" s="22">
        <f t="shared" si="131"/>
        <v>7.0388911725791786E-3</v>
      </c>
      <c r="W605" s="22">
        <f t="shared" si="131"/>
        <v>7.0644944742734297E-3</v>
      </c>
      <c r="X605" s="22">
        <f t="shared" si="131"/>
        <v>7.0916835599794349E-3</v>
      </c>
      <c r="Y605" s="22">
        <f t="shared" si="131"/>
        <v>7.1086810299268487E-3</v>
      </c>
      <c r="Z605" s="22">
        <f t="shared" si="131"/>
        <v>7.1270677913135832E-3</v>
      </c>
      <c r="AA605" s="22">
        <f t="shared" si="131"/>
        <v>7.1467357035915266E-3</v>
      </c>
      <c r="AB605" s="22">
        <f t="shared" si="131"/>
        <v>7.1681154005910717E-3</v>
      </c>
      <c r="AC605" s="22">
        <f t="shared" si="131"/>
        <v>7.1907143792015659E-3</v>
      </c>
      <c r="AD605" s="22">
        <f t="shared" si="131"/>
        <v>7.2054061375440787E-3</v>
      </c>
      <c r="AE605" s="22">
        <f t="shared" si="131"/>
        <v>7.2215871775204617E-3</v>
      </c>
      <c r="AF605" s="22">
        <f t="shared" si="131"/>
        <v>7.2390072800791469E-3</v>
      </c>
      <c r="AG605" s="22">
        <f t="shared" si="131"/>
        <v>7.2578539129862047E-3</v>
      </c>
      <c r="AH605" s="22">
        <f t="shared" si="131"/>
        <v>7.277029605459848E-3</v>
      </c>
      <c r="AI605" s="22">
        <f t="shared" si="131"/>
        <v>7.2883804286747794E-3</v>
      </c>
      <c r="AJ605" s="22">
        <f t="shared" si="131"/>
        <v>7.3008030262100192E-3</v>
      </c>
      <c r="AK605" s="22">
        <f t="shared" si="131"/>
        <v>7.3139630494797169E-3</v>
      </c>
      <c r="AL605" s="22">
        <f t="shared" si="131"/>
        <v>7.3280330818754061E-3</v>
      </c>
      <c r="AM605" s="22">
        <f t="shared" si="131"/>
        <v>7.3428788475513491E-3</v>
      </c>
      <c r="AN605" s="22">
        <f t="shared" si="131"/>
        <v>7.3507950163262765E-3</v>
      </c>
      <c r="AO605" s="22">
        <f t="shared" si="131"/>
        <v>7.3592835602335977E-3</v>
      </c>
      <c r="AP605" s="22">
        <f t="shared" si="131"/>
        <v>7.3684754287317664E-3</v>
      </c>
      <c r="AQ605" s="22">
        <f t="shared" si="131"/>
        <v>7.3783875518192519E-3</v>
      </c>
      <c r="AR605" s="22">
        <f t="shared" si="131"/>
        <v>7.3890133855341444E-3</v>
      </c>
      <c r="AS605" s="22">
        <f t="shared" si="131"/>
        <v>7.3926280435308569E-3</v>
      </c>
      <c r="AT605" s="22">
        <f t="shared" si="131"/>
        <v>7.3957657294869287E-3</v>
      </c>
      <c r="AU605" s="22">
        <f t="shared" si="131"/>
        <v>7.3993790338051698E-3</v>
      </c>
      <c r="AV605" s="22">
        <f t="shared" si="131"/>
        <v>7.4035611129683564E-3</v>
      </c>
      <c r="AW605" s="22">
        <f t="shared" si="131"/>
        <v>7.4082472106798752E-3</v>
      </c>
      <c r="AY605" s="79"/>
    </row>
    <row r="606" spans="1:51" x14ac:dyDescent="0.2">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2">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2">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2.6729002214214585E-2</v>
      </c>
      <c r="M608" s="22">
        <f t="shared" si="132"/>
        <v>2.6740992333189322E-2</v>
      </c>
      <c r="N608" s="22">
        <f t="shared" si="132"/>
        <v>2.6495489531984443E-2</v>
      </c>
      <c r="O608" s="22">
        <f t="shared" si="132"/>
        <v>2.609452683304702E-2</v>
      </c>
      <c r="P608" s="22">
        <f t="shared" si="132"/>
        <v>2.5544514050244028E-2</v>
      </c>
      <c r="Q608" s="22">
        <f t="shared" si="132"/>
        <v>2.5145143775072754E-2</v>
      </c>
      <c r="R608" s="22">
        <f t="shared" si="132"/>
        <v>2.4781112413324518E-2</v>
      </c>
      <c r="S608" s="22">
        <f t="shared" si="132"/>
        <v>2.20798204460615E-2</v>
      </c>
      <c r="T608" s="22">
        <f t="shared" si="132"/>
        <v>2.2424557938008405E-2</v>
      </c>
      <c r="U608" s="22">
        <f t="shared" si="132"/>
        <v>2.2570971116616413E-2</v>
      </c>
      <c r="V608" s="22">
        <f t="shared" si="132"/>
        <v>2.2667395166558576E-2</v>
      </c>
      <c r="W608" s="22">
        <f t="shared" si="132"/>
        <v>2.284594133514007E-2</v>
      </c>
      <c r="X608" s="22">
        <f t="shared" si="132"/>
        <v>2.2978923721971391E-2</v>
      </c>
      <c r="Y608" s="22">
        <f t="shared" si="132"/>
        <v>2.3048677917067804E-2</v>
      </c>
      <c r="Z608" s="22">
        <f t="shared" si="132"/>
        <v>2.3091415921174294E-2</v>
      </c>
      <c r="AA608" s="22">
        <f t="shared" si="132"/>
        <v>2.3097213386295078E-2</v>
      </c>
      <c r="AB608" s="22">
        <f t="shared" si="132"/>
        <v>2.323133845353377E-2</v>
      </c>
      <c r="AC608" s="22">
        <f t="shared" si="132"/>
        <v>2.3348495871952417E-2</v>
      </c>
      <c r="AD608" s="22">
        <f t="shared" si="132"/>
        <v>2.3517064058520994E-2</v>
      </c>
      <c r="AE608" s="22">
        <f t="shared" si="132"/>
        <v>2.3801807583193908E-2</v>
      </c>
      <c r="AF608" s="22">
        <f t="shared" si="132"/>
        <v>2.4135258091248658E-2</v>
      </c>
      <c r="AG608" s="22">
        <f t="shared" si="132"/>
        <v>2.4586723078799614E-2</v>
      </c>
      <c r="AH608" s="22">
        <f t="shared" si="132"/>
        <v>2.483044349217995E-2</v>
      </c>
      <c r="AI608" s="22">
        <f t="shared" si="132"/>
        <v>2.5043308594524263E-2</v>
      </c>
      <c r="AJ608" s="22">
        <f t="shared" si="132"/>
        <v>2.531081903004264E-2</v>
      </c>
      <c r="AK608" s="22">
        <f t="shared" si="132"/>
        <v>2.5543075681886771E-2</v>
      </c>
      <c r="AL608" s="22">
        <f t="shared" si="132"/>
        <v>2.5800065264390357E-2</v>
      </c>
      <c r="AM608" s="22">
        <f t="shared" si="132"/>
        <v>2.6050738429193292E-2</v>
      </c>
      <c r="AN608" s="22">
        <f t="shared" si="132"/>
        <v>2.6388228624982798E-2</v>
      </c>
      <c r="AO608" s="22">
        <f t="shared" si="132"/>
        <v>2.6681293830850793E-2</v>
      </c>
      <c r="AP608" s="22">
        <f t="shared" si="132"/>
        <v>2.6974098587187682E-2</v>
      </c>
      <c r="AQ608" s="22">
        <f t="shared" si="132"/>
        <v>2.7277302536496094E-2</v>
      </c>
      <c r="AR608" s="22">
        <f t="shared" si="132"/>
        <v>2.759431398689733E-2</v>
      </c>
      <c r="AS608" s="22">
        <f t="shared" si="132"/>
        <v>2.800744241344803E-2</v>
      </c>
      <c r="AT608" s="22">
        <f t="shared" si="132"/>
        <v>2.8135384789660874E-2</v>
      </c>
      <c r="AU608" s="22">
        <f t="shared" si="132"/>
        <v>2.8237574251430975E-2</v>
      </c>
      <c r="AV608" s="22">
        <f t="shared" si="132"/>
        <v>2.8342961193356213E-2</v>
      </c>
      <c r="AW608" s="22">
        <f t="shared" si="132"/>
        <v>2.8439412611602398E-2</v>
      </c>
      <c r="AY608" s="79"/>
    </row>
    <row r="609" spans="1:52" x14ac:dyDescent="0.2">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3.9947810410006996E-3</v>
      </c>
      <c r="M609" s="22">
        <f t="shared" si="132"/>
        <v>3.9965730233416704E-3</v>
      </c>
      <c r="N609" s="22">
        <f t="shared" si="132"/>
        <v>3.9598814204188995E-3</v>
      </c>
      <c r="O609" s="22">
        <f t="shared" si="132"/>
        <v>3.8999555700251322E-3</v>
      </c>
      <c r="P609" s="22">
        <f t="shared" si="132"/>
        <v>3.8177534504158584E-3</v>
      </c>
      <c r="Q609" s="22">
        <f t="shared" si="132"/>
        <v>3.7580655955978051E-3</v>
      </c>
      <c r="R609" s="22">
        <f t="shared" si="132"/>
        <v>3.7036593154610876E-3</v>
      </c>
      <c r="S609" s="22">
        <f t="shared" si="132"/>
        <v>3.2999379250946686E-3</v>
      </c>
      <c r="T609" s="22">
        <f t="shared" si="132"/>
        <v>3.3514606413530125E-3</v>
      </c>
      <c r="U609" s="22">
        <f t="shared" si="132"/>
        <v>3.3733428120890697E-3</v>
      </c>
      <c r="V609" s="22">
        <f t="shared" si="132"/>
        <v>3.3877538613126231E-3</v>
      </c>
      <c r="W609" s="22">
        <f t="shared" si="132"/>
        <v>3.4144384656789365E-3</v>
      </c>
      <c r="X609" s="22">
        <f t="shared" si="132"/>
        <v>3.4343133384273955E-3</v>
      </c>
      <c r="Y609" s="22">
        <f t="shared" si="132"/>
        <v>3.4447384464755082E-3</v>
      </c>
      <c r="Z609" s="22">
        <f t="shared" si="132"/>
        <v>3.4511258517054724E-3</v>
      </c>
      <c r="AA609" s="22">
        <f t="shared" si="132"/>
        <v>3.4519923114245724E-3</v>
      </c>
      <c r="AB609" s="22">
        <f t="shared" si="132"/>
        <v>3.4720379633884583E-3</v>
      </c>
      <c r="AC609" s="22">
        <f t="shared" si="132"/>
        <v>3.4895477166579812E-3</v>
      </c>
      <c r="AD609" s="22">
        <f t="shared" si="132"/>
        <v>3.5147410624635305E-3</v>
      </c>
      <c r="AE609" s="22">
        <f t="shared" si="132"/>
        <v>3.5572973847981574E-3</v>
      </c>
      <c r="AF609" s="22">
        <f t="shared" si="132"/>
        <v>3.6071332057170833E-3</v>
      </c>
      <c r="AG609" s="22">
        <f t="shared" si="132"/>
        <v>3.6746068719052303E-3</v>
      </c>
      <c r="AH609" s="22">
        <f t="shared" si="132"/>
        <v>3.7110320881880462E-3</v>
      </c>
      <c r="AI609" s="22">
        <f t="shared" si="132"/>
        <v>3.7428458262513211E-3</v>
      </c>
      <c r="AJ609" s="22">
        <f t="shared" si="132"/>
        <v>3.7828265785261059E-3</v>
      </c>
      <c r="AK609" s="22">
        <f t="shared" si="132"/>
        <v>3.8175384791798387E-3</v>
      </c>
      <c r="AL609" s="22">
        <f t="shared" si="132"/>
        <v>3.8559468381485868E-3</v>
      </c>
      <c r="AM609" s="22">
        <f t="shared" si="132"/>
        <v>3.8934111773789473E-3</v>
      </c>
      <c r="AN609" s="22">
        <f t="shared" si="132"/>
        <v>3.9438507495282793E-3</v>
      </c>
      <c r="AO609" s="22">
        <f t="shared" si="132"/>
        <v>3.9876507881079406E-3</v>
      </c>
      <c r="AP609" s="22">
        <f t="shared" si="132"/>
        <v>4.0314119012222708E-3</v>
      </c>
      <c r="AQ609" s="22">
        <f t="shared" si="132"/>
        <v>4.0767272249499047E-3</v>
      </c>
      <c r="AR609" s="22">
        <f t="shared" si="132"/>
        <v>4.1241061477280058E-3</v>
      </c>
      <c r="AS609" s="22">
        <f t="shared" si="132"/>
        <v>4.1858502260387767E-3</v>
      </c>
      <c r="AT609" s="22">
        <f t="shared" si="132"/>
        <v>4.2049718443745261E-3</v>
      </c>
      <c r="AU609" s="22">
        <f t="shared" si="132"/>
        <v>4.2202445627946769E-3</v>
      </c>
      <c r="AV609" s="22">
        <f t="shared" si="132"/>
        <v>4.2359951603739652E-3</v>
      </c>
      <c r="AW609" s="22">
        <f t="shared" si="132"/>
        <v>4.2504102999253611E-3</v>
      </c>
      <c r="AY609" s="79"/>
    </row>
    <row r="610" spans="1:52" x14ac:dyDescent="0.2">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1.7066731126843742E-2</v>
      </c>
      <c r="M610" s="22">
        <f t="shared" si="132"/>
        <v>1.7464259263446445E-2</v>
      </c>
      <c r="N610" s="22">
        <f t="shared" si="132"/>
        <v>1.77694513935726E-2</v>
      </c>
      <c r="O610" s="22">
        <f t="shared" si="132"/>
        <v>1.8014444056791572E-2</v>
      </c>
      <c r="P610" s="22">
        <f t="shared" si="132"/>
        <v>1.8197780265539365E-2</v>
      </c>
      <c r="Q610" s="22">
        <f t="shared" si="132"/>
        <v>1.8432867891885713E-2</v>
      </c>
      <c r="R610" s="22">
        <f t="shared" si="132"/>
        <v>1.8677293946611207E-2</v>
      </c>
      <c r="S610" s="22">
        <f t="shared" si="132"/>
        <v>1.7930195532315427E-2</v>
      </c>
      <c r="T610" s="22">
        <f t="shared" si="132"/>
        <v>1.8405757792115097E-2</v>
      </c>
      <c r="U610" s="22">
        <f t="shared" si="132"/>
        <v>1.880256719318036E-2</v>
      </c>
      <c r="V610" s="22">
        <f t="shared" si="132"/>
        <v>1.9182022263661121E-2</v>
      </c>
      <c r="W610" s="22">
        <f t="shared" si="132"/>
        <v>1.9603893406791358E-2</v>
      </c>
      <c r="X610" s="22">
        <f t="shared" si="132"/>
        <v>2.0010576837223248E-2</v>
      </c>
      <c r="Y610" s="22">
        <f t="shared" si="132"/>
        <v>2.0375728845723119E-2</v>
      </c>
      <c r="Z610" s="22">
        <f t="shared" si="132"/>
        <v>2.0731756448222814E-2</v>
      </c>
      <c r="AA610" s="22">
        <f t="shared" si="132"/>
        <v>2.1073019561660463E-2</v>
      </c>
      <c r="AB610" s="22">
        <f t="shared" si="132"/>
        <v>2.148336106919314E-2</v>
      </c>
      <c r="AC610" s="22">
        <f t="shared" si="132"/>
        <v>2.1890889267126682E-2</v>
      </c>
      <c r="AD610" s="22">
        <f t="shared" si="132"/>
        <v>2.231803440740647E-2</v>
      </c>
      <c r="AE610" s="22">
        <f t="shared" si="132"/>
        <v>2.2815454137105083E-2</v>
      </c>
      <c r="AF610" s="22">
        <f t="shared" si="132"/>
        <v>2.3349632701496571E-2</v>
      </c>
      <c r="AG610" s="22">
        <f t="shared" si="132"/>
        <v>2.396171160946152E-2</v>
      </c>
      <c r="AH610" s="22">
        <f t="shared" si="132"/>
        <v>2.4467658584898602E-2</v>
      </c>
      <c r="AI610" s="22">
        <f t="shared" si="132"/>
        <v>2.4951748693606203E-2</v>
      </c>
      <c r="AJ610" s="22">
        <f t="shared" si="132"/>
        <v>2.5477604150305377E-2</v>
      </c>
      <c r="AK610" s="22">
        <f t="shared" si="132"/>
        <v>2.5992359314301834E-2</v>
      </c>
      <c r="AL610" s="22">
        <f t="shared" si="132"/>
        <v>2.6532480091102609E-2</v>
      </c>
      <c r="AM610" s="22">
        <f t="shared" si="132"/>
        <v>2.7079400048144214E-2</v>
      </c>
      <c r="AN610" s="22">
        <f t="shared" si="132"/>
        <v>2.7680885364723965E-2</v>
      </c>
      <c r="AO610" s="22">
        <f t="shared" si="132"/>
        <v>2.8266293672037732E-2</v>
      </c>
      <c r="AP610" s="22">
        <f t="shared" si="132"/>
        <v>2.886402430987451E-2</v>
      </c>
      <c r="AQ610" s="22">
        <f t="shared" si="132"/>
        <v>2.9481723037787178E-2</v>
      </c>
      <c r="AR610" s="22">
        <f t="shared" si="132"/>
        <v>3.0122536424733722E-2</v>
      </c>
      <c r="AS610" s="22">
        <f t="shared" si="132"/>
        <v>3.0832887052217536E-2</v>
      </c>
      <c r="AT610" s="22">
        <f t="shared" si="132"/>
        <v>3.1354014072341549E-2</v>
      </c>
      <c r="AU610" s="22">
        <f t="shared" si="132"/>
        <v>3.1866079427096267E-2</v>
      </c>
      <c r="AV610" s="22">
        <f t="shared" si="132"/>
        <v>3.2390073533933091E-2</v>
      </c>
      <c r="AW610" s="22">
        <f t="shared" si="132"/>
        <v>3.2917174163896501E-2</v>
      </c>
      <c r="AY610" s="79"/>
    </row>
    <row r="611" spans="1:52" x14ac:dyDescent="0.2">
      <c r="A611" s="95" t="str">
        <f t="shared" si="108"/>
        <v>PQ MM Leaching</v>
      </c>
      <c r="B611" s="95" t="s">
        <v>968</v>
      </c>
      <c r="C611" s="95" t="s">
        <v>1333</v>
      </c>
      <c r="D611" t="s">
        <v>369</v>
      </c>
      <c r="E611" t="s">
        <v>64</v>
      </c>
      <c r="F611" t="s">
        <v>63</v>
      </c>
      <c r="G611" t="s">
        <v>1182</v>
      </c>
      <c r="H611" t="s">
        <v>1321</v>
      </c>
      <c r="I611" t="s">
        <v>139</v>
      </c>
      <c r="J611" t="s">
        <v>287</v>
      </c>
      <c r="K611" s="22">
        <f t="shared" si="127"/>
        <v>7.758579791322931E-2</v>
      </c>
      <c r="L611" s="22">
        <f t="shared" si="132"/>
        <v>7.860746419754247E-2</v>
      </c>
      <c r="M611" s="22">
        <f t="shared" si="132"/>
        <v>8.0248553313821205E-2</v>
      </c>
      <c r="N611" s="22">
        <f t="shared" si="132"/>
        <v>8.0719757945382262E-2</v>
      </c>
      <c r="O611" s="22">
        <f t="shared" si="132"/>
        <v>8.0430818839717741E-2</v>
      </c>
      <c r="P611" s="22">
        <f t="shared" si="132"/>
        <v>7.938481013134728E-2</v>
      </c>
      <c r="Q611" s="22">
        <f t="shared" si="132"/>
        <v>7.8944464359385597E-2</v>
      </c>
      <c r="R611" s="22">
        <f t="shared" si="132"/>
        <v>7.8604018955287305E-2</v>
      </c>
      <c r="S611" s="22">
        <f t="shared" si="132"/>
        <v>6.7197980387573103E-2</v>
      </c>
      <c r="T611" s="22">
        <f t="shared" si="132"/>
        <v>7.0159754352377118E-2</v>
      </c>
      <c r="U611" s="22">
        <f t="shared" si="132"/>
        <v>7.2200774862602818E-2</v>
      </c>
      <c r="V611" s="22">
        <f t="shared" si="132"/>
        <v>7.4012137517044677E-2</v>
      </c>
      <c r="W611" s="22">
        <f t="shared" si="132"/>
        <v>7.624234611790702E-2</v>
      </c>
      <c r="X611" s="22">
        <f t="shared" si="132"/>
        <v>7.8266654922264395E-2</v>
      </c>
      <c r="Y611" s="22">
        <f t="shared" si="132"/>
        <v>8.0053392548698518E-2</v>
      </c>
      <c r="Z611" s="22">
        <f t="shared" si="132"/>
        <v>8.1713475036097147E-2</v>
      </c>
      <c r="AA611" s="22">
        <f t="shared" si="132"/>
        <v>8.3191126783030381E-2</v>
      </c>
      <c r="AB611" s="22">
        <f t="shared" si="132"/>
        <v>8.5356141752823037E-2</v>
      </c>
      <c r="AC611" s="22">
        <f t="shared" si="132"/>
        <v>8.7456207764297841E-2</v>
      </c>
      <c r="AD611" s="22">
        <f t="shared" si="132"/>
        <v>8.9913243198059017E-2</v>
      </c>
      <c r="AE611" s="22">
        <f t="shared" si="132"/>
        <v>9.3044085798014903E-2</v>
      </c>
      <c r="AF611" s="22">
        <f t="shared" si="132"/>
        <v>9.6498642598308926E-2</v>
      </c>
      <c r="AG611" s="22">
        <f t="shared" si="132"/>
        <v>0.10068056666272467</v>
      </c>
      <c r="AH611" s="22">
        <f t="shared" si="132"/>
        <v>0.10375441633368165</v>
      </c>
      <c r="AI611" s="22">
        <f t="shared" si="132"/>
        <v>0.10675032554756632</v>
      </c>
      <c r="AJ611" s="22">
        <f t="shared" si="132"/>
        <v>0.11011636525105389</v>
      </c>
      <c r="AK611" s="22">
        <f t="shared" si="132"/>
        <v>0.11333263880247381</v>
      </c>
      <c r="AL611" s="22">
        <f t="shared" si="132"/>
        <v>0.11675404817895949</v>
      </c>
      <c r="AM611" s="22">
        <f t="shared" si="132"/>
        <v>0.12019911578989917</v>
      </c>
      <c r="AN611" s="22">
        <f t="shared" si="132"/>
        <v>0.12428786174834884</v>
      </c>
      <c r="AO611" s="22">
        <f t="shared" si="132"/>
        <v>0.12817821089097012</v>
      </c>
      <c r="AP611" s="22">
        <f t="shared" si="132"/>
        <v>0.13214154239239112</v>
      </c>
      <c r="AQ611" s="22">
        <f t="shared" si="132"/>
        <v>0.13624857972153667</v>
      </c>
      <c r="AR611" s="22">
        <f t="shared" si="132"/>
        <v>0.14052656296513075</v>
      </c>
      <c r="AS611" s="22">
        <f t="shared" si="132"/>
        <v>0.14556766568145355</v>
      </c>
      <c r="AT611" s="22">
        <f t="shared" si="132"/>
        <v>0.14881423347183564</v>
      </c>
      <c r="AU611" s="22">
        <f t="shared" si="132"/>
        <v>0.15194631854950416</v>
      </c>
      <c r="AV611" s="22">
        <f t="shared" si="132"/>
        <v>0.15515723544633972</v>
      </c>
      <c r="AW611" s="22">
        <f t="shared" si="132"/>
        <v>0.15836593511039121</v>
      </c>
      <c r="AY611" s="79"/>
    </row>
    <row r="614" spans="1:52" x14ac:dyDescent="0.2">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72.649957574793405</v>
      </c>
      <c r="M614" s="27">
        <f t="shared" si="134"/>
        <v>73.223011790998029</v>
      </c>
      <c r="N614" s="27">
        <f t="shared" si="134"/>
        <v>73.591260167761035</v>
      </c>
      <c r="O614" s="27">
        <f t="shared" si="134"/>
        <v>73.83596289834658</v>
      </c>
      <c r="P614" s="27">
        <f t="shared" si="134"/>
        <v>73.954711561483904</v>
      </c>
      <c r="Q614" s="27">
        <f t="shared" si="134"/>
        <v>74.217071552078707</v>
      </c>
      <c r="R614" s="27">
        <f t="shared" si="134"/>
        <v>74.518042528471312</v>
      </c>
      <c r="S614" s="27">
        <f t="shared" si="134"/>
        <v>72.478094892813189</v>
      </c>
      <c r="T614" s="27">
        <f t="shared" si="134"/>
        <v>73.311025871745997</v>
      </c>
      <c r="U614" s="27">
        <f t="shared" si="134"/>
        <v>73.963715162788233</v>
      </c>
      <c r="V614" s="27">
        <f t="shared" si="134"/>
        <v>74.582066548206157</v>
      </c>
      <c r="W614" s="27">
        <f t="shared" si="134"/>
        <v>75.304979725957494</v>
      </c>
      <c r="X614" s="27">
        <f t="shared" si="134"/>
        <v>75.997294225765899</v>
      </c>
      <c r="Y614" s="27">
        <f t="shared" si="134"/>
        <v>76.577933644130326</v>
      </c>
      <c r="Z614" s="27">
        <f t="shared" si="134"/>
        <v>77.142446023883181</v>
      </c>
      <c r="AA614" s="27">
        <f t="shared" si="134"/>
        <v>77.677893567914339</v>
      </c>
      <c r="AB614" s="27">
        <f t="shared" si="134"/>
        <v>78.37441564319947</v>
      </c>
      <c r="AC614" s="27">
        <f t="shared" si="134"/>
        <v>79.067356094429798</v>
      </c>
      <c r="AD614" s="27">
        <f t="shared" si="134"/>
        <v>79.790293378056347</v>
      </c>
      <c r="AE614" s="27">
        <f t="shared" si="134"/>
        <v>80.672260630147306</v>
      </c>
      <c r="AF614" s="27">
        <f t="shared" si="134"/>
        <v>81.636452435438088</v>
      </c>
      <c r="AG614" s="27">
        <f t="shared" si="134"/>
        <v>82.773036285937067</v>
      </c>
      <c r="AH614" s="27">
        <f t="shared" si="134"/>
        <v>83.673213555783462</v>
      </c>
      <c r="AI614" s="27">
        <f t="shared" si="134"/>
        <v>84.509468484147618</v>
      </c>
      <c r="AJ614" s="27">
        <f t="shared" si="134"/>
        <v>85.437405417007412</v>
      </c>
      <c r="AK614" s="27">
        <f t="shared" si="134"/>
        <v>86.340426432642914</v>
      </c>
      <c r="AL614" s="27">
        <f t="shared" si="134"/>
        <v>87.298123970536111</v>
      </c>
      <c r="AM614" s="27">
        <f t="shared" si="134"/>
        <v>88.26958854165197</v>
      </c>
      <c r="AN614" s="27">
        <f t="shared" si="134"/>
        <v>89.343200001219728</v>
      </c>
      <c r="AO614" s="27">
        <f t="shared" si="134"/>
        <v>90.380141784312926</v>
      </c>
      <c r="AP614" s="27">
        <f t="shared" si="134"/>
        <v>91.441734143781034</v>
      </c>
      <c r="AQ614" s="27">
        <f t="shared" si="134"/>
        <v>92.544073659173904</v>
      </c>
      <c r="AR614" s="27">
        <f t="shared" si="134"/>
        <v>93.693462393833215</v>
      </c>
      <c r="AS614" s="27">
        <f t="shared" si="134"/>
        <v>94.97329819439031</v>
      </c>
      <c r="AT614" s="27">
        <f t="shared" si="134"/>
        <v>95.848626267420912</v>
      </c>
      <c r="AU614" s="27">
        <f t="shared" si="134"/>
        <v>96.703822926377612</v>
      </c>
      <c r="AV614" s="27">
        <f t="shared" si="134"/>
        <v>97.583252765683682</v>
      </c>
      <c r="AW614" s="27">
        <f t="shared" si="134"/>
        <v>98.468144480515292</v>
      </c>
      <c r="AY614" s="79"/>
      <c r="AZ614" s="79"/>
    </row>
    <row r="615" spans="1:52" x14ac:dyDescent="0.2">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58.1066387636453</v>
      </c>
      <c r="M615" s="27">
        <f t="shared" si="135"/>
        <v>58.564977012483297</v>
      </c>
      <c r="N615" s="27">
        <f t="shared" si="135"/>
        <v>58.859508160444918</v>
      </c>
      <c r="O615" s="27">
        <f t="shared" si="135"/>
        <v>59.055225455337663</v>
      </c>
      <c r="P615" s="27">
        <f t="shared" si="135"/>
        <v>59.150202601958597</v>
      </c>
      <c r="Q615" s="27">
        <f t="shared" si="135"/>
        <v>59.360042465716688</v>
      </c>
      <c r="R615" s="27">
        <f t="shared" si="135"/>
        <v>59.600764035107602</v>
      </c>
      <c r="S615" s="27">
        <f t="shared" si="135"/>
        <v>57.969180145469302</v>
      </c>
      <c r="T615" s="27">
        <f t="shared" si="135"/>
        <v>58.635372131308685</v>
      </c>
      <c r="U615" s="27">
        <f t="shared" si="135"/>
        <v>59.157403831333383</v>
      </c>
      <c r="V615" s="27">
        <f t="shared" si="135"/>
        <v>59.65197150598739</v>
      </c>
      <c r="W615" s="27">
        <f t="shared" si="135"/>
        <v>60.230169433134556</v>
      </c>
      <c r="X615" s="27">
        <f t="shared" si="135"/>
        <v>60.783894031112283</v>
      </c>
      <c r="Y615" s="27">
        <f t="shared" si="135"/>
        <v>61.248299050208132</v>
      </c>
      <c r="Z615" s="27">
        <f t="shared" si="135"/>
        <v>61.699805396844816</v>
      </c>
      <c r="AA615" s="27">
        <f t="shared" si="134"/>
        <v>62.128065206712812</v>
      </c>
      <c r="AB615" s="27">
        <f t="shared" si="134"/>
        <v>62.685155093211797</v>
      </c>
      <c r="AC615" s="27">
        <f t="shared" si="134"/>
        <v>63.239380337499199</v>
      </c>
      <c r="AD615" s="27">
        <f t="shared" si="134"/>
        <v>63.817597544924432</v>
      </c>
      <c r="AE615" s="27">
        <f t="shared" si="134"/>
        <v>64.523009553814518</v>
      </c>
      <c r="AF615" s="27">
        <f t="shared" si="134"/>
        <v>65.294186121553309</v>
      </c>
      <c r="AG615" s="27">
        <f t="shared" si="134"/>
        <v>66.203244700941269</v>
      </c>
      <c r="AH615" s="27">
        <f t="shared" si="134"/>
        <v>66.923221383492788</v>
      </c>
      <c r="AI615" s="27">
        <f t="shared" si="134"/>
        <v>67.592071919114218</v>
      </c>
      <c r="AJ615" s="27">
        <f t="shared" si="134"/>
        <v>68.334251239695618</v>
      </c>
      <c r="AK615" s="27">
        <f t="shared" si="134"/>
        <v>69.056502397206529</v>
      </c>
      <c r="AL615" s="27">
        <f t="shared" si="134"/>
        <v>69.822484742370364</v>
      </c>
      <c r="AM615" s="27">
        <f t="shared" si="134"/>
        <v>70.599478188614199</v>
      </c>
      <c r="AN615" s="27">
        <f t="shared" si="134"/>
        <v>71.458170407248886</v>
      </c>
      <c r="AO615" s="27">
        <f t="shared" si="134"/>
        <v>72.287533611585175</v>
      </c>
      <c r="AP615" s="27">
        <f t="shared" si="134"/>
        <v>73.136612754988022</v>
      </c>
      <c r="AQ615" s="27">
        <f t="shared" si="134"/>
        <v>74.018282148254812</v>
      </c>
      <c r="AR615" s="27">
        <f t="shared" si="134"/>
        <v>74.937582285974699</v>
      </c>
      <c r="AS615" s="27">
        <f t="shared" si="134"/>
        <v>75.96121614650643</v>
      </c>
      <c r="AT615" s="27">
        <f t="shared" si="134"/>
        <v>76.661318030074682</v>
      </c>
      <c r="AU615" s="27">
        <f t="shared" si="134"/>
        <v>77.345318475397917</v>
      </c>
      <c r="AV615" s="27">
        <f t="shared" si="134"/>
        <v>78.048701019536637</v>
      </c>
      <c r="AW615" s="27">
        <f t="shared" si="134"/>
        <v>78.756452062140184</v>
      </c>
      <c r="AY615" s="79"/>
      <c r="AZ615" s="79"/>
    </row>
    <row r="616" spans="1:52" x14ac:dyDescent="0.2">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26.272250579806308</v>
      </c>
      <c r="M616" s="27">
        <f t="shared" si="134"/>
        <v>26.479482964607669</v>
      </c>
      <c r="N616" s="27">
        <f t="shared" si="134"/>
        <v>26.61265184663991</v>
      </c>
      <c r="O616" s="27">
        <f t="shared" si="134"/>
        <v>26.701143177813606</v>
      </c>
      <c r="P616" s="27">
        <f t="shared" si="134"/>
        <v>26.744086005835889</v>
      </c>
      <c r="Q616" s="27">
        <f t="shared" si="134"/>
        <v>26.838962694620271</v>
      </c>
      <c r="R616" s="27">
        <f t="shared" si="134"/>
        <v>26.947802192577246</v>
      </c>
      <c r="S616" s="27">
        <f t="shared" si="134"/>
        <v>26.210100241429942</v>
      </c>
      <c r="T616" s="27">
        <f t="shared" si="134"/>
        <v>26.511311310571692</v>
      </c>
      <c r="U616" s="27">
        <f t="shared" si="134"/>
        <v>26.747341959142467</v>
      </c>
      <c r="V616" s="27">
        <f t="shared" si="134"/>
        <v>26.970955063490745</v>
      </c>
      <c r="W616" s="27">
        <f t="shared" si="134"/>
        <v>27.232380627762737</v>
      </c>
      <c r="X616" s="27">
        <f t="shared" si="134"/>
        <v>27.482740856814136</v>
      </c>
      <c r="Y616" s="27">
        <f t="shared" si="134"/>
        <v>27.692716262237859</v>
      </c>
      <c r="Z616" s="27">
        <f t="shared" si="134"/>
        <v>27.896859680780135</v>
      </c>
      <c r="AA616" s="27">
        <f t="shared" si="134"/>
        <v>28.09049244422182</v>
      </c>
      <c r="AB616" s="27">
        <f t="shared" si="134"/>
        <v>28.342374249898288</v>
      </c>
      <c r="AC616" s="27">
        <f t="shared" si="134"/>
        <v>28.592960840439176</v>
      </c>
      <c r="AD616" s="27">
        <f t="shared" si="134"/>
        <v>28.854395122067867</v>
      </c>
      <c r="AE616" s="27">
        <f t="shared" si="134"/>
        <v>29.173339075011846</v>
      </c>
      <c r="AF616" s="27">
        <f t="shared" si="134"/>
        <v>29.522017719311339</v>
      </c>
      <c r="AG616" s="27">
        <f t="shared" si="134"/>
        <v>29.9330381344923</v>
      </c>
      <c r="AH616" s="27">
        <f t="shared" si="134"/>
        <v>30.258567337662207</v>
      </c>
      <c r="AI616" s="27">
        <f t="shared" si="134"/>
        <v>30.560980439610169</v>
      </c>
      <c r="AJ616" s="27">
        <f t="shared" si="134"/>
        <v>30.896548311033232</v>
      </c>
      <c r="AK616" s="27">
        <f t="shared" si="134"/>
        <v>31.223105891981344</v>
      </c>
      <c r="AL616" s="27">
        <f t="shared" si="134"/>
        <v>31.569436028090372</v>
      </c>
      <c r="AM616" s="27">
        <f t="shared" si="134"/>
        <v>31.920744707320974</v>
      </c>
      <c r="AN616" s="27">
        <f t="shared" si="134"/>
        <v>32.308992549889602</v>
      </c>
      <c r="AO616" s="27">
        <f t="shared" si="134"/>
        <v>32.683979614872385</v>
      </c>
      <c r="AP616" s="27">
        <f t="shared" si="134"/>
        <v>33.067881015679681</v>
      </c>
      <c r="AQ616" s="27">
        <f t="shared" si="134"/>
        <v>33.466517724346836</v>
      </c>
      <c r="AR616" s="27">
        <f t="shared" si="134"/>
        <v>33.882168742717873</v>
      </c>
      <c r="AS616" s="27">
        <f t="shared" si="134"/>
        <v>34.344993057771696</v>
      </c>
      <c r="AT616" s="27">
        <f t="shared" si="134"/>
        <v>34.661536098426936</v>
      </c>
      <c r="AU616" s="27">
        <f t="shared" si="134"/>
        <v>34.970799058367312</v>
      </c>
      <c r="AV616" s="27">
        <f t="shared" si="134"/>
        <v>35.288825412089835</v>
      </c>
      <c r="AW616" s="27">
        <f t="shared" si="134"/>
        <v>35.608826932312567</v>
      </c>
      <c r="AY616" s="79"/>
      <c r="AZ616" s="79"/>
    </row>
    <row r="617" spans="1:52" x14ac:dyDescent="0.2">
      <c r="A617" s="95" t="str">
        <f t="shared" si="133"/>
        <v>NI Cattle</v>
      </c>
      <c r="B617" s="95" t="s">
        <v>969</v>
      </c>
      <c r="C617" s="95" t="s">
        <v>1108</v>
      </c>
      <c r="D617" t="s">
        <v>15</v>
      </c>
      <c r="E617" t="s">
        <v>16</v>
      </c>
      <c r="F617" t="s">
        <v>67</v>
      </c>
      <c r="G617" t="s">
        <v>122</v>
      </c>
      <c r="H617" t="s">
        <v>1020</v>
      </c>
      <c r="I617" t="s">
        <v>121</v>
      </c>
      <c r="J617" t="s">
        <v>286</v>
      </c>
      <c r="K617" s="27">
        <f t="shared" si="135"/>
        <v>463.23498593143194</v>
      </c>
      <c r="L617" s="27">
        <f t="shared" si="134"/>
        <v>459.21749683621613</v>
      </c>
      <c r="M617" s="27">
        <f t="shared" si="134"/>
        <v>457.68816035731248</v>
      </c>
      <c r="N617" s="27">
        <f t="shared" si="134"/>
        <v>451.57633407663525</v>
      </c>
      <c r="O617" s="27">
        <f t="shared" si="134"/>
        <v>442.70486896910745</v>
      </c>
      <c r="P617" s="27">
        <f t="shared" si="134"/>
        <v>431.25721304480408</v>
      </c>
      <c r="Q617" s="27">
        <f t="shared" si="134"/>
        <v>422.22811200839215</v>
      </c>
      <c r="R617" s="27">
        <f t="shared" si="134"/>
        <v>413.68555596285586</v>
      </c>
      <c r="S617" s="27">
        <f t="shared" si="134"/>
        <v>367.15498253629937</v>
      </c>
      <c r="T617" s="27">
        <f t="shared" si="134"/>
        <v>374.17792302484366</v>
      </c>
      <c r="U617" s="27">
        <f t="shared" si="134"/>
        <v>377.93282085404854</v>
      </c>
      <c r="V617" s="27">
        <f t="shared" si="134"/>
        <v>380.82330647770999</v>
      </c>
      <c r="W617" s="27">
        <f t="shared" si="134"/>
        <v>385.00539013713677</v>
      </c>
      <c r="X617" s="27">
        <f t="shared" si="134"/>
        <v>388.39937435322344</v>
      </c>
      <c r="Y617" s="27">
        <f t="shared" si="134"/>
        <v>390.58732526700504</v>
      </c>
      <c r="Z617" s="27">
        <f t="shared" si="134"/>
        <v>392.29048134112935</v>
      </c>
      <c r="AA617" s="27">
        <f t="shared" si="134"/>
        <v>393.3460659926933</v>
      </c>
      <c r="AB617" s="27">
        <f t="shared" si="134"/>
        <v>396.4710114468906</v>
      </c>
      <c r="AC617" s="27">
        <f t="shared" si="134"/>
        <v>399.28270780279126</v>
      </c>
      <c r="AD617" s="27">
        <f t="shared" si="134"/>
        <v>399.42772456608003</v>
      </c>
      <c r="AE617" s="27">
        <f t="shared" si="134"/>
        <v>401.31130224565624</v>
      </c>
      <c r="AF617" s="27">
        <f t="shared" si="134"/>
        <v>403.80208635683084</v>
      </c>
      <c r="AG617" s="27">
        <f t="shared" si="134"/>
        <v>407.98386284391222</v>
      </c>
      <c r="AH617" s="27">
        <f t="shared" si="134"/>
        <v>408.65175931008923</v>
      </c>
      <c r="AI617" s="27">
        <f t="shared" si="134"/>
        <v>408.58164952357384</v>
      </c>
      <c r="AJ617" s="27">
        <f t="shared" si="134"/>
        <v>409.1951949125646</v>
      </c>
      <c r="AK617" s="27">
        <f t="shared" si="134"/>
        <v>409.08195160336288</v>
      </c>
      <c r="AL617" s="27">
        <f t="shared" si="134"/>
        <v>409.16859653567815</v>
      </c>
      <c r="AM617" s="27">
        <f t="shared" si="134"/>
        <v>408.97195804089159</v>
      </c>
      <c r="AN617" s="27">
        <f t="shared" si="134"/>
        <v>411.90729074702386</v>
      </c>
      <c r="AO617" s="27">
        <f t="shared" si="134"/>
        <v>414.05465326248105</v>
      </c>
      <c r="AP617" s="27">
        <f t="shared" si="134"/>
        <v>416.07811841242483</v>
      </c>
      <c r="AQ617" s="27">
        <f t="shared" si="134"/>
        <v>418.1325060798996</v>
      </c>
      <c r="AR617" s="27">
        <f t="shared" si="134"/>
        <v>420.26236757752156</v>
      </c>
      <c r="AS617" s="27">
        <f t="shared" si="134"/>
        <v>423.60010489867818</v>
      </c>
      <c r="AT617" s="27">
        <f t="shared" si="134"/>
        <v>422.65999996405498</v>
      </c>
      <c r="AU617" s="27">
        <f t="shared" si="134"/>
        <v>421.25049365965373</v>
      </c>
      <c r="AV617" s="27">
        <f t="shared" si="134"/>
        <v>419.79062743125479</v>
      </c>
      <c r="AW617" s="27">
        <f t="shared" si="134"/>
        <v>418.10572325664367</v>
      </c>
      <c r="AY617" s="79"/>
      <c r="AZ617" s="79"/>
    </row>
    <row r="618" spans="1:52" x14ac:dyDescent="0.2">
      <c r="A618" s="95" t="str">
        <f t="shared" si="133"/>
        <v>NI Cattle</v>
      </c>
      <c r="B618" s="95" t="s">
        <v>969</v>
      </c>
      <c r="C618" s="95" t="s">
        <v>1108</v>
      </c>
      <c r="D618" t="s">
        <v>15</v>
      </c>
      <c r="E618" t="s">
        <v>16</v>
      </c>
      <c r="F618" t="s">
        <v>67</v>
      </c>
      <c r="G618" t="s">
        <v>123</v>
      </c>
      <c r="H618" t="s">
        <v>1020</v>
      </c>
      <c r="I618" t="s">
        <v>121</v>
      </c>
      <c r="J618" t="s">
        <v>286</v>
      </c>
      <c r="K618" s="27">
        <f t="shared" si="135"/>
        <v>326.20040935577742</v>
      </c>
      <c r="L618" s="27">
        <f t="shared" si="134"/>
        <v>323.37137738012325</v>
      </c>
      <c r="M618" s="27">
        <f t="shared" si="134"/>
        <v>322.29445054900748</v>
      </c>
      <c r="N618" s="27">
        <f t="shared" si="134"/>
        <v>317.99063003627219</v>
      </c>
      <c r="O618" s="27">
        <f t="shared" si="134"/>
        <v>311.74352945546798</v>
      </c>
      <c r="P618" s="27">
        <f t="shared" si="134"/>
        <v>303.68232906672063</v>
      </c>
      <c r="Q618" s="27">
        <f t="shared" si="134"/>
        <v>297.32422455466599</v>
      </c>
      <c r="R618" s="27">
        <f t="shared" si="134"/>
        <v>291.30873487096773</v>
      </c>
      <c r="S618" s="27">
        <f t="shared" si="134"/>
        <v>258.54287615936238</v>
      </c>
      <c r="T618" s="27">
        <f t="shared" si="134"/>
        <v>263.48828428227887</v>
      </c>
      <c r="U618" s="27">
        <f t="shared" si="134"/>
        <v>266.13240496870094</v>
      </c>
      <c r="V618" s="27">
        <f t="shared" si="134"/>
        <v>268.167824620305</v>
      </c>
      <c r="W618" s="27">
        <f t="shared" si="134"/>
        <v>271.11276065297989</v>
      </c>
      <c r="X618" s="27">
        <f t="shared" si="134"/>
        <v>273.50273350532916</v>
      </c>
      <c r="Y618" s="27">
        <f t="shared" si="134"/>
        <v>275.0434428761701</v>
      </c>
      <c r="Z618" s="27">
        <f t="shared" si="134"/>
        <v>276.2427698386166</v>
      </c>
      <c r="AA618" s="27">
        <f t="shared" si="134"/>
        <v>276.98609052014405</v>
      </c>
      <c r="AB618" s="27">
        <f t="shared" si="134"/>
        <v>279.18661189122298</v>
      </c>
      <c r="AC618" s="27">
        <f t="shared" si="134"/>
        <v>281.1665497848058</v>
      </c>
      <c r="AD618" s="27">
        <f t="shared" si="134"/>
        <v>281.26866756300677</v>
      </c>
      <c r="AE618" s="27">
        <f t="shared" si="134"/>
        <v>282.59504365460464</v>
      </c>
      <c r="AF618" s="27">
        <f t="shared" si="134"/>
        <v>284.34900184290586</v>
      </c>
      <c r="AG618" s="27">
        <f t="shared" si="134"/>
        <v>287.29372157122594</v>
      </c>
      <c r="AH618" s="27">
        <f t="shared" si="134"/>
        <v>287.76404032367537</v>
      </c>
      <c r="AI618" s="27">
        <f t="shared" si="134"/>
        <v>287.71467047520593</v>
      </c>
      <c r="AJ618" s="27">
        <f t="shared" si="134"/>
        <v>288.14671633341055</v>
      </c>
      <c r="AK618" s="27">
        <f t="shared" si="134"/>
        <v>288.06697275846409</v>
      </c>
      <c r="AL618" s="27">
        <f t="shared" si="134"/>
        <v>288.12798631151645</v>
      </c>
      <c r="AM618" s="27">
        <f t="shared" si="134"/>
        <v>287.98951758734296</v>
      </c>
      <c r="AN618" s="27">
        <f t="shared" si="134"/>
        <v>290.05651761846218</v>
      </c>
      <c r="AO618" s="27">
        <f t="shared" si="134"/>
        <v>291.56864548628482</v>
      </c>
      <c r="AP618" s="27">
        <f t="shared" si="134"/>
        <v>292.99352741505732</v>
      </c>
      <c r="AQ618" s="27">
        <f t="shared" si="134"/>
        <v>294.44018433532034</v>
      </c>
      <c r="AR618" s="27">
        <f t="shared" si="134"/>
        <v>295.93998835163069</v>
      </c>
      <c r="AS618" s="27">
        <f t="shared" si="134"/>
        <v>298.29035331444567</v>
      </c>
      <c r="AT618" s="27">
        <f t="shared" si="134"/>
        <v>297.62835103952062</v>
      </c>
      <c r="AU618" s="27">
        <f t="shared" si="134"/>
        <v>296.63580611642783</v>
      </c>
      <c r="AV618" s="27">
        <f t="shared" si="134"/>
        <v>295.60779878586987</v>
      </c>
      <c r="AW618" s="27">
        <f t="shared" si="134"/>
        <v>294.42132443014248</v>
      </c>
      <c r="AY618" s="79"/>
      <c r="AZ618" s="79"/>
    </row>
    <row r="619" spans="1:52" x14ac:dyDescent="0.2">
      <c r="A619" s="95" t="str">
        <f t="shared" si="133"/>
        <v>NI Cattle</v>
      </c>
      <c r="B619" s="95" t="s">
        <v>969</v>
      </c>
      <c r="C619" s="95" t="s">
        <v>1108</v>
      </c>
      <c r="D619" t="s">
        <v>15</v>
      </c>
      <c r="E619" t="s">
        <v>16</v>
      </c>
      <c r="F619" t="s">
        <v>67</v>
      </c>
      <c r="G619" t="s">
        <v>135</v>
      </c>
      <c r="H619" t="s">
        <v>1020</v>
      </c>
      <c r="I619" t="s">
        <v>121</v>
      </c>
      <c r="J619" t="s">
        <v>286</v>
      </c>
      <c r="K619" s="27">
        <f t="shared" si="135"/>
        <v>31.891995988947272</v>
      </c>
      <c r="L619" s="27">
        <f t="shared" si="134"/>
        <v>32.967337371253549</v>
      </c>
      <c r="M619" s="27">
        <f t="shared" si="134"/>
        <v>34.243655078433662</v>
      </c>
      <c r="N619" s="27">
        <f t="shared" si="134"/>
        <v>35.19550479761466</v>
      </c>
      <c r="O619" s="27">
        <f t="shared" si="134"/>
        <v>35.929559405213347</v>
      </c>
      <c r="P619" s="27">
        <f t="shared" si="134"/>
        <v>36.435327957872907</v>
      </c>
      <c r="Q619" s="27">
        <f t="shared" si="134"/>
        <v>37.125912791560339</v>
      </c>
      <c r="R619" s="27">
        <f t="shared" si="134"/>
        <v>37.849847328761314</v>
      </c>
      <c r="S619" s="27">
        <f t="shared" si="134"/>
        <v>34.950230908345851</v>
      </c>
      <c r="T619" s="27">
        <f t="shared" si="134"/>
        <v>36.476910772812936</v>
      </c>
      <c r="U619" s="27">
        <f t="shared" si="134"/>
        <v>37.718415782773874</v>
      </c>
      <c r="V619" s="27">
        <f t="shared" si="134"/>
        <v>38.898527693020689</v>
      </c>
      <c r="W619" s="27">
        <f t="shared" si="134"/>
        <v>40.237414938049668</v>
      </c>
      <c r="X619" s="27">
        <f t="shared" si="134"/>
        <v>41.522938460049829</v>
      </c>
      <c r="Y619" s="27">
        <f t="shared" si="134"/>
        <v>42.70469493542484</v>
      </c>
      <c r="Z619" s="27">
        <f t="shared" si="134"/>
        <v>43.855385473884439</v>
      </c>
      <c r="AA619" s="27">
        <f t="shared" si="134"/>
        <v>44.953640059313827</v>
      </c>
      <c r="AB619" s="27">
        <f t="shared" si="134"/>
        <v>46.312733612534437</v>
      </c>
      <c r="AC619" s="27">
        <f t="shared" si="134"/>
        <v>47.664904346752849</v>
      </c>
      <c r="AD619" s="27">
        <f t="shared" si="134"/>
        <v>49.26348738030724</v>
      </c>
      <c r="AE619" s="27">
        <f t="shared" si="134"/>
        <v>51.140360226431802</v>
      </c>
      <c r="AF619" s="27">
        <f t="shared" si="134"/>
        <v>53.171885770114415</v>
      </c>
      <c r="AG619" s="27">
        <f t="shared" si="134"/>
        <v>55.517780672546301</v>
      </c>
      <c r="AH619" s="27">
        <f t="shared" si="134"/>
        <v>57.473989711823819</v>
      </c>
      <c r="AI619" s="27">
        <f t="shared" si="134"/>
        <v>59.400170539570745</v>
      </c>
      <c r="AJ619" s="27">
        <f t="shared" si="134"/>
        <v>61.503665035599717</v>
      </c>
      <c r="AK619" s="27">
        <f t="shared" si="134"/>
        <v>63.580224043815704</v>
      </c>
      <c r="AL619" s="27">
        <f t="shared" si="134"/>
        <v>65.772430820326704</v>
      </c>
      <c r="AM619" s="27">
        <f t="shared" si="134"/>
        <v>68.008427307564773</v>
      </c>
      <c r="AN619" s="27">
        <f t="shared" si="134"/>
        <v>70.429193427330858</v>
      </c>
      <c r="AO619" s="27">
        <f t="shared" si="134"/>
        <v>72.800797343140431</v>
      </c>
      <c r="AP619" s="27">
        <f t="shared" si="134"/>
        <v>75.235904333723141</v>
      </c>
      <c r="AQ619" s="27">
        <f t="shared" si="134"/>
        <v>77.76567884273372</v>
      </c>
      <c r="AR619" s="27">
        <f t="shared" si="134"/>
        <v>80.403638096331917</v>
      </c>
      <c r="AS619" s="27">
        <f t="shared" si="134"/>
        <v>83.378734093878791</v>
      </c>
      <c r="AT619" s="27">
        <f t="shared" si="134"/>
        <v>85.605736773857444</v>
      </c>
      <c r="AU619" s="27">
        <f t="shared" si="134"/>
        <v>87.808938398132668</v>
      </c>
      <c r="AV619" s="27">
        <f t="shared" si="134"/>
        <v>90.073595848724253</v>
      </c>
      <c r="AW619" s="27">
        <f t="shared" si="134"/>
        <v>92.36408305346545</v>
      </c>
      <c r="AY619" s="79"/>
      <c r="AZ619" s="79"/>
    </row>
    <row r="620" spans="1:52" x14ac:dyDescent="0.2">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135.26278530113291</v>
      </c>
      <c r="T620" s="27">
        <f t="shared" si="134"/>
        <v>135.46877954348926</v>
      </c>
      <c r="U620" s="27">
        <f t="shared" si="134"/>
        <v>135.70160233543365</v>
      </c>
      <c r="V620" s="27">
        <f t="shared" si="134"/>
        <v>135.96424702879582</v>
      </c>
      <c r="W620" s="27">
        <f t="shared" si="134"/>
        <v>136.25970300255619</v>
      </c>
      <c r="X620" s="27">
        <f t="shared" si="134"/>
        <v>136.58180937371023</v>
      </c>
      <c r="Y620" s="27">
        <f t="shared" si="134"/>
        <v>136.77771182752844</v>
      </c>
      <c r="Z620" s="27">
        <f t="shared" si="134"/>
        <v>136.99652360229675</v>
      </c>
      <c r="AA620" s="27">
        <f t="shared" si="134"/>
        <v>137.23663958086595</v>
      </c>
      <c r="AB620" s="27">
        <f t="shared" si="134"/>
        <v>137.50349615818331</v>
      </c>
      <c r="AC620" s="27">
        <f t="shared" si="134"/>
        <v>137.79053665720062</v>
      </c>
      <c r="AD620" s="27">
        <f t="shared" si="134"/>
        <v>137.97809778631554</v>
      </c>
      <c r="AE620" s="27">
        <f t="shared" si="134"/>
        <v>138.18863599200537</v>
      </c>
      <c r="AF620" s="27">
        <f t="shared" si="134"/>
        <v>138.41878788829575</v>
      </c>
      <c r="AG620" s="27">
        <f t="shared" si="134"/>
        <v>138.67094365352415</v>
      </c>
      <c r="AH620" s="27">
        <f t="shared" si="134"/>
        <v>138.93056254849651</v>
      </c>
      <c r="AI620" s="27">
        <f t="shared" si="134"/>
        <v>139.08967652077243</v>
      </c>
      <c r="AJ620" s="27">
        <f t="shared" si="134"/>
        <v>139.2654495830931</v>
      </c>
      <c r="AK620" s="27">
        <f t="shared" si="134"/>
        <v>139.4534011320402</v>
      </c>
      <c r="AL620" s="27">
        <f t="shared" si="134"/>
        <v>139.65576726304948</v>
      </c>
      <c r="AM620" s="27">
        <f t="shared" si="134"/>
        <v>139.87071929457153</v>
      </c>
      <c r="AN620" s="27">
        <f t="shared" si="134"/>
        <v>139.99537394141325</v>
      </c>
      <c r="AO620" s="27">
        <f t="shared" si="134"/>
        <v>140.12945613123219</v>
      </c>
      <c r="AP620" s="27">
        <f t="shared" si="134"/>
        <v>140.27467944669363</v>
      </c>
      <c r="AQ620" s="27">
        <f t="shared" si="134"/>
        <v>140.43124436652656</v>
      </c>
      <c r="AR620" s="27">
        <f t="shared" si="134"/>
        <v>140.59904144364654</v>
      </c>
      <c r="AS620" s="27">
        <f t="shared" si="134"/>
        <v>140.67407193187856</v>
      </c>
      <c r="AT620" s="27">
        <f t="shared" si="134"/>
        <v>140.74390740905804</v>
      </c>
      <c r="AU620" s="27">
        <f t="shared" si="134"/>
        <v>140.82132713333769</v>
      </c>
      <c r="AV620" s="27">
        <f t="shared" si="134"/>
        <v>140.90757206763405</v>
      </c>
      <c r="AW620" s="27">
        <f t="shared" si="134"/>
        <v>141.00175438081712</v>
      </c>
      <c r="AY620" s="79"/>
      <c r="AZ620" s="79"/>
    </row>
    <row r="621" spans="1:52" x14ac:dyDescent="0.2">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14.658944228555331</v>
      </c>
      <c r="T621" s="27">
        <f t="shared" si="136"/>
        <v>14.681268610708063</v>
      </c>
      <c r="U621" s="27">
        <f t="shared" si="136"/>
        <v>14.706500505161891</v>
      </c>
      <c r="V621" s="27">
        <f t="shared" si="136"/>
        <v>14.734964312877745</v>
      </c>
      <c r="W621" s="27">
        <f t="shared" si="136"/>
        <v>14.766984004263698</v>
      </c>
      <c r="X621" s="27">
        <f t="shared" si="136"/>
        <v>14.801891900917591</v>
      </c>
      <c r="Y621" s="27">
        <f t="shared" si="136"/>
        <v>14.823122597434484</v>
      </c>
      <c r="Z621" s="27">
        <f t="shared" si="136"/>
        <v>14.846836064488549</v>
      </c>
      <c r="AA621" s="27">
        <f t="shared" si="136"/>
        <v>14.872858349408936</v>
      </c>
      <c r="AB621" s="27">
        <f t="shared" si="136"/>
        <v>14.901778615062266</v>
      </c>
      <c r="AC621" s="27">
        <f t="shared" si="136"/>
        <v>14.932886289335453</v>
      </c>
      <c r="AD621" s="27">
        <f t="shared" si="136"/>
        <v>14.953213004662359</v>
      </c>
      <c r="AE621" s="27">
        <f t="shared" si="136"/>
        <v>14.976029833462063</v>
      </c>
      <c r="AF621" s="27">
        <f t="shared" si="136"/>
        <v>15.000972272761286</v>
      </c>
      <c r="AG621" s="27">
        <f t="shared" si="136"/>
        <v>15.02829935530777</v>
      </c>
      <c r="AH621" s="27">
        <f t="shared" si="136"/>
        <v>15.056435245705167</v>
      </c>
      <c r="AI621" s="27">
        <f t="shared" si="136"/>
        <v>15.073679034086307</v>
      </c>
      <c r="AJ621" s="27">
        <f t="shared" si="136"/>
        <v>15.092728231629481</v>
      </c>
      <c r="AK621" s="27">
        <f t="shared" si="136"/>
        <v>15.11309725824351</v>
      </c>
      <c r="AL621" s="27">
        <f t="shared" si="136"/>
        <v>15.135028448124075</v>
      </c>
      <c r="AM621" s="27">
        <f t="shared" si="136"/>
        <v>15.158323620073121</v>
      </c>
      <c r="AN621" s="27">
        <f t="shared" si="136"/>
        <v>15.171832919854392</v>
      </c>
      <c r="AO621" s="27">
        <f t="shared" si="136"/>
        <v>15.186363918445194</v>
      </c>
      <c r="AP621" s="27">
        <f t="shared" si="136"/>
        <v>15.202102323338273</v>
      </c>
      <c r="AQ621" s="27">
        <f t="shared" si="136"/>
        <v>15.219069861178557</v>
      </c>
      <c r="AR621" s="27">
        <f t="shared" si="136"/>
        <v>15.237254670767834</v>
      </c>
      <c r="AS621" s="27">
        <f t="shared" si="136"/>
        <v>15.245386011106461</v>
      </c>
      <c r="AT621" s="27">
        <f t="shared" si="136"/>
        <v>15.252954348272294</v>
      </c>
      <c r="AU621" s="27">
        <f t="shared" si="136"/>
        <v>15.261344619239132</v>
      </c>
      <c r="AV621" s="27">
        <f t="shared" si="136"/>
        <v>15.270691311893962</v>
      </c>
      <c r="AW621" s="27">
        <f t="shared" si="136"/>
        <v>15.280898208589107</v>
      </c>
      <c r="AY621" s="79"/>
      <c r="AZ621" s="79"/>
    </row>
    <row r="622" spans="1:52" x14ac:dyDescent="0.2">
      <c r="A622" s="95" t="str">
        <f t="shared" si="133"/>
        <v>NI Goats</v>
      </c>
      <c r="B622" s="95" t="s">
        <v>969</v>
      </c>
      <c r="C622" s="95" t="s">
        <v>153</v>
      </c>
      <c r="D622" t="s">
        <v>15</v>
      </c>
      <c r="E622" t="s">
        <v>16</v>
      </c>
      <c r="F622" t="s">
        <v>19</v>
      </c>
      <c r="G622" t="s">
        <v>122</v>
      </c>
      <c r="H622" t="s">
        <v>1020</v>
      </c>
      <c r="I622" t="s">
        <v>121</v>
      </c>
      <c r="J622" t="s">
        <v>286</v>
      </c>
      <c r="K622" s="27">
        <f t="shared" si="135"/>
        <v>15.123414197798356</v>
      </c>
      <c r="L622" s="27">
        <f t="shared" si="136"/>
        <v>15.162727774721576</v>
      </c>
      <c r="M622" s="27">
        <f t="shared" si="136"/>
        <v>15.216959464794312</v>
      </c>
      <c r="N622" s="27">
        <f t="shared" si="136"/>
        <v>15.283027985940226</v>
      </c>
      <c r="O622" s="27">
        <f t="shared" si="136"/>
        <v>15.360839106953575</v>
      </c>
      <c r="P622" s="27">
        <f t="shared" si="136"/>
        <v>15.449919228540612</v>
      </c>
      <c r="Q622" s="27">
        <f t="shared" si="136"/>
        <v>15.545788610572219</v>
      </c>
      <c r="R622" s="27">
        <f t="shared" si="136"/>
        <v>15.648067752449878</v>
      </c>
      <c r="S622" s="27">
        <f t="shared" si="136"/>
        <v>15.742031713029512</v>
      </c>
      <c r="T622" s="27">
        <f t="shared" si="136"/>
        <v>15.78777493593066</v>
      </c>
      <c r="U622" s="27">
        <f t="shared" si="136"/>
        <v>15.836941189877804</v>
      </c>
      <c r="V622" s="27">
        <f t="shared" si="136"/>
        <v>15.890131734595759</v>
      </c>
      <c r="W622" s="27">
        <f t="shared" si="136"/>
        <v>15.947930587680338</v>
      </c>
      <c r="X622" s="27">
        <f t="shared" si="136"/>
        <v>16.009309310979074</v>
      </c>
      <c r="Y622" s="27">
        <f t="shared" si="136"/>
        <v>16.047680700733103</v>
      </c>
      <c r="Z622" s="27">
        <f t="shared" si="136"/>
        <v>16.089188383327485</v>
      </c>
      <c r="AA622" s="27">
        <f t="shared" si="136"/>
        <v>16.133588234011135</v>
      </c>
      <c r="AB622" s="27">
        <f t="shared" si="136"/>
        <v>16.181852398556252</v>
      </c>
      <c r="AC622" s="27">
        <f t="shared" si="136"/>
        <v>16.232869062741507</v>
      </c>
      <c r="AD622" s="27">
        <f t="shared" si="136"/>
        <v>16.26603536262477</v>
      </c>
      <c r="AE622" s="27">
        <f t="shared" si="136"/>
        <v>16.302563680867436</v>
      </c>
      <c r="AF622" s="27">
        <f t="shared" si="136"/>
        <v>16.341889153829143</v>
      </c>
      <c r="AG622" s="27">
        <f t="shared" si="136"/>
        <v>16.384434985595004</v>
      </c>
      <c r="AH622" s="27">
        <f t="shared" si="136"/>
        <v>16.427723661614785</v>
      </c>
      <c r="AI622" s="27">
        <f t="shared" si="136"/>
        <v>16.453347878804561</v>
      </c>
      <c r="AJ622" s="27">
        <f t="shared" si="136"/>
        <v>16.481391601385443</v>
      </c>
      <c r="AK622" s="27">
        <f t="shared" si="136"/>
        <v>16.511100045266552</v>
      </c>
      <c r="AL622" s="27">
        <f t="shared" si="136"/>
        <v>16.542862813406586</v>
      </c>
      <c r="AM622" s="27">
        <f t="shared" si="136"/>
        <v>16.576376781233034</v>
      </c>
      <c r="AN622" s="27">
        <f t="shared" si="136"/>
        <v>16.594247346579589</v>
      </c>
      <c r="AO622" s="27">
        <f t="shared" si="136"/>
        <v>16.613410035363255</v>
      </c>
      <c r="AP622" s="27">
        <f t="shared" si="136"/>
        <v>16.634160462915251</v>
      </c>
      <c r="AQ622" s="27">
        <f t="shared" si="136"/>
        <v>16.656536848310051</v>
      </c>
      <c r="AR622" s="27">
        <f t="shared" si="136"/>
        <v>16.680524418707119</v>
      </c>
      <c r="AS622" s="27">
        <f t="shared" si="136"/>
        <v>16.68868442435787</v>
      </c>
      <c r="AT622" s="27">
        <f t="shared" si="136"/>
        <v>16.695767676813599</v>
      </c>
      <c r="AU622" s="27">
        <f t="shared" si="136"/>
        <v>16.703924626566948</v>
      </c>
      <c r="AV622" s="27">
        <f t="shared" si="136"/>
        <v>16.713365572192938</v>
      </c>
      <c r="AW622" s="27">
        <f t="shared" si="136"/>
        <v>16.723944327870726</v>
      </c>
      <c r="AY622" s="79"/>
      <c r="AZ622" s="79"/>
    </row>
    <row r="623" spans="1:52" x14ac:dyDescent="0.2">
      <c r="A623" s="95" t="str">
        <f t="shared" si="133"/>
        <v>NI Goats</v>
      </c>
      <c r="B623" s="95" t="s">
        <v>969</v>
      </c>
      <c r="C623" s="95" t="s">
        <v>153</v>
      </c>
      <c r="D623" t="s">
        <v>15</v>
      </c>
      <c r="E623" t="s">
        <v>16</v>
      </c>
      <c r="F623" t="s">
        <v>19</v>
      </c>
      <c r="G623" t="s">
        <v>123</v>
      </c>
      <c r="H623" t="s">
        <v>1020</v>
      </c>
      <c r="I623" t="s">
        <v>121</v>
      </c>
      <c r="J623" t="s">
        <v>286</v>
      </c>
      <c r="K623" s="27">
        <f t="shared" si="135"/>
        <v>22.381101687842737</v>
      </c>
      <c r="L623" s="27">
        <f t="shared" si="136"/>
        <v>22.439281748993185</v>
      </c>
      <c r="M623" s="27">
        <f t="shared" si="136"/>
        <v>22.519539087339325</v>
      </c>
      <c r="N623" s="27">
        <f t="shared" si="136"/>
        <v>22.617313721478972</v>
      </c>
      <c r="O623" s="27">
        <f t="shared" si="136"/>
        <v>22.73246619889365</v>
      </c>
      <c r="P623" s="27">
        <f t="shared" si="136"/>
        <v>22.864295641209328</v>
      </c>
      <c r="Q623" s="27">
        <f t="shared" si="136"/>
        <v>23.006172492556328</v>
      </c>
      <c r="R623" s="27">
        <f t="shared" si="136"/>
        <v>23.157535130977113</v>
      </c>
      <c r="S623" s="27">
        <f t="shared" si="136"/>
        <v>23.296592154028918</v>
      </c>
      <c r="T623" s="27">
        <f t="shared" si="136"/>
        <v>23.36428743168846</v>
      </c>
      <c r="U623" s="27">
        <f t="shared" si="136"/>
        <v>23.437048444169463</v>
      </c>
      <c r="V623" s="27">
        <f t="shared" si="136"/>
        <v>23.51576499418881</v>
      </c>
      <c r="W623" s="27">
        <f t="shared" si="136"/>
        <v>23.601301367881135</v>
      </c>
      <c r="X623" s="27">
        <f t="shared" si="136"/>
        <v>23.692135582275586</v>
      </c>
      <c r="Y623" s="27">
        <f t="shared" si="136"/>
        <v>23.748921303063014</v>
      </c>
      <c r="Z623" s="27">
        <f t="shared" si="136"/>
        <v>23.810348415540492</v>
      </c>
      <c r="AA623" s="27">
        <f t="shared" si="136"/>
        <v>23.876055640118153</v>
      </c>
      <c r="AB623" s="27">
        <f t="shared" si="136"/>
        <v>23.947481652818404</v>
      </c>
      <c r="AC623" s="27">
        <f t="shared" si="136"/>
        <v>24.022981082641</v>
      </c>
      <c r="AD623" s="27">
        <f t="shared" si="136"/>
        <v>24.072063804345781</v>
      </c>
      <c r="AE623" s="27">
        <f t="shared" si="136"/>
        <v>24.126121968354415</v>
      </c>
      <c r="AF623" s="27">
        <f t="shared" si="136"/>
        <v>24.184319634421552</v>
      </c>
      <c r="AG623" s="27">
        <f t="shared" si="136"/>
        <v>24.247283101181864</v>
      </c>
      <c r="AH623" s="27">
        <f t="shared" si="136"/>
        <v>24.311345901238735</v>
      </c>
      <c r="AI623" s="27">
        <f t="shared" si="136"/>
        <v>24.34926711420659</v>
      </c>
      <c r="AJ623" s="27">
        <f t="shared" si="136"/>
        <v>24.390768946966002</v>
      </c>
      <c r="AK623" s="27">
        <f t="shared" si="136"/>
        <v>24.434734396486487</v>
      </c>
      <c r="AL623" s="27">
        <f t="shared" si="136"/>
        <v>24.481740035182341</v>
      </c>
      <c r="AM623" s="27">
        <f t="shared" si="136"/>
        <v>24.531337269780067</v>
      </c>
      <c r="AN623" s="27">
        <f t="shared" si="136"/>
        <v>24.557783873371651</v>
      </c>
      <c r="AO623" s="27">
        <f t="shared" si="136"/>
        <v>24.586142687107124</v>
      </c>
      <c r="AP623" s="27">
        <f t="shared" si="136"/>
        <v>24.616851191353145</v>
      </c>
      <c r="AQ623" s="27">
        <f t="shared" si="136"/>
        <v>24.649965946419517</v>
      </c>
      <c r="AR623" s="27">
        <f t="shared" si="136"/>
        <v>24.685465090017612</v>
      </c>
      <c r="AS623" s="27">
        <f t="shared" si="136"/>
        <v>24.697541061346186</v>
      </c>
      <c r="AT623" s="27">
        <f t="shared" si="136"/>
        <v>24.708023548396984</v>
      </c>
      <c r="AU623" s="27">
        <f t="shared" si="136"/>
        <v>24.720094997310881</v>
      </c>
      <c r="AV623" s="27">
        <f t="shared" si="136"/>
        <v>24.734066628406943</v>
      </c>
      <c r="AW623" s="27">
        <f t="shared" si="136"/>
        <v>24.749722101665743</v>
      </c>
      <c r="AY623" s="79"/>
      <c r="AZ623" s="79"/>
    </row>
    <row r="624" spans="1:52" x14ac:dyDescent="0.2">
      <c r="A624" s="95" t="str">
        <f t="shared" si="133"/>
        <v>NI Horses</v>
      </c>
      <c r="B624" s="95" t="s">
        <v>969</v>
      </c>
      <c r="C624" s="95" t="s">
        <v>3</v>
      </c>
      <c r="D624" t="s">
        <v>15</v>
      </c>
      <c r="E624" t="s">
        <v>16</v>
      </c>
      <c r="F624" t="s">
        <v>20</v>
      </c>
      <c r="G624" t="s">
        <v>3</v>
      </c>
      <c r="H624" t="s">
        <v>1020</v>
      </c>
      <c r="I624" t="s">
        <v>121</v>
      </c>
      <c r="J624" t="s">
        <v>286</v>
      </c>
      <c r="K624" s="27">
        <f t="shared" si="135"/>
        <v>5.5526214800767892</v>
      </c>
      <c r="L624" s="27">
        <f t="shared" si="136"/>
        <v>5.579523571019652</v>
      </c>
      <c r="M624" s="27">
        <f t="shared" si="136"/>
        <v>5.6203482259438022</v>
      </c>
      <c r="N624" s="27">
        <f t="shared" si="136"/>
        <v>5.629075655008374</v>
      </c>
      <c r="O624" s="27">
        <f t="shared" si="136"/>
        <v>5.6165815405282284</v>
      </c>
      <c r="P624" s="27">
        <f t="shared" si="136"/>
        <v>5.5833231296706103</v>
      </c>
      <c r="Q624" s="27">
        <f t="shared" si="136"/>
        <v>5.5648827699457346</v>
      </c>
      <c r="R624" s="27">
        <f t="shared" si="136"/>
        <v>5.5483103177944013</v>
      </c>
      <c r="S624" s="27">
        <f t="shared" si="136"/>
        <v>5.2545848231765602</v>
      </c>
      <c r="T624" s="27">
        <f t="shared" si="136"/>
        <v>5.3277448648735932</v>
      </c>
      <c r="U624" s="27">
        <f t="shared" si="136"/>
        <v>5.3771318788227438</v>
      </c>
      <c r="V624" s="27">
        <f t="shared" si="136"/>
        <v>5.4200550937003218</v>
      </c>
      <c r="W624" s="27">
        <f t="shared" si="136"/>
        <v>5.4726184084270573</v>
      </c>
      <c r="X624" s="27">
        <f t="shared" si="136"/>
        <v>5.5193093093258572</v>
      </c>
      <c r="Y624" s="27">
        <f t="shared" si="136"/>
        <v>5.5623143429133499</v>
      </c>
      <c r="Z624" s="27">
        <f t="shared" si="136"/>
        <v>5.6016190467987945</v>
      </c>
      <c r="AA624" s="27">
        <f t="shared" si="136"/>
        <v>5.6358734850599594</v>
      </c>
      <c r="AB624" s="27">
        <f t="shared" si="136"/>
        <v>5.6864221774832213</v>
      </c>
      <c r="AC624" s="27">
        <f t="shared" si="136"/>
        <v>5.734761216152096</v>
      </c>
      <c r="AD624" s="27">
        <f t="shared" si="136"/>
        <v>5.7937893665421401</v>
      </c>
      <c r="AE624" s="27">
        <f t="shared" si="136"/>
        <v>5.868728906856421</v>
      </c>
      <c r="AF624" s="27">
        <f t="shared" si="136"/>
        <v>5.95097387412393</v>
      </c>
      <c r="AG624" s="27">
        <f t="shared" si="136"/>
        <v>6.0502809540907023</v>
      </c>
      <c r="AH624" s="27">
        <f t="shared" si="136"/>
        <v>6.1220107529838179</v>
      </c>
      <c r="AI624" s="27">
        <f t="shared" si="136"/>
        <v>6.1941308642978408</v>
      </c>
      <c r="AJ624" s="27">
        <f t="shared" si="136"/>
        <v>6.2747694866131836</v>
      </c>
      <c r="AK624" s="27">
        <f t="shared" si="136"/>
        <v>6.3513096084096698</v>
      </c>
      <c r="AL624" s="27">
        <f t="shared" si="136"/>
        <v>6.4323283925814563</v>
      </c>
      <c r="AM624" s="27">
        <f t="shared" si="136"/>
        <v>6.5134158744418782</v>
      </c>
      <c r="AN624" s="27">
        <f t="shared" si="136"/>
        <v>6.6126163316975539</v>
      </c>
      <c r="AO624" s="27">
        <f t="shared" si="136"/>
        <v>6.7066735285892829</v>
      </c>
      <c r="AP624" s="27">
        <f t="shared" si="136"/>
        <v>6.8021224333407027</v>
      </c>
      <c r="AQ624" s="27">
        <f t="shared" si="136"/>
        <v>6.9006513009384864</v>
      </c>
      <c r="AR624" s="27">
        <f t="shared" si="136"/>
        <v>7.0028965831984893</v>
      </c>
      <c r="AS624" s="27">
        <f t="shared" si="136"/>
        <v>7.1267607896665828</v>
      </c>
      <c r="AT624" s="27">
        <f t="shared" si="136"/>
        <v>7.2071584727038323</v>
      </c>
      <c r="AU624" s="27">
        <f t="shared" si="136"/>
        <v>7.2845566532149562</v>
      </c>
      <c r="AV624" s="27">
        <f t="shared" si="136"/>
        <v>7.3636089922437549</v>
      </c>
      <c r="AW624" s="27">
        <f t="shared" si="136"/>
        <v>7.4423534956754249</v>
      </c>
      <c r="AY624" s="79"/>
      <c r="AZ624" s="79"/>
    </row>
    <row r="625" spans="1:52" x14ac:dyDescent="0.2">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2">
      <c r="A626" s="95" t="str">
        <f t="shared" si="133"/>
        <v>NI Swine</v>
      </c>
      <c r="B626" s="95" t="s">
        <v>969</v>
      </c>
      <c r="C626" s="95" t="s">
        <v>155</v>
      </c>
      <c r="D626" t="s">
        <v>15</v>
      </c>
      <c r="E626" t="s">
        <v>16</v>
      </c>
      <c r="F626" t="s">
        <v>21</v>
      </c>
      <c r="G626" t="s">
        <v>122</v>
      </c>
      <c r="H626" t="s">
        <v>1020</v>
      </c>
      <c r="I626" t="s">
        <v>121</v>
      </c>
      <c r="J626" t="s">
        <v>286</v>
      </c>
      <c r="K626" s="27">
        <f t="shared" si="135"/>
        <v>1.8400999552016304</v>
      </c>
      <c r="L626" s="27">
        <f t="shared" si="136"/>
        <v>1.8300977880312255</v>
      </c>
      <c r="M626" s="27">
        <f t="shared" si="136"/>
        <v>1.8309187348828158</v>
      </c>
      <c r="N626" s="27">
        <f t="shared" si="136"/>
        <v>1.8141094978660448</v>
      </c>
      <c r="O626" s="27">
        <f t="shared" si="136"/>
        <v>1.7866561368117302</v>
      </c>
      <c r="P626" s="27">
        <f t="shared" si="136"/>
        <v>1.7489975228040084</v>
      </c>
      <c r="Q626" s="27">
        <f t="shared" si="136"/>
        <v>1.7216531928010095</v>
      </c>
      <c r="R626" s="27">
        <f t="shared" si="136"/>
        <v>1.6967284692901876</v>
      </c>
      <c r="S626" s="27">
        <f t="shared" si="136"/>
        <v>1.5117747469441463</v>
      </c>
      <c r="T626" s="27">
        <f t="shared" si="136"/>
        <v>1.5353784458928466</v>
      </c>
      <c r="U626" s="27">
        <f t="shared" si="136"/>
        <v>1.5454031535928081</v>
      </c>
      <c r="V626" s="27">
        <f t="shared" si="136"/>
        <v>1.5520051748391652</v>
      </c>
      <c r="W626" s="27">
        <f t="shared" si="136"/>
        <v>1.564229983889788</v>
      </c>
      <c r="X626" s="27">
        <f t="shared" si="136"/>
        <v>1.5733351038653358</v>
      </c>
      <c r="Y626" s="27">
        <f t="shared" si="136"/>
        <v>1.5781110770621192</v>
      </c>
      <c r="Z626" s="27">
        <f t="shared" si="136"/>
        <v>1.5810372890528743</v>
      </c>
      <c r="AA626" s="27">
        <f t="shared" si="136"/>
        <v>1.5814342334658642</v>
      </c>
      <c r="AB626" s="27">
        <f t="shared" si="136"/>
        <v>1.5906175911874081</v>
      </c>
      <c r="AC626" s="27">
        <f t="shared" si="136"/>
        <v>1.598639197477874</v>
      </c>
      <c r="AD626" s="27">
        <f t="shared" si="136"/>
        <v>1.6101808279098371</v>
      </c>
      <c r="AE626" s="27">
        <f t="shared" si="136"/>
        <v>1.6296768229523677</v>
      </c>
      <c r="AF626" s="27">
        <f t="shared" si="136"/>
        <v>1.6525077177354268</v>
      </c>
      <c r="AG626" s="27">
        <f t="shared" si="136"/>
        <v>1.6834189005947389</v>
      </c>
      <c r="AH626" s="27">
        <f t="shared" si="136"/>
        <v>1.7001060999840301</v>
      </c>
      <c r="AI626" s="27">
        <f t="shared" si="136"/>
        <v>1.714680678931171</v>
      </c>
      <c r="AJ626" s="27">
        <f t="shared" si="136"/>
        <v>1.7329967482102966</v>
      </c>
      <c r="AK626" s="27">
        <f t="shared" si="136"/>
        <v>1.7488990397133231</v>
      </c>
      <c r="AL626" s="27">
        <f t="shared" si="136"/>
        <v>1.7664947607476369</v>
      </c>
      <c r="AM626" s="27">
        <f t="shared" si="136"/>
        <v>1.7836580054040596</v>
      </c>
      <c r="AN626" s="27">
        <f t="shared" si="136"/>
        <v>1.8067654920152938</v>
      </c>
      <c r="AO626" s="27">
        <f t="shared" si="136"/>
        <v>1.8268312610518465</v>
      </c>
      <c r="AP626" s="27">
        <f t="shared" si="136"/>
        <v>1.8468791974694727</v>
      </c>
      <c r="AQ626" s="27">
        <f t="shared" si="136"/>
        <v>1.8676391522371276</v>
      </c>
      <c r="AR626" s="27">
        <f t="shared" si="136"/>
        <v>1.8893444874946981</v>
      </c>
      <c r="AS626" s="27">
        <f t="shared" si="136"/>
        <v>1.9176308190810374</v>
      </c>
      <c r="AT626" s="27">
        <f t="shared" si="136"/>
        <v>1.9263908565050327</v>
      </c>
      <c r="AU626" s="27">
        <f t="shared" si="136"/>
        <v>1.9333876275197814</v>
      </c>
      <c r="AV626" s="27">
        <f t="shared" si="136"/>
        <v>1.9406033255753634</v>
      </c>
      <c r="AW626" s="27">
        <f t="shared" si="136"/>
        <v>1.947207220691618</v>
      </c>
      <c r="AY626" s="79"/>
      <c r="AZ626" s="79"/>
    </row>
    <row r="627" spans="1:52" x14ac:dyDescent="0.2">
      <c r="A627" s="95" t="str">
        <f t="shared" si="133"/>
        <v>NI Swine</v>
      </c>
      <c r="B627" s="95" t="s">
        <v>969</v>
      </c>
      <c r="C627" s="95" t="s">
        <v>155</v>
      </c>
      <c r="D627" t="s">
        <v>15</v>
      </c>
      <c r="E627" t="s">
        <v>16</v>
      </c>
      <c r="F627" t="s">
        <v>21</v>
      </c>
      <c r="G627" t="s">
        <v>123</v>
      </c>
      <c r="H627" t="s">
        <v>1020</v>
      </c>
      <c r="I627" t="s">
        <v>121</v>
      </c>
      <c r="J627" t="s">
        <v>286</v>
      </c>
      <c r="K627" s="27">
        <f t="shared" si="135"/>
        <v>0.25496723934882609</v>
      </c>
      <c r="L627" s="27">
        <f t="shared" si="136"/>
        <v>0.25358132281546897</v>
      </c>
      <c r="M627" s="27">
        <f t="shared" si="136"/>
        <v>0.25369507454499346</v>
      </c>
      <c r="N627" s="27">
        <f t="shared" si="136"/>
        <v>0.25136595935447842</v>
      </c>
      <c r="O627" s="27">
        <f t="shared" si="136"/>
        <v>0.24756197704412711</v>
      </c>
      <c r="P627" s="27">
        <f t="shared" si="136"/>
        <v>0.2423439383043785</v>
      </c>
      <c r="Q627" s="27">
        <f t="shared" si="136"/>
        <v>0.23855506351363703</v>
      </c>
      <c r="R627" s="27">
        <f t="shared" si="136"/>
        <v>0.23510145332951488</v>
      </c>
      <c r="S627" s="27">
        <f t="shared" si="136"/>
        <v>0.20947396507239346</v>
      </c>
      <c r="T627" s="27">
        <f t="shared" si="136"/>
        <v>0.21274453194695842</v>
      </c>
      <c r="U627" s="27">
        <f t="shared" si="136"/>
        <v>0.21413357173271183</v>
      </c>
      <c r="V627" s="27">
        <f t="shared" si="136"/>
        <v>0.21504835852271614</v>
      </c>
      <c r="W627" s="27">
        <f t="shared" si="136"/>
        <v>0.21674224792605687</v>
      </c>
      <c r="X627" s="27">
        <f t="shared" si="136"/>
        <v>0.21800386814268849</v>
      </c>
      <c r="Y627" s="27">
        <f t="shared" si="136"/>
        <v>0.21866563474821746</v>
      </c>
      <c r="Z627" s="27">
        <f t="shared" si="136"/>
        <v>0.21907109543578676</v>
      </c>
      <c r="AA627" s="27">
        <f t="shared" si="136"/>
        <v>0.21912609669855451</v>
      </c>
      <c r="AB627" s="27">
        <f t="shared" si="136"/>
        <v>0.22039855766438188</v>
      </c>
      <c r="AC627" s="27">
        <f t="shared" si="136"/>
        <v>0.22151004446445585</v>
      </c>
      <c r="AD627" s="27">
        <f t="shared" si="136"/>
        <v>0.22310927152845497</v>
      </c>
      <c r="AE627" s="27">
        <f t="shared" si="136"/>
        <v>0.22581066827611573</v>
      </c>
      <c r="AF627" s="27">
        <f t="shared" si="136"/>
        <v>0.22897415414993735</v>
      </c>
      <c r="AG627" s="27">
        <f t="shared" si="136"/>
        <v>0.23325725786741008</v>
      </c>
      <c r="AH627" s="27">
        <f t="shared" si="136"/>
        <v>0.2355694633259906</v>
      </c>
      <c r="AI627" s="27">
        <f t="shared" si="136"/>
        <v>0.23758894066379471</v>
      </c>
      <c r="AJ627" s="27">
        <f t="shared" si="136"/>
        <v>0.24012684498068754</v>
      </c>
      <c r="AK627" s="27">
        <f t="shared" si="136"/>
        <v>0.24233029232733053</v>
      </c>
      <c r="AL627" s="27">
        <f t="shared" si="136"/>
        <v>0.24476838402109372</v>
      </c>
      <c r="AM627" s="27">
        <f t="shared" si="136"/>
        <v>0.2471465510853047</v>
      </c>
      <c r="AN627" s="27">
        <f t="shared" si="136"/>
        <v>0.25034836197220872</v>
      </c>
      <c r="AO627" s="27">
        <f t="shared" si="136"/>
        <v>0.25312870753017624</v>
      </c>
      <c r="AP627" s="27">
        <f t="shared" si="136"/>
        <v>0.25590658217149315</v>
      </c>
      <c r="AQ627" s="27">
        <f t="shared" ref="L627:AW634" si="137">AQ1392</f>
        <v>0.25878311523218522</v>
      </c>
      <c r="AR627" s="27">
        <f t="shared" si="137"/>
        <v>0.26179064174949174</v>
      </c>
      <c r="AS627" s="27">
        <f t="shared" si="137"/>
        <v>0.26571004181006297</v>
      </c>
      <c r="AT627" s="27">
        <f t="shared" si="137"/>
        <v>0.26692384682770609</v>
      </c>
      <c r="AU627" s="27">
        <f t="shared" si="137"/>
        <v>0.26789333078695698</v>
      </c>
      <c r="AV627" s="27">
        <f t="shared" si="137"/>
        <v>0.26889314963267008</v>
      </c>
      <c r="AW627" s="27">
        <f t="shared" si="137"/>
        <v>0.26980819606913181</v>
      </c>
      <c r="AY627" s="79"/>
      <c r="AZ627" s="79"/>
    </row>
    <row r="628" spans="1:52" x14ac:dyDescent="0.2">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7.3924283487896005</v>
      </c>
      <c r="M628" s="27">
        <f t="shared" si="137"/>
        <v>7.4507389435191715</v>
      </c>
      <c r="N628" s="27">
        <f t="shared" si="137"/>
        <v>7.4882097119910753</v>
      </c>
      <c r="O628" s="27">
        <f t="shared" si="137"/>
        <v>7.5131092090175455</v>
      </c>
      <c r="P628" s="27">
        <f t="shared" si="137"/>
        <v>7.5251923679492405</v>
      </c>
      <c r="Q628" s="27">
        <f t="shared" si="137"/>
        <v>7.5518885629203734</v>
      </c>
      <c r="R628" s="27">
        <f t="shared" si="137"/>
        <v>7.5825135825669046</v>
      </c>
      <c r="S628" s="27">
        <f t="shared" si="137"/>
        <v>7.3749406226465846</v>
      </c>
      <c r="T628" s="27">
        <f t="shared" si="137"/>
        <v>7.4596947338228921</v>
      </c>
      <c r="U628" s="27">
        <f t="shared" si="137"/>
        <v>7.5261085209621994</v>
      </c>
      <c r="V628" s="27">
        <f t="shared" si="137"/>
        <v>7.5890282866946253</v>
      </c>
      <c r="W628" s="27">
        <f t="shared" si="137"/>
        <v>7.6625876396153867</v>
      </c>
      <c r="X628" s="27">
        <f t="shared" si="137"/>
        <v>7.733033452737752</v>
      </c>
      <c r="Y628" s="27">
        <f t="shared" si="137"/>
        <v>7.7921158726045912</v>
      </c>
      <c r="Z628" s="27">
        <f t="shared" si="137"/>
        <v>7.8495573007710338</v>
      </c>
      <c r="AA628" s="27">
        <f t="shared" si="137"/>
        <v>7.9040412638168576</v>
      </c>
      <c r="AB628" s="27">
        <f t="shared" si="137"/>
        <v>7.9749152148387106</v>
      </c>
      <c r="AC628" s="27">
        <f t="shared" si="137"/>
        <v>8.0454247210614032</v>
      </c>
      <c r="AD628" s="27">
        <f t="shared" si="137"/>
        <v>8.118986526852904</v>
      </c>
      <c r="AE628" s="27">
        <f t="shared" si="137"/>
        <v>8.2087302780498543</v>
      </c>
      <c r="AF628" s="27">
        <f t="shared" si="137"/>
        <v>8.3068407116005449</v>
      </c>
      <c r="AG628" s="27">
        <f t="shared" si="137"/>
        <v>8.4224927361534156</v>
      </c>
      <c r="AH628" s="27">
        <f t="shared" si="137"/>
        <v>8.5140894306414712</v>
      </c>
      <c r="AI628" s="27">
        <f t="shared" si="137"/>
        <v>8.5991817671771109</v>
      </c>
      <c r="AJ628" s="27">
        <f t="shared" si="137"/>
        <v>8.6936031201600006</v>
      </c>
      <c r="AK628" s="27">
        <f t="shared" si="137"/>
        <v>8.7854891773357977</v>
      </c>
      <c r="AL628" s="27">
        <f t="shared" si="137"/>
        <v>8.8829387927935777</v>
      </c>
      <c r="AM628" s="27">
        <f t="shared" si="137"/>
        <v>8.981789259815093</v>
      </c>
      <c r="AN628" s="27">
        <f t="shared" si="137"/>
        <v>9.0910335877436168</v>
      </c>
      <c r="AO628" s="27">
        <f t="shared" si="137"/>
        <v>9.1965466271076242</v>
      </c>
      <c r="AP628" s="27">
        <f t="shared" si="137"/>
        <v>9.3045679627692603</v>
      </c>
      <c r="AQ628" s="27">
        <f t="shared" si="137"/>
        <v>9.416735487095643</v>
      </c>
      <c r="AR628" s="27">
        <f t="shared" si="137"/>
        <v>9.5336904606360946</v>
      </c>
      <c r="AS628" s="27">
        <f t="shared" si="137"/>
        <v>9.6639189531179213</v>
      </c>
      <c r="AT628" s="27">
        <f t="shared" si="137"/>
        <v>9.7529871408715216</v>
      </c>
      <c r="AU628" s="27">
        <f t="shared" si="137"/>
        <v>9.8400068754522785</v>
      </c>
      <c r="AV628" s="27">
        <f t="shared" si="137"/>
        <v>9.9294924345892497</v>
      </c>
      <c r="AW628" s="27">
        <f t="shared" si="137"/>
        <v>10.019533761751701</v>
      </c>
      <c r="AY628" s="79"/>
      <c r="AZ628" s="79"/>
    </row>
    <row r="629" spans="1:52" x14ac:dyDescent="0.2">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2.1061581299686476</v>
      </c>
      <c r="M629" s="27">
        <f t="shared" si="137"/>
        <v>2.1227712545548472</v>
      </c>
      <c r="N629" s="27">
        <f t="shared" si="137"/>
        <v>2.1334469567638776</v>
      </c>
      <c r="O629" s="27">
        <f t="shared" si="137"/>
        <v>2.1405410097083362</v>
      </c>
      <c r="P629" s="27">
        <f t="shared" si="137"/>
        <v>2.143983592066792</v>
      </c>
      <c r="Q629" s="27">
        <f t="shared" si="137"/>
        <v>2.151589537694508</v>
      </c>
      <c r="R629" s="27">
        <f t="shared" si="137"/>
        <v>2.1603148348588084</v>
      </c>
      <c r="S629" s="27">
        <f t="shared" si="137"/>
        <v>2.1011757459869611</v>
      </c>
      <c r="T629" s="27">
        <f t="shared" si="137"/>
        <v>2.1253228261993073</v>
      </c>
      <c r="U629" s="27">
        <f t="shared" si="137"/>
        <v>2.1442446109127653</v>
      </c>
      <c r="V629" s="27">
        <f t="shared" si="137"/>
        <v>2.162170922793051</v>
      </c>
      <c r="W629" s="27">
        <f t="shared" si="137"/>
        <v>2.1831285326445773</v>
      </c>
      <c r="X629" s="27">
        <f t="shared" si="137"/>
        <v>2.2031990717190912</v>
      </c>
      <c r="Y629" s="27">
        <f t="shared" si="137"/>
        <v>2.2200320950599446</v>
      </c>
      <c r="Z629" s="27">
        <f t="shared" si="137"/>
        <v>2.2363975875911741</v>
      </c>
      <c r="AA629" s="27">
        <f t="shared" si="137"/>
        <v>2.2519204761884857</v>
      </c>
      <c r="AB629" s="27">
        <f t="shared" si="137"/>
        <v>2.2721129949529209</v>
      </c>
      <c r="AC629" s="27">
        <f t="shared" si="137"/>
        <v>2.2922016806681249</v>
      </c>
      <c r="AD629" s="27">
        <f t="shared" si="137"/>
        <v>2.3131599893608721</v>
      </c>
      <c r="AE629" s="27">
        <f t="shared" si="137"/>
        <v>2.3387286553362805</v>
      </c>
      <c r="AF629" s="27">
        <f t="shared" si="137"/>
        <v>2.3666810516948278</v>
      </c>
      <c r="AG629" s="27">
        <f t="shared" si="137"/>
        <v>2.3996311785363349</v>
      </c>
      <c r="AH629" s="27">
        <f t="shared" si="137"/>
        <v>2.4257277619149016</v>
      </c>
      <c r="AI629" s="27">
        <f t="shared" si="137"/>
        <v>2.4499712050619578</v>
      </c>
      <c r="AJ629" s="27">
        <f t="shared" si="137"/>
        <v>2.4768725547733976</v>
      </c>
      <c r="AK629" s="27">
        <f t="shared" si="137"/>
        <v>2.5030515797460584</v>
      </c>
      <c r="AL629" s="27">
        <f t="shared" si="137"/>
        <v>2.5308157040871935</v>
      </c>
      <c r="AM629" s="27">
        <f t="shared" si="137"/>
        <v>2.5589789415168327</v>
      </c>
      <c r="AN629" s="27">
        <f t="shared" si="137"/>
        <v>2.5901034676621961</v>
      </c>
      <c r="AO629" s="27">
        <f t="shared" si="137"/>
        <v>2.6201649217864809</v>
      </c>
      <c r="AP629" s="27">
        <f t="shared" si="137"/>
        <v>2.6509410082873499</v>
      </c>
      <c r="AQ629" s="27">
        <f t="shared" si="137"/>
        <v>2.6828983749511943</v>
      </c>
      <c r="AR629" s="27">
        <f t="shared" si="137"/>
        <v>2.7162197217049746</v>
      </c>
      <c r="AS629" s="27">
        <f t="shared" si="137"/>
        <v>2.7533227932875448</v>
      </c>
      <c r="AT629" s="27">
        <f t="shared" si="137"/>
        <v>2.7786989861849074</v>
      </c>
      <c r="AU629" s="27">
        <f t="shared" si="137"/>
        <v>2.8034915594514418</v>
      </c>
      <c r="AV629" s="27">
        <f t="shared" si="137"/>
        <v>2.8289866645777546</v>
      </c>
      <c r="AW629" s="27">
        <f t="shared" si="137"/>
        <v>2.854640112171523</v>
      </c>
      <c r="AY629" s="79"/>
      <c r="AZ629" s="79"/>
    </row>
    <row r="630" spans="1:52" x14ac:dyDescent="0.2">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0.43500213637199753</v>
      </c>
      <c r="M630" s="27">
        <f t="shared" si="137"/>
        <v>0.43843338143569016</v>
      </c>
      <c r="N630" s="27">
        <f t="shared" si="137"/>
        <v>0.44063832189202168</v>
      </c>
      <c r="O630" s="27">
        <f t="shared" si="137"/>
        <v>0.44210351490980404</v>
      </c>
      <c r="P630" s="27">
        <f t="shared" si="137"/>
        <v>0.44281453971808232</v>
      </c>
      <c r="Q630" s="27">
        <f t="shared" si="137"/>
        <v>0.44438545813589125</v>
      </c>
      <c r="R630" s="27">
        <f t="shared" si="137"/>
        <v>0.44618756541973886</v>
      </c>
      <c r="S630" s="27">
        <f t="shared" si="137"/>
        <v>0.43397308368814624</v>
      </c>
      <c r="T630" s="27">
        <f t="shared" si="137"/>
        <v>0.43896037848337277</v>
      </c>
      <c r="U630" s="27">
        <f t="shared" si="137"/>
        <v>0.4428684500840781</v>
      </c>
      <c r="V630" s="27">
        <f t="shared" si="137"/>
        <v>0.44657091850477143</v>
      </c>
      <c r="W630" s="27">
        <f t="shared" si="137"/>
        <v>0.45089946579138956</v>
      </c>
      <c r="X630" s="27">
        <f t="shared" si="137"/>
        <v>0.45504479906495582</v>
      </c>
      <c r="Y630" s="27">
        <f t="shared" si="137"/>
        <v>0.4585214616244665</v>
      </c>
      <c r="Z630" s="27">
        <f t="shared" si="137"/>
        <v>0.46190156120605425</v>
      </c>
      <c r="AA630" s="27">
        <f t="shared" si="137"/>
        <v>0.46510763087689888</v>
      </c>
      <c r="AB630" s="27">
        <f t="shared" si="137"/>
        <v>0.46927815761763869</v>
      </c>
      <c r="AC630" s="27">
        <f t="shared" si="137"/>
        <v>0.47342723886594434</v>
      </c>
      <c r="AD630" s="27">
        <f t="shared" si="137"/>
        <v>0.4777559304899795</v>
      </c>
      <c r="AE630" s="27">
        <f t="shared" si="137"/>
        <v>0.48303683706827621</v>
      </c>
      <c r="AF630" s="27">
        <f t="shared" si="137"/>
        <v>0.48881007506008173</v>
      </c>
      <c r="AG630" s="27">
        <f t="shared" si="137"/>
        <v>0.49561553537468644</v>
      </c>
      <c r="AH630" s="27">
        <f t="shared" si="137"/>
        <v>0.50100547707002141</v>
      </c>
      <c r="AI630" s="27">
        <f t="shared" si="137"/>
        <v>0.50601267449357823</v>
      </c>
      <c r="AJ630" s="27">
        <f t="shared" si="137"/>
        <v>0.51156883118915397</v>
      </c>
      <c r="AK630" s="27">
        <f t="shared" si="137"/>
        <v>0.51697580022400658</v>
      </c>
      <c r="AL630" s="27">
        <f t="shared" si="137"/>
        <v>0.52271015284978539</v>
      </c>
      <c r="AM630" s="27">
        <f t="shared" si="137"/>
        <v>0.52852693757963265</v>
      </c>
      <c r="AN630" s="27">
        <f t="shared" si="137"/>
        <v>0.5349553415888797</v>
      </c>
      <c r="AO630" s="27">
        <f t="shared" si="137"/>
        <v>0.54116418060264715</v>
      </c>
      <c r="AP630" s="27">
        <f t="shared" si="137"/>
        <v>0.54752061851039679</v>
      </c>
      <c r="AQ630" s="27">
        <f t="shared" si="137"/>
        <v>0.55412103591201056</v>
      </c>
      <c r="AR630" s="27">
        <f t="shared" si="137"/>
        <v>0.56100316732391087</v>
      </c>
      <c r="AS630" s="27">
        <f t="shared" si="137"/>
        <v>0.56866636942385063</v>
      </c>
      <c r="AT630" s="27">
        <f t="shared" si="137"/>
        <v>0.57390752295656533</v>
      </c>
      <c r="AU630" s="27">
        <f t="shared" si="137"/>
        <v>0.57902813673368103</v>
      </c>
      <c r="AV630" s="27">
        <f t="shared" si="137"/>
        <v>0.58429385018566193</v>
      </c>
      <c r="AW630" s="27">
        <f t="shared" si="137"/>
        <v>0.5895922674079066</v>
      </c>
      <c r="AY630" s="79"/>
      <c r="AZ630" s="79"/>
    </row>
    <row r="631" spans="1:52" x14ac:dyDescent="0.2">
      <c r="A631" s="95" t="str">
        <f t="shared" si="133"/>
        <v>NI Cattle MMCH4</v>
      </c>
      <c r="B631" s="95" t="s">
        <v>969</v>
      </c>
      <c r="C631" s="95" t="s">
        <v>1229</v>
      </c>
      <c r="D631" t="s">
        <v>15</v>
      </c>
      <c r="E631" t="s">
        <v>22</v>
      </c>
      <c r="F631" t="s">
        <v>67</v>
      </c>
      <c r="G631" t="s">
        <v>122</v>
      </c>
      <c r="H631" t="s">
        <v>1227</v>
      </c>
      <c r="I631" t="s">
        <v>121</v>
      </c>
      <c r="J631" t="s">
        <v>286</v>
      </c>
      <c r="K631" s="27">
        <f t="shared" si="135"/>
        <v>9.4871637196006553E-2</v>
      </c>
      <c r="L631" s="27">
        <f t="shared" si="137"/>
        <v>9.4048845784615531E-2</v>
      </c>
      <c r="M631" s="27">
        <f t="shared" si="137"/>
        <v>9.3735634002294246E-2</v>
      </c>
      <c r="N631" s="27">
        <f t="shared" si="137"/>
        <v>9.2483917307495084E-2</v>
      </c>
      <c r="O631" s="27">
        <f t="shared" si="137"/>
        <v>9.0667019955957398E-2</v>
      </c>
      <c r="P631" s="27">
        <f t="shared" si="137"/>
        <v>8.8322512540543865E-2</v>
      </c>
      <c r="Q631" s="27">
        <f t="shared" si="137"/>
        <v>8.6473330972337892E-2</v>
      </c>
      <c r="R631" s="27">
        <f t="shared" si="137"/>
        <v>8.4723794986300283E-2</v>
      </c>
      <c r="S631" s="27">
        <f t="shared" si="137"/>
        <v>7.5194221843696937E-2</v>
      </c>
      <c r="T631" s="27">
        <f t="shared" si="137"/>
        <v>7.6632536915557561E-2</v>
      </c>
      <c r="U631" s="27">
        <f t="shared" si="137"/>
        <v>7.7401549005272907E-2</v>
      </c>
      <c r="V631" s="27">
        <f t="shared" si="137"/>
        <v>7.7993527400119084E-2</v>
      </c>
      <c r="W631" s="27">
        <f t="shared" si="137"/>
        <v>7.8850028173398812E-2</v>
      </c>
      <c r="X631" s="27">
        <f t="shared" si="137"/>
        <v>7.9545124288710786E-2</v>
      </c>
      <c r="Y631" s="27">
        <f t="shared" si="137"/>
        <v>7.9993221888415164E-2</v>
      </c>
      <c r="Z631" s="27">
        <f t="shared" si="137"/>
        <v>8.0342032341122221E-2</v>
      </c>
      <c r="AA631" s="27">
        <f t="shared" si="137"/>
        <v>8.0558218611879576E-2</v>
      </c>
      <c r="AB631" s="27">
        <f t="shared" si="137"/>
        <v>8.1198214942881639E-2</v>
      </c>
      <c r="AC631" s="27">
        <f t="shared" si="137"/>
        <v>8.1774057106542911E-2</v>
      </c>
      <c r="AD631" s="27">
        <f t="shared" si="137"/>
        <v>8.1803756887802739E-2</v>
      </c>
      <c r="AE631" s="27">
        <f t="shared" si="137"/>
        <v>8.2189518118440233E-2</v>
      </c>
      <c r="AF631" s="27">
        <f t="shared" si="137"/>
        <v>8.2699636683975147E-2</v>
      </c>
      <c r="AG631" s="27">
        <f t="shared" si="137"/>
        <v>8.3556074547621109E-2</v>
      </c>
      <c r="AH631" s="27">
        <f t="shared" si="137"/>
        <v>8.3692861347297365E-2</v>
      </c>
      <c r="AI631" s="27">
        <f t="shared" si="137"/>
        <v>8.3678502694708126E-2</v>
      </c>
      <c r="AJ631" s="27">
        <f t="shared" si="137"/>
        <v>8.380415826329729E-2</v>
      </c>
      <c r="AK631" s="27">
        <f t="shared" si="137"/>
        <v>8.3780965761712248E-2</v>
      </c>
      <c r="AL631" s="27">
        <f t="shared" si="137"/>
        <v>8.3798710851856847E-2</v>
      </c>
      <c r="AM631" s="27">
        <f t="shared" si="137"/>
        <v>8.3758438816059183E-2</v>
      </c>
      <c r="AN631" s="27">
        <f t="shared" si="137"/>
        <v>8.4359602001058728E-2</v>
      </c>
      <c r="AO631" s="27">
        <f t="shared" si="137"/>
        <v>8.4799386999346651E-2</v>
      </c>
      <c r="AP631" s="27">
        <f t="shared" si="137"/>
        <v>8.5213797519739967E-2</v>
      </c>
      <c r="AQ631" s="27">
        <f t="shared" si="137"/>
        <v>8.5634541045958551E-2</v>
      </c>
      <c r="AR631" s="27">
        <f t="shared" si="137"/>
        <v>8.6070741793779534E-2</v>
      </c>
      <c r="AS631" s="27">
        <f t="shared" si="137"/>
        <v>8.6754318409979284E-2</v>
      </c>
      <c r="AT631" s="27">
        <f t="shared" si="137"/>
        <v>8.6561782662480824E-2</v>
      </c>
      <c r="AU631" s="27">
        <f t="shared" si="137"/>
        <v>8.6273112387571071E-2</v>
      </c>
      <c r="AV631" s="27">
        <f t="shared" si="137"/>
        <v>8.5974128279328724E-2</v>
      </c>
      <c r="AW631" s="27">
        <f t="shared" si="137"/>
        <v>8.5629055859458861E-2</v>
      </c>
      <c r="AY631" s="79"/>
      <c r="AZ631" s="79"/>
    </row>
    <row r="632" spans="1:52" x14ac:dyDescent="0.2">
      <c r="A632" s="95" t="str">
        <f t="shared" si="133"/>
        <v>NI Cattle MMCH4</v>
      </c>
      <c r="B632" s="95" t="s">
        <v>969</v>
      </c>
      <c r="C632" s="95" t="s">
        <v>1229</v>
      </c>
      <c r="D632" t="s">
        <v>15</v>
      </c>
      <c r="E632" t="s">
        <v>22</v>
      </c>
      <c r="F632" t="s">
        <v>67</v>
      </c>
      <c r="G632" t="s">
        <v>123</v>
      </c>
      <c r="H632" t="s">
        <v>1227</v>
      </c>
      <c r="I632" t="s">
        <v>121</v>
      </c>
      <c r="J632" t="s">
        <v>286</v>
      </c>
      <c r="K632" s="27">
        <f t="shared" si="135"/>
        <v>6.9689449734106304E-2</v>
      </c>
      <c r="L632" s="27">
        <f t="shared" si="137"/>
        <v>6.908505539244103E-2</v>
      </c>
      <c r="M632" s="27">
        <f t="shared" si="137"/>
        <v>6.8854980763127793E-2</v>
      </c>
      <c r="N632" s="27">
        <f t="shared" si="137"/>
        <v>6.7935512624264269E-2</v>
      </c>
      <c r="O632" s="27">
        <f t="shared" si="137"/>
        <v>6.6600882165738284E-2</v>
      </c>
      <c r="P632" s="27">
        <f t="shared" si="137"/>
        <v>6.4878687456057696E-2</v>
      </c>
      <c r="Q632" s="27">
        <f t="shared" si="137"/>
        <v>6.3520342119606069E-2</v>
      </c>
      <c r="R632" s="27">
        <f t="shared" si="137"/>
        <v>6.2235193009075998E-2</v>
      </c>
      <c r="S632" s="27">
        <f t="shared" si="137"/>
        <v>5.5235095528552075E-2</v>
      </c>
      <c r="T632" s="27">
        <f t="shared" si="137"/>
        <v>5.629163243320303E-2</v>
      </c>
      <c r="U632" s="27">
        <f t="shared" si="137"/>
        <v>5.6856522330279623E-2</v>
      </c>
      <c r="V632" s="27">
        <f t="shared" si="137"/>
        <v>5.7291369348952612E-2</v>
      </c>
      <c r="W632" s="27">
        <f t="shared" si="137"/>
        <v>5.7920525431327162E-2</v>
      </c>
      <c r="X632" s="27">
        <f t="shared" si="137"/>
        <v>5.8431119189589487E-2</v>
      </c>
      <c r="Y632" s="27">
        <f t="shared" si="137"/>
        <v>5.8760276312556113E-2</v>
      </c>
      <c r="Z632" s="27">
        <f t="shared" si="137"/>
        <v>5.9016500503780274E-2</v>
      </c>
      <c r="AA632" s="27">
        <f t="shared" si="137"/>
        <v>5.9175303521145986E-2</v>
      </c>
      <c r="AB632" s="27">
        <f t="shared" si="137"/>
        <v>5.9645422868272187E-2</v>
      </c>
      <c r="AC632" s="27">
        <f t="shared" si="137"/>
        <v>6.0068416765134525E-2</v>
      </c>
      <c r="AD632" s="27">
        <f t="shared" si="137"/>
        <v>6.0090233205478502E-2</v>
      </c>
      <c r="AE632" s="27">
        <f t="shared" si="137"/>
        <v>6.0373600170426478E-2</v>
      </c>
      <c r="AF632" s="27">
        <f t="shared" si="137"/>
        <v>6.0748315767015518E-2</v>
      </c>
      <c r="AG632" s="27">
        <f t="shared" si="137"/>
        <v>6.1377425638131498E-2</v>
      </c>
      <c r="AH632" s="27">
        <f t="shared" si="137"/>
        <v>6.1477904528156692E-2</v>
      </c>
      <c r="AI632" s="27">
        <f t="shared" si="137"/>
        <v>6.1467357154595496E-2</v>
      </c>
      <c r="AJ632" s="27">
        <f t="shared" si="137"/>
        <v>6.1559659424165428E-2</v>
      </c>
      <c r="AK632" s="27">
        <f t="shared" si="137"/>
        <v>6.1542623008212359E-2</v>
      </c>
      <c r="AL632" s="27">
        <f t="shared" si="137"/>
        <v>6.155565794261645E-2</v>
      </c>
      <c r="AM632" s="27">
        <f t="shared" si="137"/>
        <v>6.1526075486812389E-2</v>
      </c>
      <c r="AN632" s="27">
        <f t="shared" si="137"/>
        <v>6.1967669337211172E-2</v>
      </c>
      <c r="AO632" s="27">
        <f t="shared" si="137"/>
        <v>6.2290720308374216E-2</v>
      </c>
      <c r="AP632" s="27">
        <f t="shared" si="137"/>
        <v>6.2595132058648639E-2</v>
      </c>
      <c r="AQ632" s="27">
        <f t="shared" si="137"/>
        <v>6.2904195817723246E-2</v>
      </c>
      <c r="AR632" s="27">
        <f t="shared" si="137"/>
        <v>6.3224613921465334E-2</v>
      </c>
      <c r="AS632" s="27">
        <f t="shared" si="137"/>
        <v>6.3726745850902156E-2</v>
      </c>
      <c r="AT632" s="27">
        <f t="shared" si="137"/>
        <v>6.3585315696496877E-2</v>
      </c>
      <c r="AU632" s="27">
        <f t="shared" si="137"/>
        <v>6.3373268416533846E-2</v>
      </c>
      <c r="AV632" s="27">
        <f t="shared" si="137"/>
        <v>6.3153644948461887E-2</v>
      </c>
      <c r="AW632" s="27">
        <f t="shared" si="137"/>
        <v>6.2900166587911782E-2</v>
      </c>
      <c r="AY632" s="79"/>
      <c r="AZ632" s="79"/>
    </row>
    <row r="633" spans="1:52" x14ac:dyDescent="0.2">
      <c r="A633" s="95" t="str">
        <f t="shared" si="133"/>
        <v>NI Cattle MMCH4</v>
      </c>
      <c r="B633" s="95" t="s">
        <v>969</v>
      </c>
      <c r="C633" s="95" t="s">
        <v>1229</v>
      </c>
      <c r="D633" t="s">
        <v>15</v>
      </c>
      <c r="E633" t="s">
        <v>22</v>
      </c>
      <c r="F633" t="s">
        <v>67</v>
      </c>
      <c r="G633" t="s">
        <v>135</v>
      </c>
      <c r="H633" t="s">
        <v>1227</v>
      </c>
      <c r="I633" t="s">
        <v>121</v>
      </c>
      <c r="J633" t="s">
        <v>286</v>
      </c>
      <c r="K633" s="27">
        <f t="shared" si="135"/>
        <v>0.47107022937833831</v>
      </c>
      <c r="L633" s="27">
        <f t="shared" si="137"/>
        <v>0.48695387967725956</v>
      </c>
      <c r="M633" s="27">
        <f t="shared" si="137"/>
        <v>0.50580611066616787</v>
      </c>
      <c r="N633" s="27">
        <f t="shared" si="137"/>
        <v>0.51986569055899412</v>
      </c>
      <c r="O633" s="27">
        <f t="shared" si="137"/>
        <v>0.53070826286138573</v>
      </c>
      <c r="P633" s="27">
        <f t="shared" si="137"/>
        <v>0.53817886796858128</v>
      </c>
      <c r="Q633" s="27">
        <f t="shared" si="137"/>
        <v>0.54837935702304741</v>
      </c>
      <c r="R633" s="27">
        <f t="shared" si="137"/>
        <v>0.55907244781022658</v>
      </c>
      <c r="S633" s="27">
        <f t="shared" si="137"/>
        <v>0.51624279949509155</v>
      </c>
      <c r="T633" s="27">
        <f t="shared" si="137"/>
        <v>0.53879307932677856</v>
      </c>
      <c r="U633" s="27">
        <f t="shared" si="137"/>
        <v>0.55713109899852753</v>
      </c>
      <c r="V633" s="27">
        <f t="shared" si="137"/>
        <v>0.57456229359809852</v>
      </c>
      <c r="W633" s="27">
        <f t="shared" si="137"/>
        <v>0.59433872658918863</v>
      </c>
      <c r="X633" s="27">
        <f t="shared" si="137"/>
        <v>0.61332693480888556</v>
      </c>
      <c r="Y633" s="27">
        <f t="shared" si="137"/>
        <v>0.63078242094770143</v>
      </c>
      <c r="Z633" s="27">
        <f t="shared" si="137"/>
        <v>0.64777903840881934</v>
      </c>
      <c r="AA633" s="27">
        <f t="shared" si="137"/>
        <v>0.66400113500174907</v>
      </c>
      <c r="AB633" s="27">
        <f t="shared" si="137"/>
        <v>0.68407603128870909</v>
      </c>
      <c r="AC633" s="27">
        <f t="shared" si="137"/>
        <v>0.70404867201485544</v>
      </c>
      <c r="AD633" s="27">
        <f t="shared" si="137"/>
        <v>0.72766101903000513</v>
      </c>
      <c r="AE633" s="27">
        <f t="shared" si="137"/>
        <v>0.75538392864169213</v>
      </c>
      <c r="AF633" s="27">
        <f t="shared" si="137"/>
        <v>0.78539118200338776</v>
      </c>
      <c r="AG633" s="27">
        <f t="shared" si="137"/>
        <v>0.8200419216488164</v>
      </c>
      <c r="AH633" s="27">
        <f t="shared" si="137"/>
        <v>0.8489366901406914</v>
      </c>
      <c r="AI633" s="27">
        <f t="shared" si="137"/>
        <v>0.87738791798686844</v>
      </c>
      <c r="AJ633" s="27">
        <f t="shared" si="137"/>
        <v>0.90845821020325546</v>
      </c>
      <c r="AK633" s="27">
        <f t="shared" si="137"/>
        <v>0.93913064377113187</v>
      </c>
      <c r="AL633" s="27">
        <f t="shared" si="137"/>
        <v>0.97151128715932467</v>
      </c>
      <c r="AM633" s="27">
        <f t="shared" si="137"/>
        <v>1.0045387395175103</v>
      </c>
      <c r="AN633" s="27">
        <f t="shared" si="137"/>
        <v>1.0402953867873999</v>
      </c>
      <c r="AO633" s="27">
        <f t="shared" si="137"/>
        <v>1.0753258690752492</v>
      </c>
      <c r="AP633" s="27">
        <f t="shared" si="137"/>
        <v>1.1112943424505797</v>
      </c>
      <c r="AQ633" s="27">
        <f t="shared" si="137"/>
        <v>1.1486611306142331</v>
      </c>
      <c r="AR633" s="27">
        <f t="shared" si="137"/>
        <v>1.1876258937828315</v>
      </c>
      <c r="AS633" s="27">
        <f t="shared" si="137"/>
        <v>1.2315704356820807</v>
      </c>
      <c r="AT633" s="27">
        <f t="shared" si="137"/>
        <v>1.2644650423303223</v>
      </c>
      <c r="AU633" s="27">
        <f t="shared" si="137"/>
        <v>1.2970080883934705</v>
      </c>
      <c r="AV633" s="27">
        <f t="shared" si="137"/>
        <v>1.3304588860507658</v>
      </c>
      <c r="AW633" s="27">
        <f t="shared" si="137"/>
        <v>1.3642912097880298</v>
      </c>
      <c r="AY633" s="79"/>
      <c r="AZ633" s="79"/>
    </row>
    <row r="634" spans="1:52" x14ac:dyDescent="0.2">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3.6781380176720842E-2</v>
      </c>
      <c r="T634" s="27">
        <f t="shared" si="137"/>
        <v>3.6837395233082854E-2</v>
      </c>
      <c r="U634" s="27">
        <f t="shared" si="137"/>
        <v>3.6900705652170011E-2</v>
      </c>
      <c r="V634" s="27">
        <f t="shared" si="137"/>
        <v>3.6972125402225033E-2</v>
      </c>
      <c r="W634" s="27">
        <f t="shared" si="137"/>
        <v>3.7052467371172147E-2</v>
      </c>
      <c r="X634" s="27">
        <f t="shared" si="137"/>
        <v>3.7140056258746688E-2</v>
      </c>
      <c r="Y634" s="27">
        <f t="shared" si="137"/>
        <v>3.7193327101982677E-2</v>
      </c>
      <c r="Z634" s="27">
        <f t="shared" si="137"/>
        <v>3.725282757032642E-2</v>
      </c>
      <c r="AA634" s="27">
        <f t="shared" si="137"/>
        <v>3.7318121191736012E-2</v>
      </c>
      <c r="AB634" s="27">
        <f t="shared" si="137"/>
        <v>3.7390686259807883E-2</v>
      </c>
      <c r="AC634" s="27">
        <f t="shared" si="137"/>
        <v>3.7468739847843706E-2</v>
      </c>
      <c r="AD634" s="27">
        <f t="shared" si="137"/>
        <v>3.751974247344389E-2</v>
      </c>
      <c r="AE634" s="27">
        <f t="shared" si="137"/>
        <v>3.7576993148623769E-2</v>
      </c>
      <c r="AF634" s="27">
        <f t="shared" ref="L634:AW641" si="138">AF1399</f>
        <v>3.7639577283476555E-2</v>
      </c>
      <c r="AG634" s="27">
        <f t="shared" si="138"/>
        <v>3.7708144828082185E-2</v>
      </c>
      <c r="AH634" s="27">
        <f t="shared" si="138"/>
        <v>3.7778741786852331E-2</v>
      </c>
      <c r="AI634" s="27">
        <f t="shared" si="138"/>
        <v>3.7822008909384815E-2</v>
      </c>
      <c r="AJ634" s="27">
        <f t="shared" si="138"/>
        <v>3.7869806060801224E-2</v>
      </c>
      <c r="AK634" s="27">
        <f t="shared" si="138"/>
        <v>3.7920914851450743E-2</v>
      </c>
      <c r="AL634" s="27">
        <f t="shared" si="138"/>
        <v>3.7975943332366417E-2</v>
      </c>
      <c r="AM634" s="27">
        <f t="shared" si="138"/>
        <v>3.8034394238678673E-2</v>
      </c>
      <c r="AN634" s="27">
        <f t="shared" si="138"/>
        <v>3.8068290997096535E-2</v>
      </c>
      <c r="AO634" s="27">
        <f t="shared" si="138"/>
        <v>3.8104751343434065E-2</v>
      </c>
      <c r="AP634" s="27">
        <f t="shared" si="138"/>
        <v>3.8144241244256513E-2</v>
      </c>
      <c r="AQ634" s="27">
        <f t="shared" si="138"/>
        <v>3.8186815214812375E-2</v>
      </c>
      <c r="AR634" s="27">
        <f t="shared" si="138"/>
        <v>3.8232443493664919E-2</v>
      </c>
      <c r="AS634" s="27">
        <f t="shared" si="138"/>
        <v>3.825284618540576E-2</v>
      </c>
      <c r="AT634" s="27">
        <f t="shared" si="138"/>
        <v>3.8271836221950122E-2</v>
      </c>
      <c r="AU634" s="27">
        <f t="shared" si="138"/>
        <v>3.8292888607538426E-2</v>
      </c>
      <c r="AV634" s="27">
        <f t="shared" si="138"/>
        <v>3.8316340791445545E-2</v>
      </c>
      <c r="AW634" s="27">
        <f t="shared" si="138"/>
        <v>3.8341951349881082E-2</v>
      </c>
      <c r="AY634" s="79"/>
      <c r="AZ634" s="79"/>
    </row>
    <row r="635" spans="1:52" x14ac:dyDescent="0.2">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4.2006089356439562E-3</v>
      </c>
      <c r="T635" s="27">
        <f t="shared" si="138"/>
        <v>4.2070061220778072E-3</v>
      </c>
      <c r="U635" s="27">
        <f t="shared" si="138"/>
        <v>4.2142364737084185E-3</v>
      </c>
      <c r="V635" s="27">
        <f t="shared" si="138"/>
        <v>4.2223929495889085E-3</v>
      </c>
      <c r="W635" s="27">
        <f t="shared" si="138"/>
        <v>4.2315683853948781E-3</v>
      </c>
      <c r="X635" s="27">
        <f t="shared" si="138"/>
        <v>4.2415714538507386E-3</v>
      </c>
      <c r="Y635" s="27">
        <f t="shared" si="138"/>
        <v>4.2476552380652311E-3</v>
      </c>
      <c r="Z635" s="27">
        <f t="shared" si="138"/>
        <v>4.2544504751607076E-3</v>
      </c>
      <c r="AA635" s="27">
        <f t="shared" si="138"/>
        <v>4.261907317949531E-3</v>
      </c>
      <c r="AB635" s="27">
        <f t="shared" si="138"/>
        <v>4.2701945946067351E-3</v>
      </c>
      <c r="AC635" s="27">
        <f t="shared" si="138"/>
        <v>4.2791086864050034E-3</v>
      </c>
      <c r="AD635" s="27">
        <f t="shared" si="138"/>
        <v>4.284933429353965E-3</v>
      </c>
      <c r="AE635" s="27">
        <f t="shared" si="138"/>
        <v>4.2914717293464286E-3</v>
      </c>
      <c r="AF635" s="27">
        <f t="shared" si="138"/>
        <v>4.2986191358556219E-3</v>
      </c>
      <c r="AG635" s="27">
        <f t="shared" si="138"/>
        <v>4.3064498762786759E-3</v>
      </c>
      <c r="AH635" s="27">
        <f t="shared" si="138"/>
        <v>4.3145123854725761E-3</v>
      </c>
      <c r="AI635" s="27">
        <f t="shared" si="138"/>
        <v>4.3194536970997174E-3</v>
      </c>
      <c r="AJ635" s="27">
        <f t="shared" si="138"/>
        <v>4.3249123596179112E-3</v>
      </c>
      <c r="AK635" s="27">
        <f t="shared" si="138"/>
        <v>4.3307492271215465E-3</v>
      </c>
      <c r="AL635" s="27">
        <f t="shared" si="138"/>
        <v>4.3370337419368866E-3</v>
      </c>
      <c r="AM635" s="27">
        <f t="shared" si="138"/>
        <v>4.3437091140456031E-3</v>
      </c>
      <c r="AN635" s="27">
        <f t="shared" si="138"/>
        <v>4.3475802854267562E-3</v>
      </c>
      <c r="AO635" s="27">
        <f t="shared" si="138"/>
        <v>4.3517442307677472E-3</v>
      </c>
      <c r="AP635" s="27">
        <f t="shared" si="138"/>
        <v>4.3562541656713728E-3</v>
      </c>
      <c r="AQ635" s="27">
        <f t="shared" si="138"/>
        <v>4.3611163160388556E-3</v>
      </c>
      <c r="AR635" s="27">
        <f t="shared" si="138"/>
        <v>4.3663272829722651E-3</v>
      </c>
      <c r="AS635" s="27">
        <f t="shared" si="138"/>
        <v>4.3686573676190608E-3</v>
      </c>
      <c r="AT635" s="27">
        <f t="shared" si="138"/>
        <v>4.3708261203089602E-3</v>
      </c>
      <c r="AU635" s="27">
        <f t="shared" si="138"/>
        <v>4.3732304030899213E-3</v>
      </c>
      <c r="AV635" s="27">
        <f t="shared" si="138"/>
        <v>4.3759087542775948E-3</v>
      </c>
      <c r="AW635" s="27">
        <f t="shared" si="138"/>
        <v>4.3788336021243655E-3</v>
      </c>
      <c r="AY635" s="79"/>
      <c r="AZ635" s="79"/>
    </row>
    <row r="636" spans="1:52" x14ac:dyDescent="0.2">
      <c r="A636" s="95" t="str">
        <f t="shared" si="133"/>
        <v>NI Goats MMCH4</v>
      </c>
      <c r="B636" s="95" t="s">
        <v>969</v>
      </c>
      <c r="C636" s="95" t="s">
        <v>1325</v>
      </c>
      <c r="D636" t="s">
        <v>15</v>
      </c>
      <c r="E636" t="s">
        <v>22</v>
      </c>
      <c r="F636" t="s">
        <v>19</v>
      </c>
      <c r="G636" t="s">
        <v>122</v>
      </c>
      <c r="H636" t="s">
        <v>1227</v>
      </c>
      <c r="I636" t="s">
        <v>121</v>
      </c>
      <c r="J636" t="s">
        <v>286</v>
      </c>
      <c r="K636" s="27">
        <f t="shared" si="135"/>
        <v>1.5789672763163298E-2</v>
      </c>
      <c r="L636" s="27">
        <f t="shared" si="138"/>
        <v>1.5830718290757027E-2</v>
      </c>
      <c r="M636" s="27">
        <f t="shared" si="138"/>
        <v>1.588733914557475E-2</v>
      </c>
      <c r="N636" s="27">
        <f t="shared" si="138"/>
        <v>1.5956318300360574E-2</v>
      </c>
      <c r="O636" s="27">
        <f t="shared" si="138"/>
        <v>1.6037557372574476E-2</v>
      </c>
      <c r="P636" s="27">
        <f t="shared" si="138"/>
        <v>1.6130561898613765E-2</v>
      </c>
      <c r="Q636" s="27">
        <f t="shared" si="138"/>
        <v>1.623065478441902E-2</v>
      </c>
      <c r="R636" s="27">
        <f t="shared" si="138"/>
        <v>1.6337439810579345E-2</v>
      </c>
      <c r="S636" s="27">
        <f t="shared" si="138"/>
        <v>1.643554333202487E-2</v>
      </c>
      <c r="T636" s="27">
        <f t="shared" si="138"/>
        <v>1.6483301762184554E-2</v>
      </c>
      <c r="U636" s="27">
        <f t="shared" si="138"/>
        <v>1.6534634024242746E-2</v>
      </c>
      <c r="V636" s="27">
        <f t="shared" si="138"/>
        <v>1.6590167866284391E-2</v>
      </c>
      <c r="W636" s="27">
        <f t="shared" si="138"/>
        <v>1.6650513034667372E-2</v>
      </c>
      <c r="X636" s="27">
        <f t="shared" si="138"/>
        <v>1.6714595783630822E-2</v>
      </c>
      <c r="Y636" s="27">
        <f t="shared" si="138"/>
        <v>1.675465761621437E-2</v>
      </c>
      <c r="Z636" s="27">
        <f t="shared" si="138"/>
        <v>1.6797993910304499E-2</v>
      </c>
      <c r="AA636" s="27">
        <f t="shared" si="138"/>
        <v>1.6844349786289844E-2</v>
      </c>
      <c r="AB636" s="27">
        <f t="shared" si="138"/>
        <v>1.6894740217603017E-2</v>
      </c>
      <c r="AC636" s="27">
        <f t="shared" si="138"/>
        <v>1.6948004409300596E-2</v>
      </c>
      <c r="AD636" s="27">
        <f t="shared" si="138"/>
        <v>1.6982631842965532E-2</v>
      </c>
      <c r="AE636" s="27">
        <f t="shared" si="138"/>
        <v>1.7020769407942386E-2</v>
      </c>
      <c r="AF636" s="27">
        <f t="shared" si="138"/>
        <v>1.706182735565186E-2</v>
      </c>
      <c r="AG636" s="27">
        <f t="shared" si="138"/>
        <v>1.7106247534338585E-2</v>
      </c>
      <c r="AH636" s="27">
        <f t="shared" si="138"/>
        <v>1.7151443283113514E-2</v>
      </c>
      <c r="AI636" s="27">
        <f t="shared" si="138"/>
        <v>1.7178196369350997E-2</v>
      </c>
      <c r="AJ636" s="27">
        <f t="shared" si="138"/>
        <v>1.7207475551738096E-2</v>
      </c>
      <c r="AK636" s="27">
        <f t="shared" si="138"/>
        <v>1.7238492794342867E-2</v>
      </c>
      <c r="AL636" s="27">
        <f t="shared" si="138"/>
        <v>1.7271654863993541E-2</v>
      </c>
      <c r="AM636" s="27">
        <f t="shared" si="138"/>
        <v>1.7306645282033659E-2</v>
      </c>
      <c r="AN636" s="27">
        <f t="shared" si="138"/>
        <v>1.7325303131063272E-2</v>
      </c>
      <c r="AO636" s="27">
        <f t="shared" si="138"/>
        <v>1.7345310027733502E-2</v>
      </c>
      <c r="AP636" s="27">
        <f t="shared" si="138"/>
        <v>1.73669746106416E-2</v>
      </c>
      <c r="AQ636" s="27">
        <f t="shared" si="138"/>
        <v>1.7390336782594662E-2</v>
      </c>
      <c r="AR636" s="27">
        <f t="shared" si="138"/>
        <v>1.7415381119938025E-2</v>
      </c>
      <c r="AS636" s="27">
        <f t="shared" si="138"/>
        <v>1.7423900612777786E-2</v>
      </c>
      <c r="AT636" s="27">
        <f t="shared" si="138"/>
        <v>1.7431295916305947E-2</v>
      </c>
      <c r="AU636" s="27">
        <f t="shared" si="138"/>
        <v>1.7439812218621446E-2</v>
      </c>
      <c r="AV636" s="27">
        <f t="shared" si="138"/>
        <v>1.7449669082955088E-2</v>
      </c>
      <c r="AW636" s="27">
        <f t="shared" si="138"/>
        <v>1.7460713883303017E-2</v>
      </c>
      <c r="AY636" s="79"/>
      <c r="AZ636" s="79"/>
    </row>
    <row r="637" spans="1:52" x14ac:dyDescent="0.2">
      <c r="A637" s="95" t="str">
        <f t="shared" si="133"/>
        <v>NI Goats MMCH4</v>
      </c>
      <c r="B637" s="95" t="s">
        <v>969</v>
      </c>
      <c r="C637" s="95" t="s">
        <v>1325</v>
      </c>
      <c r="D637" t="s">
        <v>15</v>
      </c>
      <c r="E637" t="s">
        <v>22</v>
      </c>
      <c r="F637" t="s">
        <v>19</v>
      </c>
      <c r="G637" t="s">
        <v>123</v>
      </c>
      <c r="H637" t="s">
        <v>1227</v>
      </c>
      <c r="I637" t="s">
        <v>121</v>
      </c>
      <c r="J637" t="s">
        <v>286</v>
      </c>
      <c r="K637" s="27">
        <f t="shared" si="135"/>
        <v>2.6592218800664796E-2</v>
      </c>
      <c r="L637" s="27">
        <f t="shared" si="138"/>
        <v>2.6661345733624896E-2</v>
      </c>
      <c r="M637" s="27">
        <f t="shared" si="138"/>
        <v>2.6756703894783639E-2</v>
      </c>
      <c r="N637" s="27">
        <f t="shared" si="138"/>
        <v>2.6872875319249701E-2</v>
      </c>
      <c r="O637" s="27">
        <f t="shared" si="138"/>
        <v>2.7009694315810229E-2</v>
      </c>
      <c r="P637" s="27">
        <f t="shared" si="138"/>
        <v>2.7166328132291764E-2</v>
      </c>
      <c r="Q637" s="27">
        <f t="shared" si="138"/>
        <v>2.7334899828466049E-2</v>
      </c>
      <c r="R637" s="27">
        <f t="shared" si="138"/>
        <v>2.7514742110372921E-2</v>
      </c>
      <c r="S637" s="27">
        <f t="shared" si="138"/>
        <v>2.7679963413342622E-2</v>
      </c>
      <c r="T637" s="27">
        <f t="shared" si="138"/>
        <v>2.7760395898767241E-2</v>
      </c>
      <c r="U637" s="27">
        <f t="shared" si="138"/>
        <v>2.7846847262557959E-2</v>
      </c>
      <c r="V637" s="27">
        <f t="shared" si="138"/>
        <v>2.7940374728298613E-2</v>
      </c>
      <c r="W637" s="27">
        <f t="shared" si="138"/>
        <v>2.8042005201917224E-2</v>
      </c>
      <c r="X637" s="27">
        <f t="shared" si="138"/>
        <v>2.8149930331674167E-2</v>
      </c>
      <c r="Y637" s="27">
        <f t="shared" si="138"/>
        <v>2.8217400572102636E-2</v>
      </c>
      <c r="Z637" s="27">
        <f t="shared" si="138"/>
        <v>2.8290385505466368E-2</v>
      </c>
      <c r="AA637" s="27">
        <f t="shared" si="138"/>
        <v>2.8368455875599344E-2</v>
      </c>
      <c r="AB637" s="27">
        <f t="shared" si="138"/>
        <v>2.8453321052670396E-2</v>
      </c>
      <c r="AC637" s="27">
        <f t="shared" si="138"/>
        <v>2.8543026080830765E-2</v>
      </c>
      <c r="AD637" s="27">
        <f t="shared" si="138"/>
        <v>2.8601343964065915E-2</v>
      </c>
      <c r="AE637" s="27">
        <f t="shared" si="138"/>
        <v>2.8665573444157176E-2</v>
      </c>
      <c r="AF637" s="27">
        <f t="shared" si="138"/>
        <v>2.87347212944878E-2</v>
      </c>
      <c r="AG637" s="27">
        <f t="shared" si="138"/>
        <v>2.8809531654937933E-2</v>
      </c>
      <c r="AH637" s="27">
        <f t="shared" si="138"/>
        <v>2.8885648193786462E-2</v>
      </c>
      <c r="AI637" s="27">
        <f t="shared" si="138"/>
        <v>2.8930704474147112E-2</v>
      </c>
      <c r="AJ637" s="27">
        <f t="shared" si="138"/>
        <v>2.8980015085964157E-2</v>
      </c>
      <c r="AK637" s="27">
        <f t="shared" si="138"/>
        <v>2.9032252856455738E-2</v>
      </c>
      <c r="AL637" s="27">
        <f t="shared" si="138"/>
        <v>2.9088102843042599E-2</v>
      </c>
      <c r="AM637" s="27">
        <f t="shared" si="138"/>
        <v>2.914703204736533E-2</v>
      </c>
      <c r="AN637" s="27">
        <f t="shared" si="138"/>
        <v>2.9178454712748408E-2</v>
      </c>
      <c r="AO637" s="27">
        <f t="shared" si="138"/>
        <v>2.9212149380254012E-2</v>
      </c>
      <c r="AP637" s="27">
        <f t="shared" si="138"/>
        <v>2.9248635844385265E-2</v>
      </c>
      <c r="AQ637" s="27">
        <f t="shared" si="138"/>
        <v>2.9287981307559392E-2</v>
      </c>
      <c r="AR637" s="27">
        <f t="shared" si="138"/>
        <v>2.9330159793987943E-2</v>
      </c>
      <c r="AS637" s="27">
        <f t="shared" si="138"/>
        <v>2.9344507920200803E-2</v>
      </c>
      <c r="AT637" s="27">
        <f t="shared" si="138"/>
        <v>2.9356962740035762E-2</v>
      </c>
      <c r="AU637" s="27">
        <f t="shared" si="138"/>
        <v>2.9371305492918821E-2</v>
      </c>
      <c r="AV637" s="27">
        <f t="shared" si="138"/>
        <v>2.9387905956841046E-2</v>
      </c>
      <c r="AW637" s="27">
        <f t="shared" si="138"/>
        <v>2.9406507086317708E-2</v>
      </c>
      <c r="AY637" s="79"/>
      <c r="AZ637" s="79"/>
    </row>
    <row r="638" spans="1:52" x14ac:dyDescent="0.2">
      <c r="A638" s="95" t="str">
        <f t="shared" si="133"/>
        <v>NI Horses MMCH4</v>
      </c>
      <c r="B638" s="95" t="s">
        <v>969</v>
      </c>
      <c r="C638" s="95" t="s">
        <v>1326</v>
      </c>
      <c r="D638" t="s">
        <v>15</v>
      </c>
      <c r="E638" t="s">
        <v>22</v>
      </c>
      <c r="F638" t="s">
        <v>20</v>
      </c>
      <c r="G638" t="s">
        <v>3</v>
      </c>
      <c r="H638" t="s">
        <v>1227</v>
      </c>
      <c r="I638" t="s">
        <v>121</v>
      </c>
      <c r="J638" t="s">
        <v>286</v>
      </c>
      <c r="K638" s="27">
        <f t="shared" si="135"/>
        <v>4.1336182129460544E-3</v>
      </c>
      <c r="L638" s="27">
        <f t="shared" si="138"/>
        <v>4.1536453250924079E-3</v>
      </c>
      <c r="M638" s="27">
        <f t="shared" si="138"/>
        <v>4.1840370126470534E-3</v>
      </c>
      <c r="N638" s="27">
        <f t="shared" si="138"/>
        <v>4.1905340987284569E-3</v>
      </c>
      <c r="O638" s="27">
        <f t="shared" si="138"/>
        <v>4.1812329246154597E-3</v>
      </c>
      <c r="P638" s="27">
        <f t="shared" si="138"/>
        <v>4.1564738854214548E-3</v>
      </c>
      <c r="Q638" s="27">
        <f t="shared" si="138"/>
        <v>4.1427460620707141E-3</v>
      </c>
      <c r="R638" s="27">
        <f t="shared" si="138"/>
        <v>4.1304087921358321E-3</v>
      </c>
      <c r="S638" s="27">
        <f t="shared" si="138"/>
        <v>3.9117464794758833E-3</v>
      </c>
      <c r="T638" s="27">
        <f t="shared" si="138"/>
        <v>3.9662100660725645E-3</v>
      </c>
      <c r="U638" s="27">
        <f t="shared" si="138"/>
        <v>4.0029759542347092E-3</v>
      </c>
      <c r="V638" s="27">
        <f t="shared" si="138"/>
        <v>4.034929903088018E-3</v>
      </c>
      <c r="W638" s="27">
        <f t="shared" si="138"/>
        <v>4.0740603707179208E-3</v>
      </c>
      <c r="X638" s="27">
        <f t="shared" si="138"/>
        <v>4.1088191524981379E-3</v>
      </c>
      <c r="Y638" s="27">
        <f t="shared" si="138"/>
        <v>4.1408340108354943E-3</v>
      </c>
      <c r="Z638" s="27">
        <f t="shared" si="138"/>
        <v>4.1700941792835473E-3</v>
      </c>
      <c r="AA638" s="27">
        <f t="shared" si="138"/>
        <v>4.1955947055446379E-3</v>
      </c>
      <c r="AB638" s="27">
        <f t="shared" si="138"/>
        <v>4.2332253987930647E-3</v>
      </c>
      <c r="AC638" s="27">
        <f t="shared" si="138"/>
        <v>4.2692111275798939E-3</v>
      </c>
      <c r="AD638" s="27">
        <f t="shared" si="138"/>
        <v>4.3131543062035933E-3</v>
      </c>
      <c r="AE638" s="27">
        <f t="shared" si="138"/>
        <v>4.3689426306597803E-3</v>
      </c>
      <c r="AF638" s="27">
        <f t="shared" si="138"/>
        <v>4.4301694396255923E-3</v>
      </c>
      <c r="AG638" s="27">
        <f t="shared" si="138"/>
        <v>4.5040980436008553E-3</v>
      </c>
      <c r="AH638" s="27">
        <f t="shared" si="138"/>
        <v>4.5574968938879535E-3</v>
      </c>
      <c r="AI638" s="27">
        <f t="shared" si="138"/>
        <v>4.6111863100883922E-3</v>
      </c>
      <c r="AJ638" s="27">
        <f t="shared" si="138"/>
        <v>4.6712172844787037E-3</v>
      </c>
      <c r="AK638" s="27">
        <f t="shared" si="138"/>
        <v>4.7281971529271986E-3</v>
      </c>
      <c r="AL638" s="27">
        <f t="shared" si="138"/>
        <v>4.7885111366995289E-3</v>
      </c>
      <c r="AM638" s="27">
        <f t="shared" si="138"/>
        <v>4.8488762620845097E-3</v>
      </c>
      <c r="AN638" s="27">
        <f t="shared" si="138"/>
        <v>4.9227254913748455E-3</v>
      </c>
      <c r="AO638" s="27">
        <f t="shared" si="138"/>
        <v>4.9927458490609099E-3</v>
      </c>
      <c r="AP638" s="27">
        <f t="shared" si="138"/>
        <v>5.0638022559314124E-3</v>
      </c>
      <c r="AQ638" s="27">
        <f t="shared" si="138"/>
        <v>5.1371515240319849E-3</v>
      </c>
      <c r="AR638" s="27">
        <f t="shared" si="138"/>
        <v>5.2132674563810976E-3</v>
      </c>
      <c r="AS638" s="27">
        <f t="shared" si="138"/>
        <v>5.3054774767517902E-3</v>
      </c>
      <c r="AT638" s="27">
        <f t="shared" si="138"/>
        <v>5.3653290852350754E-3</v>
      </c>
      <c r="AU638" s="27">
        <f t="shared" si="138"/>
        <v>5.4229477307266892E-3</v>
      </c>
      <c r="AV638" s="27">
        <f t="shared" si="138"/>
        <v>5.4817978053370176E-3</v>
      </c>
      <c r="AW638" s="27">
        <f t="shared" si="138"/>
        <v>5.5404187134472614E-3</v>
      </c>
      <c r="AY638" s="79"/>
      <c r="AZ638" s="79"/>
    </row>
    <row r="639" spans="1:52" x14ac:dyDescent="0.2">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2">
      <c r="A640" s="95" t="str">
        <f t="shared" si="133"/>
        <v>NI Swine MMCH4</v>
      </c>
      <c r="B640" s="95" t="s">
        <v>969</v>
      </c>
      <c r="C640" s="95" t="s">
        <v>1230</v>
      </c>
      <c r="D640" t="s">
        <v>15</v>
      </c>
      <c r="E640" t="s">
        <v>22</v>
      </c>
      <c r="F640" t="s">
        <v>21</v>
      </c>
      <c r="G640" t="s">
        <v>122</v>
      </c>
      <c r="H640" t="s">
        <v>1227</v>
      </c>
      <c r="I640" t="s">
        <v>121</v>
      </c>
      <c r="J640" t="s">
        <v>286</v>
      </c>
      <c r="K640" s="27">
        <f t="shared" si="135"/>
        <v>23.279067868377396</v>
      </c>
      <c r="L640" s="27">
        <f t="shared" si="138"/>
        <v>23.152530650802607</v>
      </c>
      <c r="M640" s="27">
        <f t="shared" si="138"/>
        <v>23.162916433064311</v>
      </c>
      <c r="N640" s="27">
        <f t="shared" si="138"/>
        <v>22.950263110497293</v>
      </c>
      <c r="O640" s="27">
        <f t="shared" si="138"/>
        <v>22.602951186820608</v>
      </c>
      <c r="P640" s="27">
        <f t="shared" si="138"/>
        <v>22.126532811374954</v>
      </c>
      <c r="Q640" s="27">
        <f t="shared" si="138"/>
        <v>21.780600237355969</v>
      </c>
      <c r="R640" s="27">
        <f t="shared" si="138"/>
        <v>21.465278056857684</v>
      </c>
      <c r="S640" s="27">
        <f t="shared" si="138"/>
        <v>19.125432200749973</v>
      </c>
      <c r="T640" s="27">
        <f t="shared" si="138"/>
        <v>19.424042125834905</v>
      </c>
      <c r="U640" s="27">
        <f t="shared" si="138"/>
        <v>19.550864503199985</v>
      </c>
      <c r="V640" s="27">
        <f t="shared" si="138"/>
        <v>19.634386542439195</v>
      </c>
      <c r="W640" s="27">
        <f t="shared" si="138"/>
        <v>19.789042358153409</v>
      </c>
      <c r="X640" s="27">
        <f t="shared" si="138"/>
        <v>19.904231049540165</v>
      </c>
      <c r="Y640" s="27">
        <f t="shared" si="138"/>
        <v>19.9646517912891</v>
      </c>
      <c r="Z640" s="27">
        <f t="shared" si="138"/>
        <v>20.001671240877961</v>
      </c>
      <c r="AA640" s="27">
        <f t="shared" si="138"/>
        <v>20.006692976737387</v>
      </c>
      <c r="AB640" s="27">
        <f t="shared" si="138"/>
        <v>20.122871452289811</v>
      </c>
      <c r="AC640" s="27">
        <f t="shared" si="138"/>
        <v>20.224352633636123</v>
      </c>
      <c r="AD640" s="27">
        <f t="shared" si="138"/>
        <v>20.37036557025834</v>
      </c>
      <c r="AE640" s="27">
        <f t="shared" si="138"/>
        <v>20.617009015074299</v>
      </c>
      <c r="AF640" s="27">
        <f t="shared" si="138"/>
        <v>20.905842210058196</v>
      </c>
      <c r="AG640" s="27">
        <f t="shared" si="138"/>
        <v>21.296898968491135</v>
      </c>
      <c r="AH640" s="27">
        <f t="shared" si="138"/>
        <v>21.508008395464572</v>
      </c>
      <c r="AI640" s="27">
        <f t="shared" si="138"/>
        <v>21.692391103319341</v>
      </c>
      <c r="AJ640" s="27">
        <f t="shared" si="138"/>
        <v>21.924107330813051</v>
      </c>
      <c r="AK640" s="27">
        <f t="shared" si="138"/>
        <v>22.125286903757015</v>
      </c>
      <c r="AL640" s="27">
        <f t="shared" si="138"/>
        <v>22.347890019958896</v>
      </c>
      <c r="AM640" s="27">
        <f t="shared" si="138"/>
        <v>22.565021886121382</v>
      </c>
      <c r="AN640" s="27">
        <f t="shared" si="138"/>
        <v>22.857354238812295</v>
      </c>
      <c r="AO640" s="27">
        <f t="shared" si="138"/>
        <v>23.111205883073605</v>
      </c>
      <c r="AP640" s="27">
        <f t="shared" si="138"/>
        <v>23.364831927228202</v>
      </c>
      <c r="AQ640" s="27">
        <f t="shared" si="138"/>
        <v>23.627465701341702</v>
      </c>
      <c r="AR640" s="27">
        <f t="shared" si="138"/>
        <v>23.902059465195961</v>
      </c>
      <c r="AS640" s="27">
        <f t="shared" si="138"/>
        <v>24.259909282475949</v>
      </c>
      <c r="AT640" s="27">
        <f t="shared" si="138"/>
        <v>24.370732341378943</v>
      </c>
      <c r="AU640" s="27">
        <f t="shared" si="138"/>
        <v>24.459248352072496</v>
      </c>
      <c r="AV640" s="27">
        <f t="shared" si="138"/>
        <v>24.550534004397402</v>
      </c>
      <c r="AW640" s="27">
        <f t="shared" si="138"/>
        <v>24.634079749927345</v>
      </c>
      <c r="AY640" s="79"/>
      <c r="AZ640" s="79"/>
    </row>
    <row r="641" spans="1:52" x14ac:dyDescent="0.2">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7.7508449141861155E-2</v>
      </c>
      <c r="M641" s="27">
        <f t="shared" si="138"/>
        <v>7.7543217949140625E-2</v>
      </c>
      <c r="N641" s="27">
        <f t="shared" si="138"/>
        <v>7.6831311787104617E-2</v>
      </c>
      <c r="O641" s="27">
        <f t="shared" si="138"/>
        <v>7.5668604825232064E-2</v>
      </c>
      <c r="P641" s="27">
        <f t="shared" si="138"/>
        <v>7.4073684167079407E-2</v>
      </c>
      <c r="Q641" s="27">
        <f t="shared" si="138"/>
        <v>7.291559489708703E-2</v>
      </c>
      <c r="R641" s="27">
        <f t="shared" si="138"/>
        <v>7.1859980996426695E-2</v>
      </c>
      <c r="S641" s="27">
        <f t="shared" si="138"/>
        <v>6.4026806028504468E-2</v>
      </c>
      <c r="T641" s="27">
        <f t="shared" si="138"/>
        <v>6.5026471790350593E-2</v>
      </c>
      <c r="U641" s="27">
        <f t="shared" ref="L641:AW647" si="139">U1406</f>
        <v>6.5451039019493229E-2</v>
      </c>
      <c r="V641" s="27">
        <f t="shared" si="139"/>
        <v>6.5730648355864951E-2</v>
      </c>
      <c r="W641" s="27">
        <f t="shared" si="139"/>
        <v>6.6248394454879955E-2</v>
      </c>
      <c r="X641" s="27">
        <f t="shared" si="139"/>
        <v>6.6634015230540536E-2</v>
      </c>
      <c r="Y641" s="27">
        <f t="shared" si="139"/>
        <v>6.6836287632620187E-2</v>
      </c>
      <c r="Z641" s="27">
        <f t="shared" si="139"/>
        <v>6.696021879889287E-2</v>
      </c>
      <c r="AA641" s="27">
        <f t="shared" si="139"/>
        <v>6.6977030220690986E-2</v>
      </c>
      <c r="AB641" s="27">
        <f t="shared" si="139"/>
        <v>6.7365964527680941E-2</v>
      </c>
      <c r="AC641" s="27">
        <f t="shared" si="139"/>
        <v>6.77056962443503E-2</v>
      </c>
      <c r="AD641" s="27">
        <f t="shared" si="139"/>
        <v>6.8194508307399856E-2</v>
      </c>
      <c r="AE641" s="27">
        <f t="shared" si="139"/>
        <v>6.9020204262067689E-2</v>
      </c>
      <c r="AF641" s="27">
        <f t="shared" si="139"/>
        <v>6.9987140159553041E-2</v>
      </c>
      <c r="AG641" s="27">
        <f t="shared" si="139"/>
        <v>7.1296293069432901E-2</v>
      </c>
      <c r="AH641" s="27">
        <f t="shared" si="139"/>
        <v>7.2003030684025804E-2</v>
      </c>
      <c r="AI641" s="27">
        <f t="shared" si="139"/>
        <v>7.262029442724019E-2</v>
      </c>
      <c r="AJ641" s="27">
        <f t="shared" si="139"/>
        <v>7.339601807079868E-2</v>
      </c>
      <c r="AK641" s="27">
        <f t="shared" si="139"/>
        <v>7.4069513203278647E-2</v>
      </c>
      <c r="AL641" s="27">
        <f t="shared" si="139"/>
        <v>7.4814728599866626E-2</v>
      </c>
      <c r="AM641" s="27">
        <f t="shared" si="139"/>
        <v>7.5541627722012866E-2</v>
      </c>
      <c r="AN641" s="27">
        <f t="shared" si="139"/>
        <v>7.6520277858916103E-2</v>
      </c>
      <c r="AO641" s="27">
        <f t="shared" si="139"/>
        <v>7.7370104927739061E-2</v>
      </c>
      <c r="AP641" s="27">
        <f t="shared" si="139"/>
        <v>7.821917674804682E-2</v>
      </c>
      <c r="AQ641" s="27">
        <f t="shared" si="139"/>
        <v>7.9098404026949301E-2</v>
      </c>
      <c r="AR641" s="27">
        <f t="shared" si="139"/>
        <v>8.0017670136618924E-2</v>
      </c>
      <c r="AS641" s="27">
        <f t="shared" si="139"/>
        <v>8.1215655133654599E-2</v>
      </c>
      <c r="AT641" s="27">
        <f t="shared" si="139"/>
        <v>8.1586660945256045E-2</v>
      </c>
      <c r="AU641" s="27">
        <f t="shared" si="139"/>
        <v>8.1882988755660815E-2</v>
      </c>
      <c r="AV641" s="27">
        <f t="shared" si="139"/>
        <v>8.2188588581758509E-2</v>
      </c>
      <c r="AW641" s="27">
        <f t="shared" si="139"/>
        <v>8.2468277280419264E-2</v>
      </c>
      <c r="AY641" s="79"/>
      <c r="AZ641" s="79"/>
    </row>
    <row r="642" spans="1:52" x14ac:dyDescent="0.2">
      <c r="A642" s="95" t="str">
        <f t="shared" si="133"/>
        <v>NI Poultry MMCH4</v>
      </c>
      <c r="B642" s="95" t="s">
        <v>969</v>
      </c>
      <c r="C642" s="95" t="s">
        <v>1231</v>
      </c>
      <c r="D642" t="s">
        <v>15</v>
      </c>
      <c r="E642" t="s">
        <v>22</v>
      </c>
      <c r="F642" t="s">
        <v>28</v>
      </c>
      <c r="G642" t="s">
        <v>131</v>
      </c>
      <c r="H642" t="s">
        <v>1227</v>
      </c>
      <c r="I642" t="s">
        <v>121</v>
      </c>
      <c r="J642" t="s">
        <v>286</v>
      </c>
      <c r="K642" s="27">
        <f t="shared" si="135"/>
        <v>0.55586528215230246</v>
      </c>
      <c r="L642" s="27">
        <f t="shared" si="139"/>
        <v>0.56716712532642333</v>
      </c>
      <c r="M642" s="27">
        <f t="shared" si="139"/>
        <v>0.58037790885594753</v>
      </c>
      <c r="N642" s="27">
        <f t="shared" si="139"/>
        <v>0.5905201523722613</v>
      </c>
      <c r="O642" s="27">
        <f t="shared" si="139"/>
        <v>0.59866182774590171</v>
      </c>
      <c r="P642" s="27">
        <f t="shared" si="139"/>
        <v>0.60475451589519702</v>
      </c>
      <c r="Q642" s="27">
        <f t="shared" si="139"/>
        <v>0.61256702388185857</v>
      </c>
      <c r="R642" s="27">
        <f t="shared" si="139"/>
        <v>0.6206898695388976</v>
      </c>
      <c r="S642" s="27">
        <f t="shared" si="139"/>
        <v>0.59586205354866417</v>
      </c>
      <c r="T642" s="27">
        <f t="shared" si="139"/>
        <v>0.61166609228342095</v>
      </c>
      <c r="U642" s="27">
        <f t="shared" si="139"/>
        <v>0.62485299056124621</v>
      </c>
      <c r="V642" s="27">
        <f t="shared" si="139"/>
        <v>0.63746316411560699</v>
      </c>
      <c r="W642" s="27">
        <f t="shared" si="139"/>
        <v>0.65148292230650084</v>
      </c>
      <c r="X642" s="27">
        <f t="shared" si="139"/>
        <v>0.66499795751984347</v>
      </c>
      <c r="Y642" s="27">
        <f t="shared" si="139"/>
        <v>0.67713280709524293</v>
      </c>
      <c r="Z642" s="27">
        <f t="shared" si="139"/>
        <v>0.68896443146114195</v>
      </c>
      <c r="AA642" s="27">
        <f t="shared" si="139"/>
        <v>0.70030539755417098</v>
      </c>
      <c r="AB642" s="27">
        <f t="shared" si="139"/>
        <v>0.71394199916813561</v>
      </c>
      <c r="AC642" s="27">
        <f t="shared" si="139"/>
        <v>0.72748510796814947</v>
      </c>
      <c r="AD642" s="27">
        <f t="shared" si="139"/>
        <v>0.7416801333370433</v>
      </c>
      <c r="AE642" s="27">
        <f t="shared" si="139"/>
        <v>0.75821054657652254</v>
      </c>
      <c r="AF642" s="27">
        <f t="shared" si="139"/>
        <v>0.77596254129215869</v>
      </c>
      <c r="AG642" s="27">
        <f t="shared" si="139"/>
        <v>0.7963033454053372</v>
      </c>
      <c r="AH642" s="27">
        <f t="shared" si="139"/>
        <v>0.81311713883147885</v>
      </c>
      <c r="AI642" s="27">
        <f t="shared" si="139"/>
        <v>0.82920457779762036</v>
      </c>
      <c r="AJ642" s="27">
        <f t="shared" si="139"/>
        <v>0.8466799763081283</v>
      </c>
      <c r="AK642" s="27">
        <f t="shared" si="139"/>
        <v>0.86378648630356591</v>
      </c>
      <c r="AL642" s="27">
        <f t="shared" si="139"/>
        <v>0.8817359545427027</v>
      </c>
      <c r="AM642" s="27">
        <f t="shared" si="139"/>
        <v>0.89991137533731791</v>
      </c>
      <c r="AN642" s="27">
        <f t="shared" si="139"/>
        <v>0.91990012979739244</v>
      </c>
      <c r="AO642" s="27">
        <f t="shared" si="139"/>
        <v>0.93935460788893066</v>
      </c>
      <c r="AP642" s="27">
        <f t="shared" si="139"/>
        <v>0.95921858565138518</v>
      </c>
      <c r="AQ642" s="27">
        <f t="shared" si="139"/>
        <v>0.97974614943757377</v>
      </c>
      <c r="AR642" s="27">
        <f t="shared" si="139"/>
        <v>1.0010418670441812</v>
      </c>
      <c r="AS642" s="27">
        <f t="shared" si="139"/>
        <v>1.024648468705007</v>
      </c>
      <c r="AT642" s="27">
        <f t="shared" si="139"/>
        <v>1.0419667302828659</v>
      </c>
      <c r="AU642" s="27">
        <f t="shared" si="139"/>
        <v>1.0589838516681485</v>
      </c>
      <c r="AV642" s="27">
        <f t="shared" si="139"/>
        <v>1.0763973931983826</v>
      </c>
      <c r="AW642" s="27">
        <f t="shared" si="139"/>
        <v>1.093914171709288</v>
      </c>
      <c r="AY642" s="79"/>
      <c r="AZ642" s="79"/>
    </row>
    <row r="643" spans="1:52" x14ac:dyDescent="0.2">
      <c r="A643" s="95" t="str">
        <f t="shared" si="133"/>
        <v>NI Poultry MMCH4</v>
      </c>
      <c r="B643" s="95" t="s">
        <v>969</v>
      </c>
      <c r="C643" s="95" t="s">
        <v>1231</v>
      </c>
      <c r="D643" t="s">
        <v>15</v>
      </c>
      <c r="E643" t="s">
        <v>22</v>
      </c>
      <c r="F643" t="s">
        <v>28</v>
      </c>
      <c r="G643" t="s">
        <v>132</v>
      </c>
      <c r="H643" t="s">
        <v>1227</v>
      </c>
      <c r="I643" t="s">
        <v>121</v>
      </c>
      <c r="J643" t="s">
        <v>286</v>
      </c>
      <c r="K643" s="27">
        <f t="shared" si="135"/>
        <v>2.2100196981344111</v>
      </c>
      <c r="L643" s="27">
        <f t="shared" si="139"/>
        <v>2.239121707445149</v>
      </c>
      <c r="M643" s="27">
        <f t="shared" si="139"/>
        <v>2.2858678822724823</v>
      </c>
      <c r="N643" s="27">
        <f t="shared" si="139"/>
        <v>2.2992900748078591</v>
      </c>
      <c r="O643" s="27">
        <f t="shared" si="139"/>
        <v>2.2910596881616572</v>
      </c>
      <c r="P643" s="27">
        <f t="shared" si="139"/>
        <v>2.2612642885898917</v>
      </c>
      <c r="Q643" s="27">
        <f t="shared" si="139"/>
        <v>2.2487211059946204</v>
      </c>
      <c r="R643" s="27">
        <f t="shared" si="139"/>
        <v>2.2390235702415171</v>
      </c>
      <c r="S643" s="27">
        <f t="shared" si="139"/>
        <v>1.9141242898278399</v>
      </c>
      <c r="T643" s="27">
        <f t="shared" si="139"/>
        <v>1.9984899724616512</v>
      </c>
      <c r="U643" s="27">
        <f t="shared" si="139"/>
        <v>2.0566281324498989</v>
      </c>
      <c r="V643" s="27">
        <f t="shared" si="139"/>
        <v>2.1082245232127885</v>
      </c>
      <c r="W643" s="27">
        <f t="shared" si="139"/>
        <v>2.1717516772979577</v>
      </c>
      <c r="X643" s="27">
        <f t="shared" si="139"/>
        <v>2.2294138068766221</v>
      </c>
      <c r="Y643" s="27">
        <f t="shared" si="139"/>
        <v>2.2803087574477758</v>
      </c>
      <c r="Z643" s="27">
        <f t="shared" si="139"/>
        <v>2.3275959555736767</v>
      </c>
      <c r="AA643" s="27">
        <f t="shared" si="139"/>
        <v>2.3696866416984408</v>
      </c>
      <c r="AB643" s="27">
        <f t="shared" si="139"/>
        <v>2.4313567650804138</v>
      </c>
      <c r="AC643" s="27">
        <f t="shared" si="139"/>
        <v>2.4911768272254537</v>
      </c>
      <c r="AD643" s="27">
        <f t="shared" si="139"/>
        <v>2.5611651092780447</v>
      </c>
      <c r="AE643" s="27">
        <f t="shared" si="139"/>
        <v>2.6503466863676968</v>
      </c>
      <c r="AF643" s="27">
        <f t="shared" si="139"/>
        <v>2.7487492134063758</v>
      </c>
      <c r="AG643" s="27">
        <f t="shared" si="139"/>
        <v>2.8678706867563997</v>
      </c>
      <c r="AH643" s="27">
        <f t="shared" si="139"/>
        <v>2.9554288288988109</v>
      </c>
      <c r="AI643" s="27">
        <f t="shared" si="139"/>
        <v>3.0407668489306769</v>
      </c>
      <c r="AJ643" s="27">
        <f t="shared" si="139"/>
        <v>3.1366479798785045</v>
      </c>
      <c r="AK643" s="27">
        <f t="shared" si="139"/>
        <v>3.228263044676527</v>
      </c>
      <c r="AL643" s="27">
        <f t="shared" si="139"/>
        <v>3.3257213723703618</v>
      </c>
      <c r="AM643" s="27">
        <f t="shared" si="139"/>
        <v>3.4238536012880374</v>
      </c>
      <c r="AN643" s="27">
        <f t="shared" si="139"/>
        <v>3.5403209104075128</v>
      </c>
      <c r="AO643" s="27">
        <f t="shared" si="139"/>
        <v>3.6511369162882397</v>
      </c>
      <c r="AP643" s="27">
        <f t="shared" si="139"/>
        <v>3.7640318136014432</v>
      </c>
      <c r="AQ643" s="27">
        <f t="shared" si="139"/>
        <v>3.8810201496437728</v>
      </c>
      <c r="AR643" s="27">
        <f t="shared" si="139"/>
        <v>4.0028778541582692</v>
      </c>
      <c r="AS643" s="27">
        <f t="shared" si="139"/>
        <v>4.1464729012292834</v>
      </c>
      <c r="AT643" s="27">
        <f t="shared" si="139"/>
        <v>4.2389508928341062</v>
      </c>
      <c r="AU643" s="27">
        <f t="shared" si="139"/>
        <v>4.3281678617131494</v>
      </c>
      <c r="AV643" s="27">
        <f t="shared" si="139"/>
        <v>4.4196303430169497</v>
      </c>
      <c r="AW643" s="27">
        <f t="shared" si="139"/>
        <v>4.5110296667808401</v>
      </c>
      <c r="AY643" s="79"/>
      <c r="AZ643" s="79"/>
    </row>
    <row r="644" spans="1:52" x14ac:dyDescent="0.2">
      <c r="A644" s="95" t="str">
        <f t="shared" si="133"/>
        <v>NI Poultry MMCH4</v>
      </c>
      <c r="B644" s="95" t="s">
        <v>969</v>
      </c>
      <c r="C644" s="95" t="s">
        <v>1231</v>
      </c>
      <c r="D644" t="s">
        <v>15</v>
      </c>
      <c r="E644" t="s">
        <v>22</v>
      </c>
      <c r="F644" t="s">
        <v>28</v>
      </c>
      <c r="G644" t="s">
        <v>134</v>
      </c>
      <c r="H644" t="s">
        <v>1227</v>
      </c>
      <c r="I644" t="s">
        <v>121</v>
      </c>
      <c r="J644" t="s">
        <v>286</v>
      </c>
      <c r="K644" s="27">
        <f t="shared" si="135"/>
        <v>2.3161053423012622E-2</v>
      </c>
      <c r="L644" s="27">
        <f t="shared" si="139"/>
        <v>2.3631963555267661E-2</v>
      </c>
      <c r="M644" s="27">
        <f t="shared" si="139"/>
        <v>2.4182412868997839E-2</v>
      </c>
      <c r="N644" s="27">
        <f t="shared" si="139"/>
        <v>2.460500634884424E-2</v>
      </c>
      <c r="O644" s="27">
        <f t="shared" si="139"/>
        <v>2.4944242822745932E-2</v>
      </c>
      <c r="P644" s="27">
        <f t="shared" si="139"/>
        <v>2.5198104828966564E-2</v>
      </c>
      <c r="Q644" s="27">
        <f t="shared" si="139"/>
        <v>2.5523625995077459E-2</v>
      </c>
      <c r="R644" s="27">
        <f t="shared" si="139"/>
        <v>2.5862077897454098E-2</v>
      </c>
      <c r="S644" s="27">
        <f t="shared" si="139"/>
        <v>2.4827585564527698E-2</v>
      </c>
      <c r="T644" s="27">
        <f t="shared" si="139"/>
        <v>2.5486087178475895E-2</v>
      </c>
      <c r="U644" s="27">
        <f t="shared" si="139"/>
        <v>2.6035541273385285E-2</v>
      </c>
      <c r="V644" s="27">
        <f t="shared" si="139"/>
        <v>2.6560965171483649E-2</v>
      </c>
      <c r="W644" s="27">
        <f t="shared" si="139"/>
        <v>2.7145121762770889E-2</v>
      </c>
      <c r="X644" s="27">
        <f t="shared" si="139"/>
        <v>2.7708248229993501E-2</v>
      </c>
      <c r="Y644" s="27">
        <f t="shared" si="139"/>
        <v>2.8213866962301819E-2</v>
      </c>
      <c r="Z644" s="27">
        <f t="shared" si="139"/>
        <v>2.8706851310880941E-2</v>
      </c>
      <c r="AA644" s="27">
        <f t="shared" si="139"/>
        <v>2.9179391564757153E-2</v>
      </c>
      <c r="AB644" s="27">
        <f t="shared" si="139"/>
        <v>2.9747583298672345E-2</v>
      </c>
      <c r="AC644" s="27">
        <f t="shared" si="139"/>
        <v>3.0311879498672922E-2</v>
      </c>
      <c r="AD644" s="27">
        <f t="shared" si="139"/>
        <v>3.0903338889043501E-2</v>
      </c>
      <c r="AE644" s="27">
        <f t="shared" si="139"/>
        <v>3.1592106107355133E-2</v>
      </c>
      <c r="AF644" s="27">
        <f t="shared" si="139"/>
        <v>3.2331772553839976E-2</v>
      </c>
      <c r="AG644" s="27">
        <f t="shared" si="139"/>
        <v>3.3179306058555749E-2</v>
      </c>
      <c r="AH644" s="27">
        <f t="shared" si="139"/>
        <v>3.3879880784644982E-2</v>
      </c>
      <c r="AI644" s="27">
        <f t="shared" si="139"/>
        <v>3.4550190741567552E-2</v>
      </c>
      <c r="AJ644" s="27">
        <f t="shared" si="139"/>
        <v>3.5278332346172038E-2</v>
      </c>
      <c r="AK644" s="27">
        <f t="shared" si="139"/>
        <v>3.5991103595981948E-2</v>
      </c>
      <c r="AL644" s="27">
        <f t="shared" si="139"/>
        <v>3.6738998105945983E-2</v>
      </c>
      <c r="AM644" s="27">
        <f t="shared" si="139"/>
        <v>3.7496307305721614E-2</v>
      </c>
      <c r="AN644" s="27">
        <f t="shared" si="139"/>
        <v>3.8329172074891393E-2</v>
      </c>
      <c r="AO644" s="27">
        <f t="shared" si="139"/>
        <v>3.9139775328705488E-2</v>
      </c>
      <c r="AP644" s="27">
        <f t="shared" si="139"/>
        <v>3.9967441068807751E-2</v>
      </c>
      <c r="AQ644" s="27">
        <f t="shared" si="139"/>
        <v>4.0822756226565615E-2</v>
      </c>
      <c r="AR644" s="27">
        <f t="shared" si="139"/>
        <v>4.1710077793507598E-2</v>
      </c>
      <c r="AS644" s="27">
        <f t="shared" si="139"/>
        <v>4.2693686196041997E-2</v>
      </c>
      <c r="AT644" s="27">
        <f t="shared" si="139"/>
        <v>4.3415280428452788E-2</v>
      </c>
      <c r="AU644" s="27">
        <f t="shared" si="139"/>
        <v>4.4124327152839558E-2</v>
      </c>
      <c r="AV644" s="27">
        <f t="shared" si="139"/>
        <v>4.4849891383265984E-2</v>
      </c>
      <c r="AW644" s="27">
        <f t="shared" si="139"/>
        <v>4.5579757154553702E-2</v>
      </c>
      <c r="AY644" s="79"/>
      <c r="AZ644" s="79"/>
    </row>
    <row r="645" spans="1:52" x14ac:dyDescent="0.2">
      <c r="A645" s="95" t="str">
        <f t="shared" si="133"/>
        <v>NI Poultry MMCH4</v>
      </c>
      <c r="B645" s="95" t="s">
        <v>969</v>
      </c>
      <c r="C645" s="95" t="s">
        <v>1231</v>
      </c>
      <c r="D645" t="s">
        <v>15</v>
      </c>
      <c r="E645" t="s">
        <v>22</v>
      </c>
      <c r="F645" t="s">
        <v>28</v>
      </c>
      <c r="G645" t="s">
        <v>133</v>
      </c>
      <c r="H645" t="s">
        <v>1227</v>
      </c>
      <c r="I645" t="s">
        <v>121</v>
      </c>
      <c r="J645" t="s">
        <v>286</v>
      </c>
      <c r="K645" s="27">
        <f t="shared" si="135"/>
        <v>9.2084154088933862E-2</v>
      </c>
      <c r="L645" s="27">
        <f t="shared" si="139"/>
        <v>9.3296737810214622E-2</v>
      </c>
      <c r="M645" s="27">
        <f t="shared" si="139"/>
        <v>9.5244495094686854E-2</v>
      </c>
      <c r="N645" s="27">
        <f t="shared" si="139"/>
        <v>9.5803753116994225E-2</v>
      </c>
      <c r="O645" s="27">
        <f t="shared" si="139"/>
        <v>9.5460820340069155E-2</v>
      </c>
      <c r="P645" s="27">
        <f t="shared" si="139"/>
        <v>9.4219345357912251E-2</v>
      </c>
      <c r="Q645" s="27">
        <f t="shared" si="139"/>
        <v>9.3696712749775937E-2</v>
      </c>
      <c r="R645" s="27">
        <f t="shared" si="139"/>
        <v>9.3292648760063296E-2</v>
      </c>
      <c r="S645" s="27">
        <f t="shared" si="139"/>
        <v>7.9755178742826727E-2</v>
      </c>
      <c r="T645" s="27">
        <f t="shared" si="139"/>
        <v>8.3270415519235544E-2</v>
      </c>
      <c r="U645" s="27">
        <f t="shared" si="139"/>
        <v>8.5692838852079192E-2</v>
      </c>
      <c r="V645" s="27">
        <f t="shared" si="139"/>
        <v>8.7842688467199587E-2</v>
      </c>
      <c r="W645" s="27">
        <f t="shared" si="139"/>
        <v>9.0489653220748326E-2</v>
      </c>
      <c r="X645" s="27">
        <f t="shared" si="139"/>
        <v>9.289224195319265E-2</v>
      </c>
      <c r="Y645" s="27">
        <f t="shared" si="139"/>
        <v>9.5012864893657414E-2</v>
      </c>
      <c r="Z645" s="27">
        <f t="shared" si="139"/>
        <v>9.6983164815569928E-2</v>
      </c>
      <c r="AA645" s="27">
        <f t="shared" si="139"/>
        <v>9.8736943404101787E-2</v>
      </c>
      <c r="AB645" s="27">
        <f t="shared" si="139"/>
        <v>0.10130653187835065</v>
      </c>
      <c r="AC645" s="27">
        <f t="shared" si="139"/>
        <v>0.10379903446772733</v>
      </c>
      <c r="AD645" s="27">
        <f t="shared" si="139"/>
        <v>0.1067152128865853</v>
      </c>
      <c r="AE645" s="27">
        <f t="shared" si="139"/>
        <v>0.11043111193198749</v>
      </c>
      <c r="AF645" s="27">
        <f t="shared" si="139"/>
        <v>0.11453121722526576</v>
      </c>
      <c r="AG645" s="27">
        <f t="shared" si="139"/>
        <v>0.11949461194818344</v>
      </c>
      <c r="AH645" s="27">
        <f t="shared" si="139"/>
        <v>0.12314286787078389</v>
      </c>
      <c r="AI645" s="27">
        <f t="shared" si="139"/>
        <v>0.12669861870544499</v>
      </c>
      <c r="AJ645" s="27">
        <f t="shared" si="139"/>
        <v>0.13069366582827113</v>
      </c>
      <c r="AK645" s="27">
        <f t="shared" si="139"/>
        <v>0.13451096019485542</v>
      </c>
      <c r="AL645" s="27">
        <f t="shared" si="139"/>
        <v>0.13857172384876518</v>
      </c>
      <c r="AM645" s="27">
        <f t="shared" si="139"/>
        <v>0.14266056672033503</v>
      </c>
      <c r="AN645" s="27">
        <f t="shared" si="139"/>
        <v>0.14751337126697986</v>
      </c>
      <c r="AO645" s="27">
        <f t="shared" si="139"/>
        <v>0.15213070484534344</v>
      </c>
      <c r="AP645" s="27">
        <f t="shared" si="139"/>
        <v>0.15683465890006026</v>
      </c>
      <c r="AQ645" s="27">
        <f t="shared" si="139"/>
        <v>0.16170917290182402</v>
      </c>
      <c r="AR645" s="27">
        <f t="shared" si="139"/>
        <v>0.16678657725659471</v>
      </c>
      <c r="AS645" s="27">
        <f t="shared" si="139"/>
        <v>0.17276970421788695</v>
      </c>
      <c r="AT645" s="27">
        <f t="shared" si="139"/>
        <v>0.17662295386808796</v>
      </c>
      <c r="AU645" s="27">
        <f t="shared" si="139"/>
        <v>0.18034032757138141</v>
      </c>
      <c r="AV645" s="27">
        <f t="shared" si="139"/>
        <v>0.18415126429237305</v>
      </c>
      <c r="AW645" s="27">
        <f t="shared" si="139"/>
        <v>0.18795956944920184</v>
      </c>
      <c r="AY645" s="79"/>
      <c r="AZ645" s="79"/>
    </row>
    <row r="646" spans="1:52" x14ac:dyDescent="0.2">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5.9806569587962537E-2</v>
      </c>
      <c r="M646" s="27">
        <f t="shared" si="139"/>
        <v>6.0278316688762053E-2</v>
      </c>
      <c r="N646" s="27">
        <f t="shared" si="139"/>
        <v>6.0581464452445992E-2</v>
      </c>
      <c r="O646" s="27">
        <f t="shared" si="139"/>
        <v>6.0782907527895308E-2</v>
      </c>
      <c r="P646" s="27">
        <f t="shared" si="139"/>
        <v>6.0880663265441157E-2</v>
      </c>
      <c r="Q646" s="27">
        <f t="shared" si="139"/>
        <v>6.1096642070638009E-2</v>
      </c>
      <c r="R646" s="27">
        <f t="shared" si="139"/>
        <v>6.1344406036983767E-2</v>
      </c>
      <c r="S646" s="27">
        <f t="shared" si="139"/>
        <v>5.9665089567979834E-2</v>
      </c>
      <c r="T646" s="27">
        <f t="shared" si="139"/>
        <v>6.0350771242359769E-2</v>
      </c>
      <c r="U646" s="27">
        <f t="shared" si="139"/>
        <v>6.0888075169397142E-2</v>
      </c>
      <c r="V646" s="27">
        <f t="shared" si="139"/>
        <v>6.139711160102531E-2</v>
      </c>
      <c r="W646" s="27">
        <f t="shared" si="139"/>
        <v>6.1992224918562065E-2</v>
      </c>
      <c r="X646" s="27">
        <f t="shared" si="139"/>
        <v>6.2562148930794551E-2</v>
      </c>
      <c r="Y646" s="27">
        <f t="shared" si="139"/>
        <v>6.3040140287419597E-2</v>
      </c>
      <c r="Z646" s="27">
        <f t="shared" si="139"/>
        <v>6.3504855616237185E-2</v>
      </c>
      <c r="AA646" s="27">
        <f t="shared" si="139"/>
        <v>6.3945644322408624E-2</v>
      </c>
      <c r="AB646" s="27">
        <f t="shared" si="139"/>
        <v>6.4519032075900526E-2</v>
      </c>
      <c r="AC646" s="27">
        <f t="shared" si="139"/>
        <v>6.5089471381032354E-2</v>
      </c>
      <c r="AD646" s="27">
        <f t="shared" si="139"/>
        <v>6.5684604542898692E-2</v>
      </c>
      <c r="AE646" s="27">
        <f t="shared" si="139"/>
        <v>6.6410653636350389E-2</v>
      </c>
      <c r="AF646" s="27">
        <f t="shared" si="139"/>
        <v>6.7204391254708923E-2</v>
      </c>
      <c r="AG646" s="27">
        <f t="shared" si="139"/>
        <v>6.8140044673053207E-2</v>
      </c>
      <c r="AH646" s="27">
        <f t="shared" si="139"/>
        <v>6.888108453498494E-2</v>
      </c>
      <c r="AI646" s="27">
        <f t="shared" si="139"/>
        <v>6.9569502535986497E-2</v>
      </c>
      <c r="AJ646" s="27">
        <f t="shared" si="139"/>
        <v>7.0333394582188791E-2</v>
      </c>
      <c r="AK646" s="27">
        <f t="shared" si="139"/>
        <v>7.1076775459671046E-2</v>
      </c>
      <c r="AL646" s="27">
        <f t="shared" si="139"/>
        <v>7.1865166896586383E-2</v>
      </c>
      <c r="AM646" s="27">
        <f t="shared" si="139"/>
        <v>7.2664891568343645E-2</v>
      </c>
      <c r="AN646" s="27">
        <f t="shared" si="139"/>
        <v>7.3548705139755158E-2</v>
      </c>
      <c r="AO646" s="27">
        <f t="shared" si="139"/>
        <v>7.4402331665901211E-2</v>
      </c>
      <c r="AP646" s="27">
        <f t="shared" si="139"/>
        <v>7.5276250928073038E-2</v>
      </c>
      <c r="AQ646" s="27">
        <f t="shared" si="139"/>
        <v>7.6183713879707002E-2</v>
      </c>
      <c r="AR646" s="27">
        <f t="shared" si="139"/>
        <v>7.7129908476892481E-2</v>
      </c>
      <c r="AS646" s="27">
        <f t="shared" si="139"/>
        <v>7.8183489117849933E-2</v>
      </c>
      <c r="AT646" s="27">
        <f t="shared" si="139"/>
        <v>7.890407273633461E-2</v>
      </c>
      <c r="AU646" s="27">
        <f t="shared" si="139"/>
        <v>7.960808386314952E-2</v>
      </c>
      <c r="AV646" s="27">
        <f t="shared" si="139"/>
        <v>8.0332044119121343E-2</v>
      </c>
      <c r="AW646" s="27">
        <f t="shared" si="139"/>
        <v>8.1060500675567429E-2</v>
      </c>
      <c r="AY646" s="79"/>
      <c r="AZ646" s="79"/>
    </row>
    <row r="647" spans="1:52" x14ac:dyDescent="0.2">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0.26187096745907495</v>
      </c>
      <c r="M647" s="27">
        <f t="shared" si="139"/>
        <v>0.26393657447404822</v>
      </c>
      <c r="N647" s="27">
        <f t="shared" si="139"/>
        <v>0.26526394701365208</v>
      </c>
      <c r="O647" s="27">
        <f t="shared" si="139"/>
        <v>0.26614599213711054</v>
      </c>
      <c r="P647" s="27">
        <f t="shared" si="139"/>
        <v>0.26657402855087203</v>
      </c>
      <c r="Q647" s="27">
        <f t="shared" si="139"/>
        <v>0.26751972028770321</v>
      </c>
      <c r="R647" s="27">
        <f t="shared" si="139"/>
        <v>0.26860458755254496</v>
      </c>
      <c r="S647" s="27">
        <f t="shared" si="139"/>
        <v>0.26125147849717245</v>
      </c>
      <c r="T647" s="27">
        <f t="shared" si="139"/>
        <v>0.26425382631073058</v>
      </c>
      <c r="U647" s="27">
        <f t="shared" si="139"/>
        <v>0.26660648255171249</v>
      </c>
      <c r="V647" s="27">
        <f t="shared" si="139"/>
        <v>0.26883536582893036</v>
      </c>
      <c r="W647" s="27">
        <f t="shared" si="139"/>
        <v>0.27144114812483544</v>
      </c>
      <c r="X647" s="27">
        <f t="shared" si="139"/>
        <v>0.27393663571908672</v>
      </c>
      <c r="Y647" s="27">
        <f t="shared" si="139"/>
        <v>0.27602958403327432</v>
      </c>
      <c r="Z647" s="27">
        <f t="shared" si="139"/>
        <v>0.27806440150548434</v>
      </c>
      <c r="AA647" s="27">
        <f t="shared" si="139"/>
        <v>0.27999445309890292</v>
      </c>
      <c r="AB647" s="27">
        <f t="shared" si="139"/>
        <v>0.28250510714193849</v>
      </c>
      <c r="AC647" s="27">
        <f t="shared" si="139"/>
        <v>0.2850028510142375</v>
      </c>
      <c r="AD647" s="27">
        <f t="shared" si="139"/>
        <v>0.2876087202011619</v>
      </c>
      <c r="AE647" s="27">
        <f t="shared" si="139"/>
        <v>0.29078782209305915</v>
      </c>
      <c r="AF647" s="27">
        <f t="shared" si="139"/>
        <v>0.29426330713525839</v>
      </c>
      <c r="AG647" s="27">
        <f t="shared" si="139"/>
        <v>0.29836018925968516</v>
      </c>
      <c r="AH647" s="27">
        <f t="shared" si="139"/>
        <v>0.30160493021217166</v>
      </c>
      <c r="AI647" s="27">
        <f t="shared" si="139"/>
        <v>0.30461925939340617</v>
      </c>
      <c r="AJ647" s="27">
        <f t="shared" si="139"/>
        <v>0.30796406165428591</v>
      </c>
      <c r="AK647" s="27">
        <f t="shared" si="139"/>
        <v>0.31121905305268976</v>
      </c>
      <c r="AL647" s="27">
        <f t="shared" si="139"/>
        <v>0.31467112913302436</v>
      </c>
      <c r="AM647" s="27">
        <f t="shared" si="139"/>
        <v>0.31817282927962681</v>
      </c>
      <c r="AN647" s="27">
        <f t="shared" si="139"/>
        <v>0.32204272378442023</v>
      </c>
      <c r="AO647" s="27">
        <f t="shared" si="139"/>
        <v>0.32578044032276504</v>
      </c>
      <c r="AP647" s="27">
        <f t="shared" si="139"/>
        <v>0.32960701128717151</v>
      </c>
      <c r="AQ647" s="27">
        <f t="shared" si="139"/>
        <v>0.33358045772817063</v>
      </c>
      <c r="AR647" s="27">
        <f t="shared" si="139"/>
        <v>0.33772349579700817</v>
      </c>
      <c r="AS647" s="27">
        <f t="shared" si="139"/>
        <v>0.34233673784791513</v>
      </c>
      <c r="AT647" s="27">
        <f t="shared" si="139"/>
        <v>0.34549190843549077</v>
      </c>
      <c r="AU647" s="27">
        <f t="shared" si="139"/>
        <v>0.34857451417849072</v>
      </c>
      <c r="AV647" s="27">
        <f t="shared" ref="L647:AW654" si="140">AV1412</f>
        <v>0.35174446981947466</v>
      </c>
      <c r="AW647" s="27">
        <f t="shared" si="140"/>
        <v>0.3549341131062021</v>
      </c>
      <c r="AY647" s="79"/>
      <c r="AZ647" s="79"/>
    </row>
    <row r="648" spans="1:52" x14ac:dyDescent="0.2">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1.1651711689683767E-2</v>
      </c>
      <c r="M648" s="27">
        <f t="shared" si="140"/>
        <v>1.1743619004328788E-2</v>
      </c>
      <c r="N648" s="27">
        <f t="shared" si="140"/>
        <v>1.1802679244134426E-2</v>
      </c>
      <c r="O648" s="27">
        <f t="shared" si="140"/>
        <v>1.1841925043604104E-2</v>
      </c>
      <c r="P648" s="27">
        <f t="shared" si="140"/>
        <v>1.1860970136438286E-2</v>
      </c>
      <c r="Q648" s="27">
        <f t="shared" si="140"/>
        <v>1.1903047834366352E-2</v>
      </c>
      <c r="R648" s="27">
        <f t="shared" si="140"/>
        <v>1.1951318021451857E-2</v>
      </c>
      <c r="S648" s="27">
        <f t="shared" si="140"/>
        <v>1.1624148088994974E-2</v>
      </c>
      <c r="T648" s="27">
        <f t="shared" si="140"/>
        <v>1.1757734837671872E-2</v>
      </c>
      <c r="U648" s="27">
        <f t="shared" si="140"/>
        <v>1.1862414147833051E-2</v>
      </c>
      <c r="V648" s="27">
        <f t="shared" si="140"/>
        <v>1.1961586291992786E-2</v>
      </c>
      <c r="W648" s="27">
        <f t="shared" si="140"/>
        <v>1.2077528216874986E-2</v>
      </c>
      <c r="X648" s="27">
        <f t="shared" si="140"/>
        <v>1.218856267882977E-2</v>
      </c>
      <c r="Y648" s="27">
        <f t="shared" si="140"/>
        <v>1.2281686519837978E-2</v>
      </c>
      <c r="Z648" s="27">
        <f t="shared" si="140"/>
        <v>1.2372223881643949E-2</v>
      </c>
      <c r="AA648" s="27">
        <f t="shared" si="140"/>
        <v>1.2458099780491892E-2</v>
      </c>
      <c r="AB648" s="27">
        <f t="shared" si="140"/>
        <v>1.256980905985888E-2</v>
      </c>
      <c r="AC648" s="27">
        <f t="shared" si="140"/>
        <v>1.2680943912863346E-2</v>
      </c>
      <c r="AD648" s="27">
        <f t="shared" si="140"/>
        <v>1.2796889703882807E-2</v>
      </c>
      <c r="AE648" s="27">
        <f t="shared" si="140"/>
        <v>1.2938340965303392E-2</v>
      </c>
      <c r="AF648" s="27">
        <f t="shared" si="140"/>
        <v>1.3092979526753859E-2</v>
      </c>
      <c r="AG648" s="27">
        <f t="shared" si="140"/>
        <v>1.3275266588980031E-2</v>
      </c>
      <c r="AH648" s="27">
        <f t="shared" si="140"/>
        <v>1.3419638400994631E-2</v>
      </c>
      <c r="AI648" s="27">
        <f t="shared" si="140"/>
        <v>1.3553758249782499E-2</v>
      </c>
      <c r="AJ648" s="27">
        <f t="shared" si="140"/>
        <v>1.3702582199153161E-2</v>
      </c>
      <c r="AK648" s="27">
        <f t="shared" si="140"/>
        <v>1.3847410095481636E-2</v>
      </c>
      <c r="AL648" s="27">
        <f t="shared" si="140"/>
        <v>1.4001007096360315E-2</v>
      </c>
      <c r="AM648" s="27">
        <f t="shared" si="140"/>
        <v>1.4156812075155119E-2</v>
      </c>
      <c r="AN648" s="27">
        <f t="shared" si="140"/>
        <v>1.432899952868179E-2</v>
      </c>
      <c r="AO648" s="27">
        <f t="shared" si="140"/>
        <v>1.4495305843219548E-2</v>
      </c>
      <c r="AP648" s="27">
        <f t="shared" si="140"/>
        <v>1.4665565655026861E-2</v>
      </c>
      <c r="AQ648" s="27">
        <f t="shared" si="140"/>
        <v>1.4842360558234895E-2</v>
      </c>
      <c r="AR648" s="27">
        <f t="shared" si="140"/>
        <v>1.5026701287433988E-2</v>
      </c>
      <c r="AS648" s="27">
        <f t="shared" si="140"/>
        <v>1.5231963317255199E-2</v>
      </c>
      <c r="AT648" s="27">
        <f t="shared" si="140"/>
        <v>1.5372349776949124E-2</v>
      </c>
      <c r="AU648" s="27">
        <f t="shared" si="140"/>
        <v>1.550950752955876E-2</v>
      </c>
      <c r="AV648" s="27">
        <f t="shared" si="140"/>
        <v>1.5650551836822808E-2</v>
      </c>
      <c r="AW648" s="27">
        <f t="shared" si="140"/>
        <v>1.5792472128065831E-2</v>
      </c>
      <c r="AY648" s="79"/>
      <c r="AZ648" s="79"/>
    </row>
    <row r="649" spans="1:52" x14ac:dyDescent="0.2">
      <c r="A649" s="95" t="str">
        <f t="shared" si="133"/>
        <v>NI Cattle MMN2O</v>
      </c>
      <c r="B649" s="95" t="s">
        <v>969</v>
      </c>
      <c r="C649" s="95" t="s">
        <v>1232</v>
      </c>
      <c r="D649" t="s">
        <v>15</v>
      </c>
      <c r="E649" t="s">
        <v>657</v>
      </c>
      <c r="F649" t="s">
        <v>67</v>
      </c>
      <c r="G649" t="s">
        <v>122</v>
      </c>
      <c r="H649" t="s">
        <v>1227</v>
      </c>
      <c r="I649" t="s">
        <v>139</v>
      </c>
      <c r="J649" t="s">
        <v>287</v>
      </c>
      <c r="K649" s="27">
        <f t="shared" si="135"/>
        <v>0.52525224947331306</v>
      </c>
      <c r="L649" s="27">
        <f t="shared" si="140"/>
        <v>0.5206969044571037</v>
      </c>
      <c r="M649" s="27">
        <f t="shared" si="140"/>
        <v>0.51896282251134873</v>
      </c>
      <c r="N649" s="27">
        <f t="shared" si="140"/>
        <v>0.51203275332440912</v>
      </c>
      <c r="O649" s="27">
        <f t="shared" si="140"/>
        <v>0.50197358865556707</v>
      </c>
      <c r="P649" s="27">
        <f t="shared" si="140"/>
        <v>0.48899333628247271</v>
      </c>
      <c r="Q649" s="27">
        <f t="shared" si="140"/>
        <v>0.47875543160314177</v>
      </c>
      <c r="R649" s="27">
        <f t="shared" si="140"/>
        <v>0.46906920988966794</v>
      </c>
      <c r="S649" s="27">
        <f t="shared" si="140"/>
        <v>0.41630918721469751</v>
      </c>
      <c r="T649" s="27">
        <f t="shared" si="140"/>
        <v>0.4242723493279994</v>
      </c>
      <c r="U649" s="27">
        <f t="shared" si="140"/>
        <v>0.42852994772024217</v>
      </c>
      <c r="V649" s="27">
        <f t="shared" si="140"/>
        <v>0.43180740758836011</v>
      </c>
      <c r="W649" s="27">
        <f t="shared" si="140"/>
        <v>0.43654938286292333</v>
      </c>
      <c r="X649" s="27">
        <f t="shared" si="140"/>
        <v>0.44039774902333312</v>
      </c>
      <c r="Y649" s="27">
        <f t="shared" si="140"/>
        <v>0.44287861979972809</v>
      </c>
      <c r="Z649" s="27">
        <f t="shared" si="140"/>
        <v>0.44480979206932508</v>
      </c>
      <c r="AA649" s="27">
        <f t="shared" si="140"/>
        <v>0.44600669694391831</v>
      </c>
      <c r="AB649" s="27">
        <f t="shared" si="140"/>
        <v>0.44955000580259225</v>
      </c>
      <c r="AC649" s="27">
        <f t="shared" si="140"/>
        <v>0.45273812820401932</v>
      </c>
      <c r="AD649" s="27">
        <f t="shared" si="140"/>
        <v>0.45290255961235854</v>
      </c>
      <c r="AE649" s="27">
        <f t="shared" si="140"/>
        <v>0.45503830808408913</v>
      </c>
      <c r="AF649" s="27">
        <f t="shared" si="140"/>
        <v>0.45786255495032313</v>
      </c>
      <c r="AG649" s="27">
        <f t="shared" si="140"/>
        <v>0.46260418192872943</v>
      </c>
      <c r="AH649" s="27">
        <f t="shared" si="140"/>
        <v>0.46336149545626742</v>
      </c>
      <c r="AI649" s="27">
        <f t="shared" si="140"/>
        <v>0.46328199946784754</v>
      </c>
      <c r="AJ649" s="27">
        <f t="shared" si="140"/>
        <v>0.46397768547065105</v>
      </c>
      <c r="AK649" s="27">
        <f t="shared" si="140"/>
        <v>0.46384928130278269</v>
      </c>
      <c r="AL649" s="27">
        <f t="shared" si="140"/>
        <v>0.46394752613960677</v>
      </c>
      <c r="AM649" s="27">
        <f t="shared" si="140"/>
        <v>0.46372456195327277</v>
      </c>
      <c r="AN649" s="27">
        <f t="shared" si="140"/>
        <v>0.46705287296965353</v>
      </c>
      <c r="AO649" s="27">
        <f t="shared" si="140"/>
        <v>0.46948772142871509</v>
      </c>
      <c r="AP649" s="27">
        <f t="shared" si="140"/>
        <v>0.47178208531317378</v>
      </c>
      <c r="AQ649" s="27">
        <f t="shared" si="140"/>
        <v>0.47411151157933035</v>
      </c>
      <c r="AR649" s="27">
        <f t="shared" si="140"/>
        <v>0.47652651600833112</v>
      </c>
      <c r="AS649" s="27">
        <f t="shared" si="140"/>
        <v>0.48031110501678759</v>
      </c>
      <c r="AT649" s="27">
        <f t="shared" si="140"/>
        <v>0.47924514012499747</v>
      </c>
      <c r="AU649" s="27">
        <f t="shared" si="140"/>
        <v>0.47764693105288908</v>
      </c>
      <c r="AV649" s="27">
        <f t="shared" si="140"/>
        <v>0.47599161993934092</v>
      </c>
      <c r="AW649" s="27">
        <f t="shared" si="140"/>
        <v>0.4740811431084902</v>
      </c>
      <c r="AY649" s="79"/>
      <c r="AZ649" s="79"/>
    </row>
    <row r="650" spans="1:52" x14ac:dyDescent="0.2">
      <c r="A650" s="95" t="str">
        <f t="shared" si="133"/>
        <v>NI Cattle MMN2O</v>
      </c>
      <c r="B650" s="95" t="s">
        <v>969</v>
      </c>
      <c r="C650" s="95" t="s">
        <v>1232</v>
      </c>
      <c r="D650" t="s">
        <v>15</v>
      </c>
      <c r="E650" t="s">
        <v>657</v>
      </c>
      <c r="F650" t="s">
        <v>67</v>
      </c>
      <c r="G650" t="s">
        <v>123</v>
      </c>
      <c r="H650" t="s">
        <v>1227</v>
      </c>
      <c r="I650" t="s">
        <v>139</v>
      </c>
      <c r="J650" t="s">
        <v>287</v>
      </c>
      <c r="K650" s="27">
        <f t="shared" si="135"/>
        <v>0.80452586370517887</v>
      </c>
      <c r="L650" s="27">
        <f t="shared" si="140"/>
        <v>0.79754846782098077</v>
      </c>
      <c r="M650" s="27">
        <f t="shared" si="140"/>
        <v>0.79489238443144172</v>
      </c>
      <c r="N650" s="27">
        <f t="shared" si="140"/>
        <v>0.78427763712907439</v>
      </c>
      <c r="O650" s="27">
        <f t="shared" si="140"/>
        <v>0.76887007218962333</v>
      </c>
      <c r="P650" s="27">
        <f t="shared" si="140"/>
        <v>0.74898829393537225</v>
      </c>
      <c r="Q650" s="27">
        <f t="shared" si="140"/>
        <v>0.73330695394505496</v>
      </c>
      <c r="R650" s="27">
        <f t="shared" si="140"/>
        <v>0.71847062359542491</v>
      </c>
      <c r="S650" s="27">
        <f t="shared" si="140"/>
        <v>0.63765839888958464</v>
      </c>
      <c r="T650" s="27">
        <f t="shared" si="140"/>
        <v>0.64985552871330754</v>
      </c>
      <c r="U650" s="27">
        <f t="shared" si="140"/>
        <v>0.65637686779803062</v>
      </c>
      <c r="V650" s="27">
        <f t="shared" si="140"/>
        <v>0.66139693431616664</v>
      </c>
      <c r="W650" s="27">
        <f t="shared" si="140"/>
        <v>0.66866019069871818</v>
      </c>
      <c r="X650" s="27">
        <f t="shared" si="140"/>
        <v>0.67455471111659759</v>
      </c>
      <c r="Y650" s="27">
        <f t="shared" si="140"/>
        <v>0.67835464668302581</v>
      </c>
      <c r="Z650" s="27">
        <f t="shared" si="140"/>
        <v>0.68131261219334738</v>
      </c>
      <c r="AA650" s="27">
        <f t="shared" si="140"/>
        <v>0.68314590453806523</v>
      </c>
      <c r="AB650" s="27">
        <f t="shared" si="140"/>
        <v>0.68857317043317978</v>
      </c>
      <c r="AC650" s="27">
        <f t="shared" si="140"/>
        <v>0.69345639926499891</v>
      </c>
      <c r="AD650" s="27">
        <f t="shared" si="140"/>
        <v>0.69370825791186275</v>
      </c>
      <c r="AE650" s="27">
        <f t="shared" si="140"/>
        <v>0.69697957161989321</v>
      </c>
      <c r="AF650" s="27">
        <f t="shared" si="140"/>
        <v>0.70130545437746739</v>
      </c>
      <c r="AG650" s="27">
        <f t="shared" si="140"/>
        <v>0.70856817727678933</v>
      </c>
      <c r="AH650" s="27">
        <f t="shared" si="140"/>
        <v>0.70972815007166834</v>
      </c>
      <c r="AI650" s="27">
        <f t="shared" si="140"/>
        <v>0.70960638652128127</v>
      </c>
      <c r="AJ650" s="27">
        <f t="shared" si="140"/>
        <v>0.71067196478931216</v>
      </c>
      <c r="AK650" s="27">
        <f t="shared" si="140"/>
        <v>0.71047528886043954</v>
      </c>
      <c r="AL650" s="27">
        <f t="shared" si="140"/>
        <v>0.71062576991459914</v>
      </c>
      <c r="AM650" s="27">
        <f t="shared" si="140"/>
        <v>0.71028425694675268</v>
      </c>
      <c r="AN650" s="27">
        <f t="shared" si="140"/>
        <v>0.71538221187758488</v>
      </c>
      <c r="AO650" s="27">
        <f t="shared" si="140"/>
        <v>0.71911165532400878</v>
      </c>
      <c r="AP650" s="27">
        <f t="shared" si="140"/>
        <v>0.7226259193517196</v>
      </c>
      <c r="AQ650" s="27">
        <f t="shared" si="140"/>
        <v>0.72619388822876152</v>
      </c>
      <c r="AR650" s="27">
        <f t="shared" si="140"/>
        <v>0.72989293668793909</v>
      </c>
      <c r="AS650" s="27">
        <f t="shared" si="140"/>
        <v>0.73568977000726443</v>
      </c>
      <c r="AT650" s="27">
        <f t="shared" si="140"/>
        <v>0.73405703768463881</v>
      </c>
      <c r="AU650" s="27">
        <f t="shared" si="140"/>
        <v>0.73160906999785846</v>
      </c>
      <c r="AV650" s="27">
        <f t="shared" si="140"/>
        <v>0.72907363944108583</v>
      </c>
      <c r="AW650" s="27">
        <f t="shared" si="140"/>
        <v>0.72614737301582033</v>
      </c>
      <c r="AY650" s="79"/>
      <c r="AZ650" s="79"/>
    </row>
    <row r="651" spans="1:52" x14ac:dyDescent="0.2">
      <c r="A651" s="95" t="str">
        <f t="shared" si="133"/>
        <v>NI Cattle MMN2O</v>
      </c>
      <c r="B651" s="95" t="s">
        <v>969</v>
      </c>
      <c r="C651" s="95" t="s">
        <v>1232</v>
      </c>
      <c r="D651" t="s">
        <v>15</v>
      </c>
      <c r="E651" t="s">
        <v>657</v>
      </c>
      <c r="F651" t="s">
        <v>67</v>
      </c>
      <c r="G651" t="s">
        <v>135</v>
      </c>
      <c r="H651" t="s">
        <v>1227</v>
      </c>
      <c r="I651" t="s">
        <v>139</v>
      </c>
      <c r="J651" t="s">
        <v>287</v>
      </c>
      <c r="K651" s="27">
        <f t="shared" si="135"/>
        <v>0.97926119892671493</v>
      </c>
      <c r="L651" s="27">
        <f t="shared" si="140"/>
        <v>1.0122801448609147</v>
      </c>
      <c r="M651" s="27">
        <f t="shared" si="140"/>
        <v>1.0514701788925804</v>
      </c>
      <c r="N651" s="27">
        <f t="shared" si="140"/>
        <v>1.0806972456941153</v>
      </c>
      <c r="O651" s="27">
        <f t="shared" si="140"/>
        <v>1.1032367943433716</v>
      </c>
      <c r="P651" s="27">
        <f t="shared" si="140"/>
        <v>1.1187666946803865</v>
      </c>
      <c r="Q651" s="27">
        <f t="shared" si="140"/>
        <v>1.1399714801203362</v>
      </c>
      <c r="R651" s="27">
        <f t="shared" si="140"/>
        <v>1.1622002864669057</v>
      </c>
      <c r="S651" s="27">
        <f t="shared" si="140"/>
        <v>1.0731659766272925</v>
      </c>
      <c r="T651" s="27">
        <f t="shared" si="140"/>
        <v>1.1200435177813</v>
      </c>
      <c r="U651" s="27">
        <f t="shared" si="140"/>
        <v>1.1581646088835691</v>
      </c>
      <c r="V651" s="27">
        <f t="shared" si="140"/>
        <v>1.1944005912440496</v>
      </c>
      <c r="W651" s="27">
        <f t="shared" si="140"/>
        <v>1.2355118571945767</v>
      </c>
      <c r="X651" s="27">
        <f t="shared" si="140"/>
        <v>1.2749845608108272</v>
      </c>
      <c r="Y651" s="27">
        <f t="shared" si="140"/>
        <v>1.3112710404440306</v>
      </c>
      <c r="Z651" s="27">
        <f t="shared" si="140"/>
        <v>1.3466036234744594</v>
      </c>
      <c r="AA651" s="27">
        <f t="shared" si="140"/>
        <v>1.3803261318564077</v>
      </c>
      <c r="AB651" s="27">
        <f t="shared" si="140"/>
        <v>1.4220578435636848</v>
      </c>
      <c r="AC651" s="27">
        <f t="shared" si="140"/>
        <v>1.4635769863229917</v>
      </c>
      <c r="AD651" s="27">
        <f t="shared" si="140"/>
        <v>1.5126623536535566</v>
      </c>
      <c r="AE651" s="27">
        <f t="shared" si="140"/>
        <v>1.5702927620533913</v>
      </c>
      <c r="AF651" s="27">
        <f t="shared" si="140"/>
        <v>1.6326718662100064</v>
      </c>
      <c r="AG651" s="27">
        <f t="shared" si="140"/>
        <v>1.7047038536562504</v>
      </c>
      <c r="AH651" s="27">
        <f t="shared" si="140"/>
        <v>1.7647703233064436</v>
      </c>
      <c r="AI651" s="27">
        <f t="shared" si="140"/>
        <v>1.823914760279997</v>
      </c>
      <c r="AJ651" s="27">
        <f t="shared" si="140"/>
        <v>1.8885037105241573</v>
      </c>
      <c r="AK651" s="27">
        <f t="shared" si="140"/>
        <v>1.9522655918668117</v>
      </c>
      <c r="AL651" s="27">
        <f t="shared" si="140"/>
        <v>2.0195785012565346</v>
      </c>
      <c r="AM651" s="27">
        <f t="shared" si="140"/>
        <v>2.0882359976906724</v>
      </c>
      <c r="AN651" s="27">
        <f t="shared" si="140"/>
        <v>2.1625669468600144</v>
      </c>
      <c r="AO651" s="27">
        <f t="shared" si="140"/>
        <v>2.2353883436386872</v>
      </c>
      <c r="AP651" s="27">
        <f t="shared" si="140"/>
        <v>2.310159637098629</v>
      </c>
      <c r="AQ651" s="27">
        <f t="shared" si="140"/>
        <v>2.387837748545981</v>
      </c>
      <c r="AR651" s="27">
        <f t="shared" si="140"/>
        <v>2.4688377318111754</v>
      </c>
      <c r="AS651" s="27">
        <f t="shared" si="140"/>
        <v>2.5601896833945608</v>
      </c>
      <c r="AT651" s="27">
        <f t="shared" si="140"/>
        <v>2.6285710200523447</v>
      </c>
      <c r="AU651" s="27">
        <f t="shared" si="140"/>
        <v>2.6962215322627681</v>
      </c>
      <c r="AV651" s="27">
        <f t="shared" si="140"/>
        <v>2.7657590792696469</v>
      </c>
      <c r="AW651" s="27">
        <f t="shared" si="140"/>
        <v>2.8360897430204677</v>
      </c>
      <c r="AY651" s="79"/>
      <c r="AZ651" s="79"/>
    </row>
    <row r="652" spans="1:52" x14ac:dyDescent="0.2">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0.1195503235691774</v>
      </c>
      <c r="T652" s="27">
        <f t="shared" si="140"/>
        <v>0.11973238900774033</v>
      </c>
      <c r="U652" s="27">
        <f t="shared" si="140"/>
        <v>0.11993816652481025</v>
      </c>
      <c r="V652" s="27">
        <f t="shared" si="140"/>
        <v>0.12017030175701968</v>
      </c>
      <c r="W652" s="27">
        <f t="shared" si="140"/>
        <v>0.12043143682964785</v>
      </c>
      <c r="X652" s="27">
        <f t="shared" si="140"/>
        <v>0.12071612652319091</v>
      </c>
      <c r="Y652" s="27">
        <f t="shared" si="140"/>
        <v>0.12088927246048492</v>
      </c>
      <c r="Z652" s="27">
        <f t="shared" si="140"/>
        <v>0.12108266651499933</v>
      </c>
      <c r="AA652" s="27">
        <f t="shared" si="140"/>
        <v>0.12129489002398719</v>
      </c>
      <c r="AB652" s="27">
        <f t="shared" si="140"/>
        <v>0.12153074787723062</v>
      </c>
      <c r="AC652" s="27">
        <f t="shared" si="140"/>
        <v>0.12178444503760315</v>
      </c>
      <c r="AD652" s="27">
        <f t="shared" si="140"/>
        <v>0.12195021859922818</v>
      </c>
      <c r="AE652" s="27">
        <f t="shared" si="140"/>
        <v>0.12213630016303641</v>
      </c>
      <c r="AF652" s="27">
        <f t="shared" si="140"/>
        <v>0.12233971704233786</v>
      </c>
      <c r="AG652" s="27">
        <f t="shared" si="140"/>
        <v>0.12256258176640643</v>
      </c>
      <c r="AH652" s="27">
        <f t="shared" si="140"/>
        <v>0.12279204268449652</v>
      </c>
      <c r="AI652" s="27">
        <f t="shared" si="140"/>
        <v>0.12293267358180958</v>
      </c>
      <c r="AJ652" s="27">
        <f t="shared" si="140"/>
        <v>0.1230880284078129</v>
      </c>
      <c r="AK652" s="27">
        <f t="shared" si="140"/>
        <v>0.12325414703713089</v>
      </c>
      <c r="AL652" s="27">
        <f t="shared" si="140"/>
        <v>0.12343300581478904</v>
      </c>
      <c r="AM652" s="27">
        <f t="shared" si="140"/>
        <v>0.12362298848343736</v>
      </c>
      <c r="AN652" s="27">
        <f t="shared" si="140"/>
        <v>0.12373316293630814</v>
      </c>
      <c r="AO652" s="27">
        <f t="shared" si="140"/>
        <v>0.12385166980530417</v>
      </c>
      <c r="AP652" s="27">
        <f t="shared" si="140"/>
        <v>0.12398002361906417</v>
      </c>
      <c r="AQ652" s="27">
        <f t="shared" si="140"/>
        <v>0.12411840156820916</v>
      </c>
      <c r="AR652" s="27">
        <f t="shared" si="140"/>
        <v>0.12426670691930036</v>
      </c>
      <c r="AS652" s="27">
        <f t="shared" si="140"/>
        <v>0.12433302167931155</v>
      </c>
      <c r="AT652" s="27">
        <f t="shared" si="140"/>
        <v>0.12439474489368146</v>
      </c>
      <c r="AU652" s="27">
        <f t="shared" si="140"/>
        <v>0.1244631713501356</v>
      </c>
      <c r="AV652" s="27">
        <f t="shared" si="140"/>
        <v>0.12453939785824997</v>
      </c>
      <c r="AW652" s="27">
        <f t="shared" si="140"/>
        <v>0.12462263971956801</v>
      </c>
      <c r="AY652" s="79"/>
      <c r="AZ652" s="79"/>
    </row>
    <row r="653" spans="1:52" x14ac:dyDescent="0.2">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6.3928512589691663E-2</v>
      </c>
      <c r="T653" s="27">
        <f t="shared" si="140"/>
        <v>6.4025870525110232E-2</v>
      </c>
      <c r="U653" s="27">
        <f t="shared" si="140"/>
        <v>6.4135908291616708E-2</v>
      </c>
      <c r="V653" s="27">
        <f t="shared" si="140"/>
        <v>6.4260040620762821E-2</v>
      </c>
      <c r="W653" s="27">
        <f t="shared" si="140"/>
        <v>6.4399680366434092E-2</v>
      </c>
      <c r="X653" s="27">
        <f t="shared" si="140"/>
        <v>6.4551915744093219E-2</v>
      </c>
      <c r="Y653" s="27">
        <f t="shared" si="140"/>
        <v>6.4644504052528431E-2</v>
      </c>
      <c r="Z653" s="27">
        <f t="shared" si="140"/>
        <v>6.4747919868393122E-2</v>
      </c>
      <c r="AA653" s="27">
        <f t="shared" si="140"/>
        <v>6.4861404573922254E-2</v>
      </c>
      <c r="AB653" s="27">
        <f t="shared" si="140"/>
        <v>6.4987527542813464E-2</v>
      </c>
      <c r="AC653" s="27">
        <f t="shared" si="140"/>
        <v>6.5123189928548972E-2</v>
      </c>
      <c r="AD653" s="27">
        <f t="shared" si="140"/>
        <v>6.5211835922177344E-2</v>
      </c>
      <c r="AE653" s="27">
        <f t="shared" si="140"/>
        <v>6.5311341446206636E-2</v>
      </c>
      <c r="AF653" s="27">
        <f t="shared" si="140"/>
        <v>6.5420116881865359E-2</v>
      </c>
      <c r="AG653" s="27">
        <f t="shared" si="140"/>
        <v>6.5539291886106743E-2</v>
      </c>
      <c r="AH653" s="27">
        <f t="shared" si="140"/>
        <v>6.5661994148660446E-2</v>
      </c>
      <c r="AI653" s="27">
        <f t="shared" si="140"/>
        <v>6.5737195317682587E-2</v>
      </c>
      <c r="AJ653" s="27">
        <f t="shared" si="140"/>
        <v>6.5820269981585744E-2</v>
      </c>
      <c r="AK653" s="27">
        <f t="shared" si="140"/>
        <v>6.5909100497210327E-2</v>
      </c>
      <c r="AL653" s="27">
        <f t="shared" si="140"/>
        <v>6.6004743698148058E-2</v>
      </c>
      <c r="AM653" s="27">
        <f t="shared" si="140"/>
        <v>6.6106335304610589E-2</v>
      </c>
      <c r="AN653" s="27">
        <f t="shared" si="140"/>
        <v>6.6165250150569468E-2</v>
      </c>
      <c r="AO653" s="27">
        <f t="shared" si="140"/>
        <v>6.6228620684754519E-2</v>
      </c>
      <c r="AP653" s="27">
        <f t="shared" si="140"/>
        <v>6.6297256788396222E-2</v>
      </c>
      <c r="AQ653" s="27">
        <f t="shared" si="140"/>
        <v>6.6371253212662962E-2</v>
      </c>
      <c r="AR653" s="27">
        <f t="shared" si="140"/>
        <v>6.6450558230176079E-2</v>
      </c>
      <c r="AS653" s="27">
        <f t="shared" si="140"/>
        <v>6.6486019480666153E-2</v>
      </c>
      <c r="AT653" s="27">
        <f t="shared" si="140"/>
        <v>6.6519025441412388E-2</v>
      </c>
      <c r="AU653" s="27">
        <f t="shared" si="140"/>
        <v>6.6555615903506504E-2</v>
      </c>
      <c r="AV653" s="27">
        <f t="shared" si="140"/>
        <v>6.6596377376484356E-2</v>
      </c>
      <c r="AW653" s="27">
        <f t="shared" si="140"/>
        <v>6.6640890249560589E-2</v>
      </c>
      <c r="AY653" s="79"/>
      <c r="AZ653" s="79"/>
    </row>
    <row r="654" spans="1:52" x14ac:dyDescent="0.2">
      <c r="A654" s="95" t="str">
        <f t="shared" si="133"/>
        <v>NI Goats MMN2O</v>
      </c>
      <c r="B654" s="95" t="s">
        <v>969</v>
      </c>
      <c r="C654" s="95" t="s">
        <v>1329</v>
      </c>
      <c r="D654" t="s">
        <v>15</v>
      </c>
      <c r="E654" t="s">
        <v>657</v>
      </c>
      <c r="F654" t="s">
        <v>19</v>
      </c>
      <c r="G654" t="s">
        <v>122</v>
      </c>
      <c r="H654" t="s">
        <v>1227</v>
      </c>
      <c r="I654" t="s">
        <v>139</v>
      </c>
      <c r="J654" t="s">
        <v>287</v>
      </c>
      <c r="K654" s="27">
        <f t="shared" si="135"/>
        <v>1.4486129996083083E-2</v>
      </c>
      <c r="L654" s="27">
        <f t="shared" si="140"/>
        <v>1.4523786941695514E-2</v>
      </c>
      <c r="M654" s="27">
        <f t="shared" si="140"/>
        <v>1.457573336741831E-2</v>
      </c>
      <c r="N654" s="27">
        <f t="shared" si="140"/>
        <v>1.4639017833045652E-2</v>
      </c>
      <c r="O654" s="27">
        <f t="shared" si="140"/>
        <v>1.4713550078172181E-2</v>
      </c>
      <c r="P654" s="27">
        <f t="shared" si="140"/>
        <v>1.4798876460462532E-2</v>
      </c>
      <c r="Q654" s="27">
        <f t="shared" si="140"/>
        <v>1.4890706011157254E-2</v>
      </c>
      <c r="R654" s="27">
        <f t="shared" si="140"/>
        <v>1.4988675221399694E-2</v>
      </c>
      <c r="S654" s="27">
        <f t="shared" si="140"/>
        <v>1.5078679643027025E-2</v>
      </c>
      <c r="T654" s="27">
        <f t="shared" si="140"/>
        <v>1.5122495296339114E-2</v>
      </c>
      <c r="U654" s="27">
        <f t="shared" si="140"/>
        <v>1.516958973789732E-2</v>
      </c>
      <c r="V654" s="27">
        <f t="shared" si="140"/>
        <v>1.5220538890996555E-2</v>
      </c>
      <c r="W654" s="27">
        <f t="shared" si="140"/>
        <v>1.5275902163367263E-2</v>
      </c>
      <c r="X654" s="27">
        <f t="shared" si="140"/>
        <v>1.5334694454120529E-2</v>
      </c>
      <c r="Y654" s="27">
        <f t="shared" si="140"/>
        <v>1.5371448915304845E-2</v>
      </c>
      <c r="Z654" s="27">
        <f t="shared" si="140"/>
        <v>1.5411207509365298E-2</v>
      </c>
      <c r="AA654" s="27">
        <f t="shared" si="140"/>
        <v>1.545373639870192E-2</v>
      </c>
      <c r="AB654" s="27">
        <f t="shared" si="140"/>
        <v>1.5499966763922934E-2</v>
      </c>
      <c r="AC654" s="27">
        <f t="shared" si="140"/>
        <v>1.5548833641447303E-2</v>
      </c>
      <c r="AD654" s="27">
        <f t="shared" si="140"/>
        <v>1.5580602349578561E-2</v>
      </c>
      <c r="AE654" s="27">
        <f t="shared" si="140"/>
        <v>1.5615591404277505E-2</v>
      </c>
      <c r="AF654" s="27">
        <f t="shared" si="140"/>
        <v>1.5653259744642323E-2</v>
      </c>
      <c r="AG654" s="27">
        <f t="shared" si="140"/>
        <v>1.5694012741398929E-2</v>
      </c>
      <c r="AH654" s="27">
        <f t="shared" si="140"/>
        <v>1.5735477279761712E-2</v>
      </c>
      <c r="AI654" s="27">
        <f t="shared" si="140"/>
        <v>1.5760021720349279E-2</v>
      </c>
      <c r="AJ654" s="27">
        <f t="shared" si="140"/>
        <v>1.5786883711006117E-2</v>
      </c>
      <c r="AK654" s="27">
        <f t="shared" ref="L654:AW661" si="141">AK1419</f>
        <v>1.5815340273420818E-2</v>
      </c>
      <c r="AL654" s="27">
        <f t="shared" si="141"/>
        <v>1.5845764593107773E-2</v>
      </c>
      <c r="AM654" s="27">
        <f t="shared" si="141"/>
        <v>1.5877866318833773E-2</v>
      </c>
      <c r="AN654" s="27">
        <f t="shared" si="141"/>
        <v>1.5894983838021428E-2</v>
      </c>
      <c r="AO654" s="27">
        <f t="shared" si="141"/>
        <v>1.5913339031971951E-2</v>
      </c>
      <c r="AP654" s="27">
        <f t="shared" si="141"/>
        <v>1.593321505910849E-2</v>
      </c>
      <c r="AQ654" s="27">
        <f t="shared" si="141"/>
        <v>1.5954648527995344E-2</v>
      </c>
      <c r="AR654" s="27">
        <f t="shared" si="141"/>
        <v>1.597762528830339E-2</v>
      </c>
      <c r="AS654" s="27">
        <f t="shared" si="141"/>
        <v>1.598544144020398E-2</v>
      </c>
      <c r="AT654" s="27">
        <f t="shared" si="141"/>
        <v>1.5992226212116378E-2</v>
      </c>
      <c r="AU654" s="27">
        <f t="shared" si="141"/>
        <v>1.600003943689176E-2</v>
      </c>
      <c r="AV654" s="27">
        <f t="shared" si="141"/>
        <v>1.6009082551352239E-2</v>
      </c>
      <c r="AW654" s="27">
        <f t="shared" si="141"/>
        <v>1.6019215529788255E-2</v>
      </c>
      <c r="AY654" s="79"/>
      <c r="AZ654" s="79"/>
    </row>
    <row r="655" spans="1:52" x14ac:dyDescent="0.2">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0.11605647283191661</v>
      </c>
      <c r="O655" s="27">
        <f t="shared" si="141"/>
        <v>0.11664735601685972</v>
      </c>
      <c r="P655" s="27">
        <f t="shared" si="141"/>
        <v>0.11732381389682567</v>
      </c>
      <c r="Q655" s="27">
        <f t="shared" si="141"/>
        <v>0.11805182815822723</v>
      </c>
      <c r="R655" s="27">
        <f t="shared" si="141"/>
        <v>0.11882851694408277</v>
      </c>
      <c r="S655" s="27">
        <f t="shared" si="141"/>
        <v>0.11954206178926803</v>
      </c>
      <c r="T655" s="27">
        <f t="shared" si="141"/>
        <v>0.11988942731858297</v>
      </c>
      <c r="U655" s="27">
        <f t="shared" si="141"/>
        <v>0.12026278670919023</v>
      </c>
      <c r="V655" s="27">
        <f t="shared" si="141"/>
        <v>0.12066670581564304</v>
      </c>
      <c r="W655" s="27">
        <f t="shared" si="141"/>
        <v>0.12110561955897305</v>
      </c>
      <c r="X655" s="27">
        <f t="shared" si="141"/>
        <v>0.121571718171076</v>
      </c>
      <c r="Y655" s="27">
        <f t="shared" si="141"/>
        <v>0.12186310337017453</v>
      </c>
      <c r="Z655" s="27">
        <f t="shared" si="141"/>
        <v>0.12217830499394715</v>
      </c>
      <c r="AA655" s="27">
        <f t="shared" si="141"/>
        <v>0.12251546920442616</v>
      </c>
      <c r="AB655" s="27">
        <f t="shared" si="141"/>
        <v>0.12288197829584693</v>
      </c>
      <c r="AC655" s="27">
        <f t="shared" si="141"/>
        <v>0.12326938935774111</v>
      </c>
      <c r="AD655" s="27">
        <f t="shared" si="141"/>
        <v>0.12352124807218419</v>
      </c>
      <c r="AE655" s="27">
        <f t="shared" si="141"/>
        <v>0.12379863732892218</v>
      </c>
      <c r="AF655" s="27">
        <f t="shared" si="141"/>
        <v>0.12409726765849963</v>
      </c>
      <c r="AG655" s="27">
        <f t="shared" si="141"/>
        <v>0.12442035279404921</v>
      </c>
      <c r="AH655" s="27">
        <f t="shared" si="141"/>
        <v>0.12474907895074024</v>
      </c>
      <c r="AI655" s="27">
        <f t="shared" si="141"/>
        <v>0.12494366449156763</v>
      </c>
      <c r="AJ655" s="27">
        <f t="shared" si="141"/>
        <v>0.12515662330645747</v>
      </c>
      <c r="AK655" s="27">
        <f t="shared" si="141"/>
        <v>0.12538222370536653</v>
      </c>
      <c r="AL655" s="27">
        <f t="shared" si="141"/>
        <v>0.12562342426072123</v>
      </c>
      <c r="AM655" s="27">
        <f t="shared" si="141"/>
        <v>0.12587792310088028</v>
      </c>
      <c r="AN655" s="27">
        <f t="shared" si="141"/>
        <v>0.12601362885130757</v>
      </c>
      <c r="AO655" s="27">
        <f t="shared" si="141"/>
        <v>0.12615914674686166</v>
      </c>
      <c r="AP655" s="27">
        <f t="shared" si="141"/>
        <v>0.1263167216354017</v>
      </c>
      <c r="AQ655" s="27">
        <f t="shared" si="141"/>
        <v>0.12648664374547289</v>
      </c>
      <c r="AR655" s="27">
        <f t="shared" si="141"/>
        <v>0.12666880089487106</v>
      </c>
      <c r="AS655" s="27">
        <f t="shared" si="141"/>
        <v>0.12673076646052897</v>
      </c>
      <c r="AT655" s="27">
        <f t="shared" si="141"/>
        <v>0.12678455536263306</v>
      </c>
      <c r="AU655" s="27">
        <f t="shared" si="141"/>
        <v>0.1268464977223743</v>
      </c>
      <c r="AV655" s="27">
        <f t="shared" si="141"/>
        <v>0.12691819050802894</v>
      </c>
      <c r="AW655" s="27">
        <f t="shared" si="141"/>
        <v>0.12699852361165501</v>
      </c>
      <c r="AY655" s="79"/>
      <c r="AZ655" s="79"/>
    </row>
    <row r="656" spans="1:52" x14ac:dyDescent="0.2">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2">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2">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9.6937181363551561E-2</v>
      </c>
      <c r="M658" s="27">
        <f t="shared" si="141"/>
        <v>9.6980665528366608E-2</v>
      </c>
      <c r="N658" s="27">
        <f t="shared" si="141"/>
        <v>9.6090308702663593E-2</v>
      </c>
      <c r="O658" s="27">
        <f t="shared" si="141"/>
        <v>9.4636150647850539E-2</v>
      </c>
      <c r="P658" s="27">
        <f t="shared" si="141"/>
        <v>9.2641437622218353E-2</v>
      </c>
      <c r="Q658" s="27">
        <f t="shared" si="141"/>
        <v>9.1193054757597203E-2</v>
      </c>
      <c r="R658" s="27">
        <f t="shared" si="141"/>
        <v>8.9872834352323586E-2</v>
      </c>
      <c r="S658" s="27">
        <f t="shared" si="141"/>
        <v>8.007614881771638E-2</v>
      </c>
      <c r="T658" s="27">
        <f t="shared" si="141"/>
        <v>8.1326396788510474E-2</v>
      </c>
      <c r="U658" s="27">
        <f t="shared" si="141"/>
        <v>8.1857388582928847E-2</v>
      </c>
      <c r="V658" s="27">
        <f t="shared" si="141"/>
        <v>8.2207086470719101E-2</v>
      </c>
      <c r="W658" s="27">
        <f t="shared" si="141"/>
        <v>8.285461390877466E-2</v>
      </c>
      <c r="X658" s="27">
        <f t="shared" si="141"/>
        <v>8.333689669834958E-2</v>
      </c>
      <c r="Y658" s="27">
        <f t="shared" si="141"/>
        <v>8.3589871912565908E-2</v>
      </c>
      <c r="Z658" s="27">
        <f t="shared" si="141"/>
        <v>8.3744868407458789E-2</v>
      </c>
      <c r="AA658" s="27">
        <f t="shared" si="141"/>
        <v>8.3765893880963477E-2</v>
      </c>
      <c r="AB658" s="27">
        <f t="shared" si="141"/>
        <v>8.4252320791482468E-2</v>
      </c>
      <c r="AC658" s="27">
        <f t="shared" si="141"/>
        <v>8.467721169561411E-2</v>
      </c>
      <c r="AD658" s="27">
        <f t="shared" si="141"/>
        <v>8.5288552318902811E-2</v>
      </c>
      <c r="AE658" s="27">
        <f t="shared" si="141"/>
        <v>8.6321222168383255E-2</v>
      </c>
      <c r="AF658" s="27">
        <f t="shared" si="141"/>
        <v>8.7530536010928472E-2</v>
      </c>
      <c r="AG658" s="27">
        <f t="shared" si="141"/>
        <v>8.9167849032446608E-2</v>
      </c>
      <c r="AH658" s="27">
        <f t="shared" si="141"/>
        <v>9.0051741731639295E-2</v>
      </c>
      <c r="AI658" s="27">
        <f t="shared" si="141"/>
        <v>9.0823732502808008E-2</v>
      </c>
      <c r="AJ658" s="27">
        <f t="shared" si="141"/>
        <v>9.1793903682288E-2</v>
      </c>
      <c r="AK658" s="27">
        <f t="shared" si="141"/>
        <v>9.2636221139642705E-2</v>
      </c>
      <c r="AL658" s="27">
        <f t="shared" si="141"/>
        <v>9.3568236692189041E-2</v>
      </c>
      <c r="AM658" s="27">
        <f t="shared" si="141"/>
        <v>9.4477344703207677E-2</v>
      </c>
      <c r="AN658" s="27">
        <f t="shared" si="141"/>
        <v>9.5701309146604296E-2</v>
      </c>
      <c r="AO658" s="27">
        <f t="shared" si="141"/>
        <v>9.6764158959885563E-2</v>
      </c>
      <c r="AP658" s="27">
        <f t="shared" si="141"/>
        <v>9.7826064209534019E-2</v>
      </c>
      <c r="AQ658" s="27">
        <f t="shared" si="141"/>
        <v>9.8925683865692504E-2</v>
      </c>
      <c r="AR658" s="27">
        <f t="shared" si="141"/>
        <v>0.1000753787258143</v>
      </c>
      <c r="AS658" s="27">
        <f t="shared" si="141"/>
        <v>0.10157365781943821</v>
      </c>
      <c r="AT658" s="27">
        <f t="shared" si="141"/>
        <v>0.10203766217050345</v>
      </c>
      <c r="AU658" s="27">
        <f t="shared" si="141"/>
        <v>0.10240826928518969</v>
      </c>
      <c r="AV658" s="27">
        <f t="shared" si="141"/>
        <v>0.10279047259457187</v>
      </c>
      <c r="AW658" s="27">
        <f t="shared" si="141"/>
        <v>0.10314026973807801</v>
      </c>
      <c r="AY658" s="79"/>
      <c r="AZ658" s="79"/>
    </row>
    <row r="659" spans="1:52" x14ac:dyDescent="0.2">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3.7923788015899976E-2</v>
      </c>
      <c r="M659" s="27">
        <f t="shared" si="141"/>
        <v>3.7940799901590251E-2</v>
      </c>
      <c r="N659" s="27">
        <f t="shared" si="141"/>
        <v>3.759247428451009E-2</v>
      </c>
      <c r="O659" s="27">
        <f t="shared" si="141"/>
        <v>3.7023578211438583E-2</v>
      </c>
      <c r="P659" s="27">
        <f t="shared" si="141"/>
        <v>3.6243206089281214E-2</v>
      </c>
      <c r="Q659" s="27">
        <f t="shared" si="141"/>
        <v>3.5676569387541844E-2</v>
      </c>
      <c r="R659" s="27">
        <f t="shared" si="141"/>
        <v>3.5160072434777256E-2</v>
      </c>
      <c r="S659" s="27">
        <f t="shared" si="141"/>
        <v>3.132741070223205E-2</v>
      </c>
      <c r="T659" s="27">
        <f t="shared" si="141"/>
        <v>3.1816533021911265E-2</v>
      </c>
      <c r="U659" s="27">
        <f t="shared" si="141"/>
        <v>3.2024267762765575E-2</v>
      </c>
      <c r="V659" s="27">
        <f t="shared" si="141"/>
        <v>3.2161076656727829E-2</v>
      </c>
      <c r="W659" s="27">
        <f t="shared" si="141"/>
        <v>3.2414402500845374E-2</v>
      </c>
      <c r="X659" s="27">
        <f t="shared" si="141"/>
        <v>3.2603081292804072E-2</v>
      </c>
      <c r="Y659" s="27">
        <f t="shared" si="141"/>
        <v>3.2702050318540822E-2</v>
      </c>
      <c r="Z659" s="27">
        <f t="shared" si="141"/>
        <v>3.2762688085523954E-2</v>
      </c>
      <c r="AA659" s="27">
        <f t="shared" si="141"/>
        <v>3.2770913676457285E-2</v>
      </c>
      <c r="AB659" s="27">
        <f t="shared" si="141"/>
        <v>3.2961213732434436E-2</v>
      </c>
      <c r="AC659" s="27">
        <f t="shared" si="141"/>
        <v>3.3127439656806437E-2</v>
      </c>
      <c r="AD659" s="27">
        <f t="shared" si="141"/>
        <v>3.3366608486320448E-2</v>
      </c>
      <c r="AE659" s="27">
        <f t="shared" si="141"/>
        <v>3.377060983968385E-2</v>
      </c>
      <c r="AF659" s="27">
        <f t="shared" si="141"/>
        <v>3.4243717899607513E-2</v>
      </c>
      <c r="AG659" s="27">
        <f t="shared" si="141"/>
        <v>3.4884267903953659E-2</v>
      </c>
      <c r="AH659" s="27">
        <f t="shared" si="141"/>
        <v>3.523006462386518E-2</v>
      </c>
      <c r="AI659" s="27">
        <f t="shared" si="141"/>
        <v>3.5532083043879219E-2</v>
      </c>
      <c r="AJ659" s="27">
        <f t="shared" si="141"/>
        <v>3.5911633652141173E-2</v>
      </c>
      <c r="AK659" s="27">
        <f t="shared" si="141"/>
        <v>3.6241165295680604E-2</v>
      </c>
      <c r="AL659" s="27">
        <f t="shared" si="141"/>
        <v>3.6605788650157255E-2</v>
      </c>
      <c r="AM659" s="27">
        <f t="shared" si="141"/>
        <v>3.6961450110584139E-2</v>
      </c>
      <c r="AN659" s="27">
        <f t="shared" si="141"/>
        <v>3.7440289782188468E-2</v>
      </c>
      <c r="AO659" s="27">
        <f t="shared" si="141"/>
        <v>3.7856098148438051E-2</v>
      </c>
      <c r="AP659" s="27">
        <f t="shared" si="141"/>
        <v>3.82715369822701E-2</v>
      </c>
      <c r="AQ659" s="27">
        <f t="shared" si="141"/>
        <v>3.8701730455524434E-2</v>
      </c>
      <c r="AR659" s="27">
        <f t="shared" si="141"/>
        <v>3.9151514362431208E-2</v>
      </c>
      <c r="AS659" s="27">
        <f t="shared" si="141"/>
        <v>3.973767147919479E-2</v>
      </c>
      <c r="AT659" s="27">
        <f t="shared" si="141"/>
        <v>3.9919199375928846E-2</v>
      </c>
      <c r="AU659" s="27">
        <f t="shared" si="141"/>
        <v>4.0064188382797468E-2</v>
      </c>
      <c r="AV659" s="27">
        <f t="shared" si="141"/>
        <v>4.0213714055816842E-2</v>
      </c>
      <c r="AW659" s="27">
        <f t="shared" si="141"/>
        <v>4.0350561780624759E-2</v>
      </c>
      <c r="AY659" s="79"/>
      <c r="AZ659" s="79"/>
    </row>
    <row r="660" spans="1:52" x14ac:dyDescent="0.2">
      <c r="A660" s="95" t="str">
        <f t="shared" si="133"/>
        <v>NI Poultry MMN2O</v>
      </c>
      <c r="B660" s="95" t="s">
        <v>969</v>
      </c>
      <c r="C660" s="95" t="s">
        <v>1234</v>
      </c>
      <c r="D660" t="s">
        <v>15</v>
      </c>
      <c r="E660" t="s">
        <v>657</v>
      </c>
      <c r="F660" t="s">
        <v>28</v>
      </c>
      <c r="G660" t="s">
        <v>131</v>
      </c>
      <c r="H660" t="s">
        <v>1227</v>
      </c>
      <c r="I660" t="s">
        <v>139</v>
      </c>
      <c r="J660" t="s">
        <v>287</v>
      </c>
      <c r="K660" s="27">
        <f t="shared" si="135"/>
        <v>0.32784224726088984</v>
      </c>
      <c r="L660" s="27">
        <f t="shared" si="141"/>
        <v>0.33450793008613738</v>
      </c>
      <c r="M660" s="27">
        <f t="shared" si="141"/>
        <v>0.34229948156355033</v>
      </c>
      <c r="N660" s="27">
        <f t="shared" si="141"/>
        <v>0.34828124731402299</v>
      </c>
      <c r="O660" s="27">
        <f t="shared" si="141"/>
        <v>0.35308310351311484</v>
      </c>
      <c r="P660" s="27">
        <f t="shared" si="141"/>
        <v>0.35667649320457151</v>
      </c>
      <c r="Q660" s="27">
        <f t="shared" si="141"/>
        <v>0.36128421068096001</v>
      </c>
      <c r="R660" s="27">
        <f t="shared" si="141"/>
        <v>0.36607496135357964</v>
      </c>
      <c r="S660" s="27">
        <f t="shared" si="141"/>
        <v>0.35143183243338239</v>
      </c>
      <c r="T660" s="27">
        <f t="shared" si="141"/>
        <v>0.36075285272545593</v>
      </c>
      <c r="U660" s="27">
        <f t="shared" si="141"/>
        <v>0.36853031698633509</v>
      </c>
      <c r="V660" s="27">
        <f t="shared" si="141"/>
        <v>0.37596763636775804</v>
      </c>
      <c r="W660" s="27">
        <f t="shared" si="141"/>
        <v>0.38423631077311071</v>
      </c>
      <c r="X660" s="27">
        <f t="shared" si="141"/>
        <v>0.39220730600957571</v>
      </c>
      <c r="Y660" s="27">
        <f t="shared" si="141"/>
        <v>0.39936428537617313</v>
      </c>
      <c r="Z660" s="27">
        <f t="shared" si="141"/>
        <v>0.40634242638516721</v>
      </c>
      <c r="AA660" s="27">
        <f t="shared" si="141"/>
        <v>0.41303118340854511</v>
      </c>
      <c r="AB660" s="27">
        <f t="shared" si="141"/>
        <v>0.42107387695618559</v>
      </c>
      <c r="AC660" s="27">
        <f t="shared" si="141"/>
        <v>0.42906142963568294</v>
      </c>
      <c r="AD660" s="27">
        <f t="shared" si="141"/>
        <v>0.43743347438516689</v>
      </c>
      <c r="AE660" s="27">
        <f t="shared" si="141"/>
        <v>0.44718290108725961</v>
      </c>
      <c r="AF660" s="27">
        <f t="shared" si="141"/>
        <v>0.45765280094933275</v>
      </c>
      <c r="AG660" s="27">
        <f t="shared" si="141"/>
        <v>0.46964954754544574</v>
      </c>
      <c r="AH660" s="27">
        <f t="shared" si="141"/>
        <v>0.47956610826401264</v>
      </c>
      <c r="AI660" s="27">
        <f t="shared" si="141"/>
        <v>0.48905427439468169</v>
      </c>
      <c r="AJ660" s="27">
        <f t="shared" si="141"/>
        <v>0.49936104134598547</v>
      </c>
      <c r="AK660" s="27">
        <f t="shared" si="141"/>
        <v>0.5094502425603159</v>
      </c>
      <c r="AL660" s="27">
        <f t="shared" si="141"/>
        <v>0.52003660978561117</v>
      </c>
      <c r="AM660" s="27">
        <f t="shared" si="141"/>
        <v>0.53075624094362661</v>
      </c>
      <c r="AN660" s="27">
        <f t="shared" si="141"/>
        <v>0.54254535314858965</v>
      </c>
      <c r="AO660" s="27">
        <f t="shared" si="141"/>
        <v>0.55401935597193963</v>
      </c>
      <c r="AP660" s="27">
        <f t="shared" si="141"/>
        <v>0.56573487647354037</v>
      </c>
      <c r="AQ660" s="27">
        <f t="shared" si="141"/>
        <v>0.57784177154062866</v>
      </c>
      <c r="AR660" s="27">
        <f t="shared" si="141"/>
        <v>0.59040171392478091</v>
      </c>
      <c r="AS660" s="27">
        <f t="shared" si="141"/>
        <v>0.60432458622346374</v>
      </c>
      <c r="AT660" s="27">
        <f t="shared" si="141"/>
        <v>0.61453867581789445</v>
      </c>
      <c r="AU660" s="27">
        <f t="shared" si="141"/>
        <v>0.62457515677108666</v>
      </c>
      <c r="AV660" s="27">
        <f t="shared" si="141"/>
        <v>0.63484544126508857</v>
      </c>
      <c r="AW660" s="27">
        <f t="shared" si="141"/>
        <v>0.64517661361237144</v>
      </c>
      <c r="AY660" s="79"/>
      <c r="AZ660" s="79"/>
    </row>
    <row r="661" spans="1:52" x14ac:dyDescent="0.2">
      <c r="A661" s="95" t="str">
        <f t="shared" si="133"/>
        <v>NI Poultry MMN2O</v>
      </c>
      <c r="B661" s="95" t="s">
        <v>969</v>
      </c>
      <c r="C661" s="95" t="s">
        <v>1234</v>
      </c>
      <c r="D661" t="s">
        <v>15</v>
      </c>
      <c r="E661" t="s">
        <v>657</v>
      </c>
      <c r="F661" t="s">
        <v>28</v>
      </c>
      <c r="G661" t="s">
        <v>132</v>
      </c>
      <c r="H661" t="s">
        <v>1227</v>
      </c>
      <c r="I661" t="s">
        <v>139</v>
      </c>
      <c r="J661" t="s">
        <v>287</v>
      </c>
      <c r="K661" s="27">
        <f t="shared" si="135"/>
        <v>1.7017151675634961</v>
      </c>
      <c r="L661" s="27">
        <f t="shared" si="141"/>
        <v>1.7241237147327644</v>
      </c>
      <c r="M661" s="27">
        <f t="shared" si="141"/>
        <v>1.7601182693498112</v>
      </c>
      <c r="N661" s="27">
        <f t="shared" si="141"/>
        <v>1.7704533576020511</v>
      </c>
      <c r="O661" s="27">
        <f t="shared" si="141"/>
        <v>1.7641159598844758</v>
      </c>
      <c r="P661" s="27">
        <f t="shared" si="141"/>
        <v>1.7411735022142167</v>
      </c>
      <c r="Q661" s="27">
        <f t="shared" si="141"/>
        <v>1.7315152516158574</v>
      </c>
      <c r="R661" s="27">
        <f t="shared" si="141"/>
        <v>1.7240481490859678</v>
      </c>
      <c r="S661" s="27">
        <f t="shared" si="141"/>
        <v>1.4738757031674365</v>
      </c>
      <c r="T661" s="27">
        <f t="shared" si="141"/>
        <v>1.5388372787954712</v>
      </c>
      <c r="U661" s="27">
        <f t="shared" si="141"/>
        <v>1.5836036619864218</v>
      </c>
      <c r="V661" s="27">
        <f t="shared" si="141"/>
        <v>1.6233328828738469</v>
      </c>
      <c r="W661" s="27">
        <f t="shared" si="141"/>
        <v>1.6722487915194271</v>
      </c>
      <c r="X661" s="27">
        <f t="shared" si="141"/>
        <v>1.7166486312949987</v>
      </c>
      <c r="Y661" s="27">
        <f t="shared" si="141"/>
        <v>1.7558377432347874</v>
      </c>
      <c r="Z661" s="27">
        <f t="shared" ref="L661:AW663" si="142">Z1426</f>
        <v>1.7922488857917309</v>
      </c>
      <c r="AA661" s="27">
        <f t="shared" si="142"/>
        <v>1.8246587141077992</v>
      </c>
      <c r="AB661" s="27">
        <f t="shared" si="142"/>
        <v>1.8721447091119181</v>
      </c>
      <c r="AC661" s="27">
        <f t="shared" si="142"/>
        <v>1.9182061569635991</v>
      </c>
      <c r="AD661" s="27">
        <f t="shared" si="142"/>
        <v>1.9720971341440943</v>
      </c>
      <c r="AE661" s="27">
        <f t="shared" si="142"/>
        <v>2.0407669485031263</v>
      </c>
      <c r="AF661" s="27">
        <f t="shared" si="142"/>
        <v>2.1165368943229095</v>
      </c>
      <c r="AG661" s="27">
        <f t="shared" si="142"/>
        <v>2.2082604288024275</v>
      </c>
      <c r="AH661" s="27">
        <f t="shared" si="142"/>
        <v>2.275680198252084</v>
      </c>
      <c r="AI661" s="27">
        <f t="shared" si="142"/>
        <v>2.3413904736766207</v>
      </c>
      <c r="AJ661" s="27">
        <f t="shared" si="142"/>
        <v>2.415218944506448</v>
      </c>
      <c r="AK661" s="27">
        <f t="shared" si="142"/>
        <v>2.4857625444009255</v>
      </c>
      <c r="AL661" s="27">
        <f t="shared" si="142"/>
        <v>2.5608054567251783</v>
      </c>
      <c r="AM661" s="27">
        <f t="shared" si="142"/>
        <v>2.6363672729917886</v>
      </c>
      <c r="AN661" s="27">
        <f t="shared" si="142"/>
        <v>2.7260471010137848</v>
      </c>
      <c r="AO661" s="27">
        <f t="shared" si="142"/>
        <v>2.8113754255419443</v>
      </c>
      <c r="AP661" s="27">
        <f t="shared" si="142"/>
        <v>2.8983044964731111</v>
      </c>
      <c r="AQ661" s="27">
        <f t="shared" si="142"/>
        <v>2.9883855152257053</v>
      </c>
      <c r="AR661" s="27">
        <f t="shared" si="142"/>
        <v>3.0822159477018669</v>
      </c>
      <c r="AS661" s="27">
        <f t="shared" si="142"/>
        <v>3.1927841339465477</v>
      </c>
      <c r="AT661" s="27">
        <f t="shared" si="142"/>
        <v>3.2639921874822613</v>
      </c>
      <c r="AU661" s="27">
        <f t="shared" si="142"/>
        <v>3.3326892535191242</v>
      </c>
      <c r="AV661" s="27">
        <f t="shared" si="142"/>
        <v>3.4031153641230509</v>
      </c>
      <c r="AW661" s="27">
        <f t="shared" si="142"/>
        <v>3.4734928434212469</v>
      </c>
      <c r="AY661" s="79"/>
      <c r="AZ661" s="79"/>
    </row>
    <row r="662" spans="1:52" x14ac:dyDescent="0.2">
      <c r="A662" s="95" t="str">
        <f t="shared" si="133"/>
        <v>NI Poultry MMN2O</v>
      </c>
      <c r="B662" s="95" t="s">
        <v>969</v>
      </c>
      <c r="C662" s="95" t="s">
        <v>1234</v>
      </c>
      <c r="D662" t="s">
        <v>15</v>
      </c>
      <c r="E662" t="s">
        <v>657</v>
      </c>
      <c r="F662" t="s">
        <v>28</v>
      </c>
      <c r="G662" t="s">
        <v>134</v>
      </c>
      <c r="H662" t="s">
        <v>1227</v>
      </c>
      <c r="I662" t="s">
        <v>139</v>
      </c>
      <c r="J662" t="s">
        <v>287</v>
      </c>
      <c r="K662" s="27">
        <f t="shared" si="135"/>
        <v>1.3660093635870424E-2</v>
      </c>
      <c r="L662" s="27">
        <f t="shared" si="142"/>
        <v>1.3937830420255738E-2</v>
      </c>
      <c r="M662" s="27">
        <f t="shared" si="142"/>
        <v>1.4262478398481276E-2</v>
      </c>
      <c r="N662" s="27">
        <f t="shared" si="142"/>
        <v>1.4511718638084306E-2</v>
      </c>
      <c r="O662" s="27">
        <f t="shared" si="142"/>
        <v>1.4711795979713135E-2</v>
      </c>
      <c r="P662" s="27">
        <f t="shared" si="142"/>
        <v>1.4861520550190493E-2</v>
      </c>
      <c r="Q662" s="27">
        <f t="shared" si="142"/>
        <v>1.5053508778373347E-2</v>
      </c>
      <c r="R662" s="27">
        <f t="shared" si="142"/>
        <v>1.5253123389732504E-2</v>
      </c>
      <c r="S662" s="27">
        <f t="shared" si="142"/>
        <v>1.4642993018057613E-2</v>
      </c>
      <c r="T662" s="27">
        <f t="shared" si="142"/>
        <v>1.5031368863560678E-2</v>
      </c>
      <c r="U662" s="27">
        <f t="shared" si="142"/>
        <v>1.5355429874430639E-2</v>
      </c>
      <c r="V662" s="27">
        <f t="shared" si="142"/>
        <v>1.5665318181989931E-2</v>
      </c>
      <c r="W662" s="27">
        <f t="shared" si="142"/>
        <v>1.6009846282212959E-2</v>
      </c>
      <c r="X662" s="27">
        <f t="shared" si="142"/>
        <v>1.6341971083732341E-2</v>
      </c>
      <c r="Y662" s="27">
        <f t="shared" si="142"/>
        <v>1.6640178557340561E-2</v>
      </c>
      <c r="Z662" s="27">
        <f t="shared" si="142"/>
        <v>1.693093443271531E-2</v>
      </c>
      <c r="AA662" s="27">
        <f t="shared" si="142"/>
        <v>1.7209632642022729E-2</v>
      </c>
      <c r="AB662" s="27">
        <f t="shared" si="142"/>
        <v>1.7544744873174416E-2</v>
      </c>
      <c r="AC662" s="27">
        <f t="shared" si="142"/>
        <v>1.7877559568153477E-2</v>
      </c>
      <c r="AD662" s="27">
        <f t="shared" si="142"/>
        <v>1.8226394766048638E-2</v>
      </c>
      <c r="AE662" s="27">
        <f t="shared" si="142"/>
        <v>1.8632620878635837E-2</v>
      </c>
      <c r="AF662" s="27">
        <f t="shared" si="142"/>
        <v>1.906886670622222E-2</v>
      </c>
      <c r="AG662" s="27">
        <f t="shared" si="142"/>
        <v>1.9568731147726923E-2</v>
      </c>
      <c r="AH662" s="27">
        <f t="shared" si="142"/>
        <v>1.9981921177667211E-2</v>
      </c>
      <c r="AI662" s="27">
        <f t="shared" si="142"/>
        <v>2.0377261433111755E-2</v>
      </c>
      <c r="AJ662" s="27">
        <f t="shared" si="142"/>
        <v>2.0806710056082745E-2</v>
      </c>
      <c r="AK662" s="27">
        <f t="shared" si="142"/>
        <v>2.1227093440013181E-2</v>
      </c>
      <c r="AL662" s="27">
        <f t="shared" si="142"/>
        <v>2.1668192074400485E-2</v>
      </c>
      <c r="AM662" s="27">
        <f t="shared" si="142"/>
        <v>2.2114843372651131E-2</v>
      </c>
      <c r="AN662" s="27">
        <f t="shared" si="142"/>
        <v>2.2606056381191265E-2</v>
      </c>
      <c r="AO662" s="27">
        <f t="shared" si="142"/>
        <v>2.3084139832164171E-2</v>
      </c>
      <c r="AP662" s="27">
        <f t="shared" si="142"/>
        <v>2.3572286519730874E-2</v>
      </c>
      <c r="AQ662" s="27">
        <f t="shared" si="142"/>
        <v>2.4076740480859553E-2</v>
      </c>
      <c r="AR662" s="27">
        <f t="shared" si="142"/>
        <v>2.4600071413532563E-2</v>
      </c>
      <c r="AS662" s="27">
        <f t="shared" si="142"/>
        <v>2.5180191092644345E-2</v>
      </c>
      <c r="AT662" s="27">
        <f t="shared" si="142"/>
        <v>2.5605778159078961E-2</v>
      </c>
      <c r="AU662" s="27">
        <f t="shared" si="142"/>
        <v>2.6023964865461973E-2</v>
      </c>
      <c r="AV662" s="27">
        <f t="shared" si="142"/>
        <v>2.6451893386045391E-2</v>
      </c>
      <c r="AW662" s="27">
        <f t="shared" si="142"/>
        <v>2.6882358900515501E-2</v>
      </c>
      <c r="AY662" s="79"/>
      <c r="AZ662" s="79"/>
    </row>
    <row r="663" spans="1:52" x14ac:dyDescent="0.2">
      <c r="A663" s="95" t="str">
        <f t="shared" si="133"/>
        <v>NI Poultry MMN2O</v>
      </c>
      <c r="B663" s="95" t="s">
        <v>969</v>
      </c>
      <c r="C663" s="95" t="s">
        <v>1234</v>
      </c>
      <c r="D663" t="s">
        <v>15</v>
      </c>
      <c r="E663" t="s">
        <v>657</v>
      </c>
      <c r="F663" t="s">
        <v>28</v>
      </c>
      <c r="G663" t="s">
        <v>133</v>
      </c>
      <c r="H663" t="s">
        <v>1227</v>
      </c>
      <c r="I663" t="s">
        <v>139</v>
      </c>
      <c r="J663" t="s">
        <v>287</v>
      </c>
      <c r="K663" s="27">
        <f t="shared" si="135"/>
        <v>7.0904798648479067E-2</v>
      </c>
      <c r="L663" s="27">
        <f t="shared" si="142"/>
        <v>7.1838488113865256E-2</v>
      </c>
      <c r="M663" s="27">
        <f t="shared" si="142"/>
        <v>7.333826122290886E-2</v>
      </c>
      <c r="N663" s="27">
        <f t="shared" si="142"/>
        <v>7.3768889900085552E-2</v>
      </c>
      <c r="O663" s="27">
        <f t="shared" si="142"/>
        <v>7.3504831661853232E-2</v>
      </c>
      <c r="P663" s="27">
        <f t="shared" si="142"/>
        <v>7.2548895925592424E-2</v>
      </c>
      <c r="Q663" s="27">
        <f t="shared" si="142"/>
        <v>7.2146468817327461E-2</v>
      </c>
      <c r="R663" s="27">
        <f t="shared" si="142"/>
        <v>7.1835339545248733E-2</v>
      </c>
      <c r="S663" s="27">
        <f t="shared" si="142"/>
        <v>6.1411487631976583E-2</v>
      </c>
      <c r="T663" s="27">
        <f t="shared" si="142"/>
        <v>6.4118219949811373E-2</v>
      </c>
      <c r="U663" s="27">
        <f t="shared" si="142"/>
        <v>6.5983485916100967E-2</v>
      </c>
      <c r="V663" s="27">
        <f t="shared" si="142"/>
        <v>6.7638870119743691E-2</v>
      </c>
      <c r="W663" s="27">
        <f t="shared" si="142"/>
        <v>6.9677032979976197E-2</v>
      </c>
      <c r="X663" s="27">
        <f t="shared" si="142"/>
        <v>7.1527026303958338E-2</v>
      </c>
      <c r="Y663" s="27">
        <f t="shared" si="142"/>
        <v>7.3159905968116196E-2</v>
      </c>
      <c r="Z663" s="27">
        <f t="shared" si="142"/>
        <v>7.4677036907988839E-2</v>
      </c>
      <c r="AA663" s="27">
        <f t="shared" si="142"/>
        <v>7.6027446421158371E-2</v>
      </c>
      <c r="AB663" s="27">
        <f t="shared" si="142"/>
        <v>7.8006029546329986E-2</v>
      </c>
      <c r="AC663" s="27">
        <f t="shared" si="142"/>
        <v>7.9925256540150022E-2</v>
      </c>
      <c r="AD663" s="27">
        <f t="shared" si="142"/>
        <v>8.2170713922670655E-2</v>
      </c>
      <c r="AE663" s="27">
        <f t="shared" si="142"/>
        <v>8.5031956187630361E-2</v>
      </c>
      <c r="AF663" s="27">
        <f t="shared" si="142"/>
        <v>8.8189037263454617E-2</v>
      </c>
      <c r="AG663" s="27">
        <f t="shared" si="142"/>
        <v>9.2010851200101232E-2</v>
      </c>
      <c r="AH663" s="27">
        <f t="shared" si="142"/>
        <v>9.4820008260503588E-2</v>
      </c>
      <c r="AI663" s="27">
        <f t="shared" si="142"/>
        <v>9.755793640319263E-2</v>
      </c>
      <c r="AJ663" s="27">
        <f t="shared" si="142"/>
        <v>0.10063412268776877</v>
      </c>
      <c r="AK663" s="27">
        <f t="shared" si="142"/>
        <v>0.10357343935003867</v>
      </c>
      <c r="AL663" s="27">
        <f t="shared" si="142"/>
        <v>0.10670022736354919</v>
      </c>
      <c r="AM663" s="27">
        <f t="shared" si="142"/>
        <v>0.10984863637465794</v>
      </c>
      <c r="AN663" s="27">
        <f t="shared" si="142"/>
        <v>0.11358529587557446</v>
      </c>
      <c r="AO663" s="27">
        <f t="shared" si="142"/>
        <v>0.11714064273091444</v>
      </c>
      <c r="AP663" s="27">
        <f t="shared" si="142"/>
        <v>0.12076268735304639</v>
      </c>
      <c r="AQ663" s="27">
        <f t="shared" si="142"/>
        <v>0.12451606313440448</v>
      </c>
      <c r="AR663" s="27">
        <f t="shared" si="142"/>
        <v>0.12842566448757792</v>
      </c>
      <c r="AS663" s="27">
        <f t="shared" si="142"/>
        <v>0.1330326722477729</v>
      </c>
      <c r="AT663" s="27">
        <f t="shared" si="142"/>
        <v>0.1359996744784277</v>
      </c>
      <c r="AU663" s="27">
        <f t="shared" si="142"/>
        <v>0.13886205222996365</v>
      </c>
      <c r="AV663" s="27">
        <f t="shared" si="142"/>
        <v>0.14179647350512722</v>
      </c>
      <c r="AW663" s="27">
        <f t="shared" si="142"/>
        <v>0.14472886847588542</v>
      </c>
      <c r="AY663" s="79"/>
      <c r="AZ663" s="79"/>
    </row>
    <row r="664" spans="1:52" x14ac:dyDescent="0.2">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6.4883189407483481</v>
      </c>
      <c r="U664" s="94">
        <f>IF('Net zero activities &amp; levers'!$C$9="Off",'Activity data'!AN47*ttokg*SNEF*NtoN2O*kgtoGg,IF('Net zero activities &amp; levers'!$C$9="On",(('Net zero supporting data'!L157*ttokg*'Net zero supporting data'!L181)+('Net zero supporting data'!L169*ttokg*SNEF))*NtoN2O*kgtoGg,"ERROR"))</f>
        <v>6.3709630483047146</v>
      </c>
      <c r="V664" s="94">
        <f>IF('Net zero activities &amp; levers'!$C$9="Off",'Activity data'!AO47*ttokg*SNEF*NtoN2O*kgtoGg,IF('Net zero activities &amp; levers'!$C$9="On",(('Net zero supporting data'!M157*ttokg*'Net zero supporting data'!M181)+('Net zero supporting data'!M169*ttokg*SNEF))*NtoN2O*kgtoGg,"ERROR"))</f>
        <v>6.2540534086967066</v>
      </c>
      <c r="W664" s="94">
        <f>IF('Net zero activities &amp; levers'!$C$9="Off",'Activity data'!AP47*ttokg*SNEF*NtoN2O*kgtoGg,IF('Net zero activities &amp; levers'!$C$9="On",(('Net zero supporting data'!N157*ttokg*'Net zero supporting data'!N181)+('Net zero supporting data'!N169*ttokg*SNEF))*NtoN2O*kgtoGg,"ERROR"))</f>
        <v>6.137294741119482</v>
      </c>
      <c r="X664" s="94">
        <f>IF('Net zero activities &amp; levers'!$C$9="Off",'Activity data'!AQ47*ttokg*SNEF*NtoN2O*kgtoGg,IF('Net zero activities &amp; levers'!$C$9="On",(('Net zero supporting data'!O157*ttokg*'Net zero supporting data'!O181)+('Net zero supporting data'!O169*ttokg*SNEF))*NtoN2O*kgtoGg,"ERROR"))</f>
        <v>6.0204387749589712</v>
      </c>
      <c r="Y664" s="94">
        <f>IF('Net zero activities &amp; levers'!$C$9="Off",'Activity data'!AR47*ttokg*SNEF*NtoN2O*kgtoGg,IF('Net zero activities &amp; levers'!$C$9="On",(('Net zero supporting data'!P157*ttokg*'Net zero supporting data'!P181)+('Net zero supporting data'!P169*ttokg*SNEF))*NtoN2O*kgtoGg,"ERROR"))</f>
        <v>5.9037225669352793</v>
      </c>
      <c r="Z664" s="94">
        <f>IF('Net zero activities &amp; levers'!$C$9="Off",'Activity data'!AS47*ttokg*SNEF*NtoN2O*kgtoGg,IF('Net zero activities &amp; levers'!$C$9="On",(('Net zero supporting data'!Q157*ttokg*'Net zero supporting data'!Q181)+('Net zero supporting data'!Q169*ttokg*SNEF))*NtoN2O*kgtoGg,"ERROR"))</f>
        <v>5.7871902377719815</v>
      </c>
      <c r="AA664" s="94">
        <f>IF('Net zero activities &amp; levers'!$C$9="Off",'Activity data'!AT47*ttokg*SNEF*NtoN2O*kgtoGg,IF('Net zero activities &amp; levers'!$C$9="On",(('Net zero supporting data'!R157*ttokg*'Net zero supporting data'!R181)+('Net zero supporting data'!R169*ttokg*SNEF))*NtoN2O*kgtoGg,"ERROR"))</f>
        <v>5.6707537118232665</v>
      </c>
      <c r="AB664" s="94">
        <f>IF('Net zero activities &amp; levers'!$C$9="Off",'Activity data'!AU47*ttokg*SNEF*NtoN2O*kgtoGg,IF('Net zero activities &amp; levers'!$C$9="On",(('Net zero supporting data'!S157*ttokg*'Net zero supporting data'!S181)+('Net zero supporting data'!S169*ttokg*SNEF))*NtoN2O*kgtoGg,"ERROR"))</f>
        <v>5.5544271779700249</v>
      </c>
      <c r="AC664" s="94">
        <f>IF('Net zero activities &amp; levers'!$C$9="Off",'Activity data'!AV47*ttokg*SNEF*NtoN2O*kgtoGg,IF('Net zero activities &amp; levers'!$C$9="On",(('Net zero supporting data'!T157*ttokg*'Net zero supporting data'!T181)+('Net zero supporting data'!T169*ttokg*SNEF))*NtoN2O*kgtoGg,"ERROR"))</f>
        <v>5.4379254658215954</v>
      </c>
      <c r="AD664" s="94">
        <f>IF('Net zero activities &amp; levers'!$C$9="Off",'Activity data'!AW47*ttokg*SNEF*NtoN2O*kgtoGg,IF('Net zero activities &amp; levers'!$C$9="On",(('Net zero supporting data'!U157*ttokg*'Net zero supporting data'!U181)+('Net zero supporting data'!U169*ttokg*SNEF))*NtoN2O*kgtoGg,"ERROR"))</f>
        <v>5.3215020208908337</v>
      </c>
      <c r="AE664" s="94">
        <f>IF('Net zero activities &amp; levers'!$C$9="Off",'Activity data'!AX47*ttokg*SNEF*NtoN2O*kgtoGg,IF('Net zero activities &amp; levers'!$C$9="On",(('Net zero supporting data'!V157*ttokg*'Net zero supporting data'!V181)+('Net zero supporting data'!V169*ttokg*SNEF))*NtoN2O*kgtoGg,"ERROR"))</f>
        <v>5.2050548671923318</v>
      </c>
      <c r="AF664" s="94">
        <f>IF('Net zero activities &amp; levers'!$C$9="Off",'Activity data'!AY47*ttokg*SNEF*NtoN2O*kgtoGg,IF('Net zero activities &amp; levers'!$C$9="On",(('Net zero supporting data'!W157*ttokg*'Net zero supporting data'!W181)+('Net zero supporting data'!W169*ttokg*SNEF))*NtoN2O*kgtoGg,"ERROR"))</f>
        <v>5.0884724881250269</v>
      </c>
      <c r="AG664" s="94">
        <f>IF('Net zero activities &amp; levers'!$C$9="Off",'Activity data'!AZ47*ttokg*SNEF*NtoN2O*kgtoGg,IF('Net zero activities &amp; levers'!$C$9="On",(('Net zero supporting data'!X157*ttokg*'Net zero supporting data'!X181)+('Net zero supporting data'!X169*ttokg*SNEF))*NtoN2O*kgtoGg,"ERROR"))</f>
        <v>4.9718729858707977</v>
      </c>
      <c r="AH664" s="94">
        <f>IF('Net zero activities &amp; levers'!$C$9="Off",'Activity data'!BA47*ttokg*SNEF*NtoN2O*kgtoGg,IF('Net zero activities &amp; levers'!$C$9="On",(('Net zero supporting data'!Y157*ttokg*'Net zero supporting data'!Y181)+('Net zero supporting data'!Y169*ttokg*SNEF))*NtoN2O*kgtoGg,"ERROR"))</f>
        <v>4.8551573762149358</v>
      </c>
      <c r="AI664" s="94">
        <f>IF('Net zero activities &amp; levers'!$C$9="Off",'Activity data'!BB47*ttokg*SNEF*NtoN2O*kgtoGg,IF('Net zero activities &amp; levers'!$C$9="On",(('Net zero supporting data'!Z157*ttokg*'Net zero supporting data'!Z181)+('Net zero supporting data'!Z169*ttokg*SNEF))*NtoN2O*kgtoGg,"ERROR"))</f>
        <v>4.7388191893034461</v>
      </c>
      <c r="AJ664" s="94">
        <f>IF('Net zero activities &amp; levers'!$C$9="Off",'Activity data'!BC47*ttokg*SNEF*NtoN2O*kgtoGg,IF('Net zero activities &amp; levers'!$C$9="On",(('Net zero supporting data'!AA157*ttokg*'Net zero supporting data'!AA181)+('Net zero supporting data'!AA169*ttokg*SNEF))*NtoN2O*kgtoGg,"ERROR"))</f>
        <v>4.6225895108237864</v>
      </c>
      <c r="AK664" s="94">
        <f>IF('Net zero activities &amp; levers'!$C$9="Off",'Activity data'!BD47*ttokg*SNEF*NtoN2O*kgtoGg,IF('Net zero activities &amp; levers'!$C$9="On",(('Net zero supporting data'!AB157*ttokg*'Net zero supporting data'!AB181)+('Net zero supporting data'!AB169*ttokg*SNEF))*NtoN2O*kgtoGg,"ERROR"))</f>
        <v>4.5063351855546454</v>
      </c>
      <c r="AL664" s="94">
        <f>IF('Net zero activities &amp; levers'!$C$9="Off",'Activity data'!BE47*ttokg*SNEF*NtoN2O*kgtoGg,IF('Net zero activities &amp; levers'!$C$9="On",(('Net zero supporting data'!AC157*ttokg*'Net zero supporting data'!AC181)+('Net zero supporting data'!AC169*ttokg*SNEF))*NtoN2O*kgtoGg,"ERROR"))</f>
        <v>4.3901845927077465</v>
      </c>
      <c r="AM664" s="94">
        <f>IF('Net zero activities &amp; levers'!$C$9="Off",'Activity data'!BF47*ttokg*SNEF*NtoN2O*kgtoGg,IF('Net zero activities &amp; levers'!$C$9="On",(('Net zero supporting data'!AD157*ttokg*'Net zero supporting data'!AD181)+('Net zero supporting data'!AD169*ttokg*SNEF))*NtoN2O*kgtoGg,"ERROR"))</f>
        <v>4.2740542474529546</v>
      </c>
      <c r="AN664" s="94">
        <f>IF('Net zero activities &amp; levers'!$C$9="Off",'Activity data'!BG47*ttokg*SNEF*NtoN2O*kgtoGg,IF('Net zero activities &amp; levers'!$C$9="On",(('Net zero supporting data'!AE157*ttokg*'Net zero supporting data'!AE181)+('Net zero supporting data'!AE169*ttokg*SNEF))*NtoN2O*kgtoGg,"ERROR"))</f>
        <v>4.2730298938155507</v>
      </c>
      <c r="AO664" s="94">
        <f>IF('Net zero activities &amp; levers'!$C$9="Off",'Activity data'!BH47*ttokg*SNEF*NtoN2O*kgtoGg,IF('Net zero activities &amp; levers'!$C$9="On",(('Net zero supporting data'!AF157*ttokg*'Net zero supporting data'!AF181)+('Net zero supporting data'!AF169*ttokg*SNEF))*NtoN2O*kgtoGg,"ERROR"))</f>
        <v>4.2718974633101565</v>
      </c>
      <c r="AP664" s="94">
        <f>IF('Net zero activities &amp; levers'!$C$9="Off",'Activity data'!BI47*ttokg*SNEF*NtoN2O*kgtoGg,IF('Net zero activities &amp; levers'!$C$9="On",(('Net zero supporting data'!AG157*ttokg*'Net zero supporting data'!AG181)+('Net zero supporting data'!AG169*ttokg*SNEF))*NtoN2O*kgtoGg,"ERROR"))</f>
        <v>4.2708226105062916</v>
      </c>
      <c r="AQ664" s="94">
        <f>IF('Net zero activities &amp; levers'!$C$9="Off",'Activity data'!BJ47*ttokg*SNEF*NtoN2O*kgtoGg,IF('Net zero activities &amp; levers'!$C$9="On",(('Net zero supporting data'!AH157*ttokg*'Net zero supporting data'!AH181)+('Net zero supporting data'!AH169*ttokg*SNEF))*NtoN2O*kgtoGg,"ERROR"))</f>
        <v>4.2697468771209452</v>
      </c>
      <c r="AR664" s="94">
        <f>IF('Net zero activities &amp; levers'!$C$9="Off",'Activity data'!BK47*ttokg*SNEF*NtoN2O*kgtoGg,IF('Net zero activities &amp; levers'!$C$9="On",(('Net zero supporting data'!AI157*ttokg*'Net zero supporting data'!AI181)+('Net zero supporting data'!AI169*ttokg*SNEF))*NtoN2O*kgtoGg,"ERROR"))</f>
        <v>4.2686562218910673</v>
      </c>
      <c r="AS664" s="94">
        <f>IF('Net zero activities &amp; levers'!$C$9="Off",'Activity data'!BL47*ttokg*SNEF*NtoN2O*kgtoGg,IF('Net zero activities &amp; levers'!$C$9="On",(('Net zero supporting data'!AJ157*ttokg*'Net zero supporting data'!AJ181)+('Net zero supporting data'!AJ169*ttokg*SNEF))*NtoN2O*kgtoGg,"ERROR"))</f>
        <v>4.2675462190832505</v>
      </c>
      <c r="AT664" s="94">
        <f>IF('Net zero activities &amp; levers'!$C$9="Off",'Activity data'!BM47*ttokg*SNEF*NtoN2O*kgtoGg,IF('Net zero activities &amp; levers'!$C$9="On",(('Net zero supporting data'!AK157*ttokg*'Net zero supporting data'!AK181)+('Net zero supporting data'!AK169*ttokg*SNEF))*NtoN2O*kgtoGg,"ERROR"))</f>
        <v>4.266317225487323</v>
      </c>
      <c r="AU664" s="94">
        <f>IF('Net zero activities &amp; levers'!$C$9="Off",'Activity data'!BN47*ttokg*SNEF*NtoN2O*kgtoGg,IF('Net zero activities &amp; levers'!$C$9="On",(('Net zero supporting data'!AL157*ttokg*'Net zero supporting data'!AL181)+('Net zero supporting data'!AL169*ttokg*SNEF))*NtoN2O*kgtoGg,"ERROR"))</f>
        <v>4.2654552920617217</v>
      </c>
      <c r="AV664" s="94">
        <f>IF('Net zero activities &amp; levers'!$C$9="Off",'Activity data'!BO47*ttokg*SNEF*NtoN2O*kgtoGg,IF('Net zero activities &amp; levers'!$C$9="On",(('Net zero supporting data'!AM157*ttokg*'Net zero supporting data'!AM181)+('Net zero supporting data'!AM169*ttokg*SNEF))*NtoN2O*kgtoGg,"ERROR"))</f>
        <v>4.2646242236458551</v>
      </c>
      <c r="AW664" s="94">
        <f>IF('Net zero activities &amp; levers'!$C$9="Off",'Activity data'!BP47*ttokg*SNEF*NtoN2O*kgtoGg,IF('Net zero activities &amp; levers'!$C$9="On",(('Net zero supporting data'!AN157*ttokg*'Net zero supporting data'!AN181)+('Net zero supporting data'!AN169*ttokg*SNEF))*NtoN2O*kgtoGg,"ERROR"))</f>
        <v>4.2637864182715699</v>
      </c>
      <c r="AY664" s="79"/>
      <c r="AZ664" s="79"/>
    </row>
    <row r="665" spans="1:52" x14ac:dyDescent="0.2">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4.2822905008939115E-2</v>
      </c>
      <c r="U665" s="94">
        <f>IF('Net zero activities &amp; levers'!$C$9="Off",'Activity data'!AN48*ttokg*SNEF*NtoN2O*kgtoGg,IF('Net zero activities &amp; levers'!$C$9="On",(('Net zero supporting data'!L158*ttokg*'Net zero supporting data'!L182)+('Net zero supporting data'!L170*ttokg*ONEF))*NtoN2O*kgtoGg,"ERROR"))</f>
        <v>4.204835611881113E-2</v>
      </c>
      <c r="V665" s="94">
        <f>IF('Net zero activities &amp; levers'!$C$9="Off",'Activity data'!AO48*ttokg*SNEF*NtoN2O*kgtoGg,IF('Net zero activities &amp; levers'!$C$9="On",(('Net zero supporting data'!M158*ttokg*'Net zero supporting data'!M182)+('Net zero supporting data'!M170*ttokg*ONEF))*NtoN2O*kgtoGg,"ERROR"))</f>
        <v>4.1276752497398261E-2</v>
      </c>
      <c r="W665" s="94">
        <f>IF('Net zero activities &amp; levers'!$C$9="Off",'Activity data'!AP48*ttokg*SNEF*NtoN2O*kgtoGg,IF('Net zero activities &amp; levers'!$C$9="On",(('Net zero supporting data'!N158*ttokg*'Net zero supporting data'!N182)+('Net zero supporting data'!N170*ttokg*ONEF))*NtoN2O*kgtoGg,"ERROR"))</f>
        <v>4.050614529138858E-2</v>
      </c>
      <c r="X665" s="94">
        <f>IF('Net zero activities &amp; levers'!$C$9="Off",'Activity data'!AQ48*ttokg*SNEF*NtoN2O*kgtoGg,IF('Net zero activities &amp; levers'!$C$9="On",(('Net zero supporting data'!O158*ttokg*'Net zero supporting data'!O182)+('Net zero supporting data'!O170*ttokg*ONEF))*NtoN2O*kgtoGg,"ERROR"))</f>
        <v>3.9734895914729229E-2</v>
      </c>
      <c r="Y665" s="94">
        <f>IF('Net zero activities &amp; levers'!$C$9="Off",'Activity data'!AR48*ttokg*SNEF*NtoN2O*kgtoGg,IF('Net zero activities &amp; levers'!$C$9="On",(('Net zero supporting data'!P158*ttokg*'Net zero supporting data'!P182)+('Net zero supporting data'!P170*ttokg*ONEF))*NtoN2O*kgtoGg,"ERROR"))</f>
        <v>3.8964568941772845E-2</v>
      </c>
      <c r="Z665" s="94">
        <f>IF('Net zero activities &amp; levers'!$C$9="Off",'Activity data'!AS48*ttokg*SNEF*NtoN2O*kgtoGg,IF('Net zero activities &amp; levers'!$C$9="On",(('Net zero supporting data'!Q158*ttokg*'Net zero supporting data'!Q182)+('Net zero supporting data'!Q170*ttokg*ONEF))*NtoN2O*kgtoGg,"ERROR"))</f>
        <v>3.8195455569295073E-2</v>
      </c>
      <c r="AA665" s="94">
        <f>IF('Net zero activities &amp; levers'!$C$9="Off",'Activity data'!AT48*ttokg*SNEF*NtoN2O*kgtoGg,IF('Net zero activities &amp; levers'!$C$9="On",(('Net zero supporting data'!R158*ttokg*'Net zero supporting data'!R182)+('Net zero supporting data'!R170*ttokg*ONEF))*NtoN2O*kgtoGg,"ERROR"))</f>
        <v>3.7426974498033561E-2</v>
      </c>
      <c r="AB665" s="94">
        <f>IF('Net zero activities &amp; levers'!$C$9="Off",'Activity data'!AU48*ttokg*SNEF*NtoN2O*kgtoGg,IF('Net zero activities &amp; levers'!$C$9="On",(('Net zero supporting data'!S158*ttokg*'Net zero supporting data'!S182)+('Net zero supporting data'!S170*ttokg*ONEF))*NtoN2O*kgtoGg,"ERROR"))</f>
        <v>3.6659219374602169E-2</v>
      </c>
      <c r="AC665" s="94">
        <f>IF('Net zero activities &amp; levers'!$C$9="Off",'Activity data'!AV48*ttokg*SNEF*NtoN2O*kgtoGg,IF('Net zero activities &amp; levers'!$C$9="On",(('Net zero supporting data'!T158*ttokg*'Net zero supporting data'!T182)+('Net zero supporting data'!T170*ttokg*ONEF))*NtoN2O*kgtoGg,"ERROR"))</f>
        <v>3.5890308074422533E-2</v>
      </c>
      <c r="AD665" s="94">
        <f>IF('Net zero activities &amp; levers'!$C$9="Off",'Activity data'!AW48*ttokg*SNEF*NtoN2O*kgtoGg,IF('Net zero activities &amp; levers'!$C$9="On",(('Net zero supporting data'!U158*ttokg*'Net zero supporting data'!U182)+('Net zero supporting data'!U170*ttokg*ONEF))*NtoN2O*kgtoGg,"ERROR"))</f>
        <v>3.51219133378795E-2</v>
      </c>
      <c r="AE665" s="94">
        <f>IF('Net zero activities &amp; levers'!$C$9="Off",'Activity data'!AX48*ttokg*SNEF*NtoN2O*kgtoGg,IF('Net zero activities &amp; levers'!$C$9="On",(('Net zero supporting data'!V158*ttokg*'Net zero supporting data'!V182)+('Net zero supporting data'!V170*ttokg*ONEF))*NtoN2O*kgtoGg,"ERROR"))</f>
        <v>3.4353362123469393E-2</v>
      </c>
      <c r="AF665" s="94">
        <f>IF('Net zero activities &amp; levers'!$C$9="Off",'Activity data'!AY48*ttokg*SNEF*NtoN2O*kgtoGg,IF('Net zero activities &amp; levers'!$C$9="On",(('Net zero supporting data'!W158*ttokg*'Net zero supporting data'!W182)+('Net zero supporting data'!W170*ttokg*ONEF))*NtoN2O*kgtoGg,"ERROR"))</f>
        <v>3.358391842162519E-2</v>
      </c>
      <c r="AG665" s="94">
        <f>IF('Net zero activities &amp; levers'!$C$9="Off",'Activity data'!AZ48*ttokg*SNEF*NtoN2O*kgtoGg,IF('Net zero activities &amp; levers'!$C$9="On",(('Net zero supporting data'!X158*ttokg*'Net zero supporting data'!X182)+('Net zero supporting data'!X170*ttokg*ONEF))*NtoN2O*kgtoGg,"ERROR"))</f>
        <v>3.2814361706747279E-2</v>
      </c>
      <c r="AH665" s="94">
        <f>IF('Net zero activities &amp; levers'!$C$9="Off",'Activity data'!BA48*ttokg*SNEF*NtoN2O*kgtoGg,IF('Net zero activities &amp; levers'!$C$9="On",(('Net zero supporting data'!Y158*ttokg*'Net zero supporting data'!Y182)+('Net zero supporting data'!Y170*ttokg*ONEF))*NtoN2O*kgtoGg,"ERROR"))</f>
        <v>3.2044038683018583E-2</v>
      </c>
      <c r="AI665" s="94">
        <f>IF('Net zero activities &amp; levers'!$C$9="Off",'Activity data'!BB48*ttokg*SNEF*NtoN2O*kgtoGg,IF('Net zero activities &amp; levers'!$C$9="On",(('Net zero supporting data'!Z158*ttokg*'Net zero supporting data'!Z182)+('Net zero supporting data'!Z170*ttokg*ONEF))*NtoN2O*kgtoGg,"ERROR"))</f>
        <v>3.1276206649402755E-2</v>
      </c>
      <c r="AJ665" s="94">
        <f>IF('Net zero activities &amp; levers'!$C$9="Off",'Activity data'!BC48*ttokg*SNEF*NtoN2O*kgtoGg,IF('Net zero activities &amp; levers'!$C$9="On",(('Net zero supporting data'!AA158*ttokg*'Net zero supporting data'!AA182)+('Net zero supporting data'!AA170*ttokg*ONEF))*NtoN2O*kgtoGg,"ERROR"))</f>
        <v>3.0509090771436993E-2</v>
      </c>
      <c r="AK665" s="94">
        <f>IF('Net zero activities &amp; levers'!$C$9="Off",'Activity data'!BD48*ttokg*SNEF*NtoN2O*kgtoGg,IF('Net zero activities &amp; levers'!$C$9="On",(('Net zero supporting data'!AB158*ttokg*'Net zero supporting data'!AB182)+('Net zero supporting data'!AB170*ttokg*ONEF))*NtoN2O*kgtoGg,"ERROR"))</f>
        <v>2.9741812224660671E-2</v>
      </c>
      <c r="AL665" s="94">
        <f>IF('Net zero activities &amp; levers'!$C$9="Off",'Activity data'!BE48*ttokg*SNEF*NtoN2O*kgtoGg,IF('Net zero activities &amp; levers'!$C$9="On",(('Net zero supporting data'!AC158*ttokg*'Net zero supporting data'!AC182)+('Net zero supporting data'!AC170*ttokg*ONEF))*NtoN2O*kgtoGg,"ERROR"))</f>
        <v>2.8975218311871134E-2</v>
      </c>
      <c r="AM665" s="94">
        <f>IF('Net zero activities &amp; levers'!$C$9="Off",'Activity data'!BF48*ttokg*SNEF*NtoN2O*kgtoGg,IF('Net zero activities &amp; levers'!$C$9="On",(('Net zero supporting data'!AD158*ttokg*'Net zero supporting data'!AD182)+('Net zero supporting data'!AD170*ttokg*ONEF))*NtoN2O*kgtoGg,"ERROR"))</f>
        <v>2.8208758033189511E-2</v>
      </c>
      <c r="AN665" s="94">
        <f>IF('Net zero activities &amp; levers'!$C$9="Off",'Activity data'!BG48*ttokg*SNEF*NtoN2O*kgtoGg,IF('Net zero activities &amp; levers'!$C$9="On",(('Net zero supporting data'!AE158*ttokg*'Net zero supporting data'!AE182)+('Net zero supporting data'!AE170*ttokg*ONEF))*NtoN2O*kgtoGg,"ERROR"))</f>
        <v>2.8201997299182647E-2</v>
      </c>
      <c r="AO665" s="94">
        <f>IF('Net zero activities &amp; levers'!$C$9="Off",'Activity data'!BH48*ttokg*SNEF*NtoN2O*kgtoGg,IF('Net zero activities &amp; levers'!$C$9="On",(('Net zero supporting data'!AF158*ttokg*'Net zero supporting data'!AF182)+('Net zero supporting data'!AF170*ttokg*ONEF))*NtoN2O*kgtoGg,"ERROR"))</f>
        <v>2.8194523257847041E-2</v>
      </c>
      <c r="AP665" s="94">
        <f>IF('Net zero activities &amp; levers'!$C$9="Off",'Activity data'!BI48*ttokg*SNEF*NtoN2O*kgtoGg,IF('Net zero activities &amp; levers'!$C$9="On",(('Net zero supporting data'!AG158*ttokg*'Net zero supporting data'!AG182)+('Net zero supporting data'!AG170*ttokg*ONEF))*NtoN2O*kgtoGg,"ERROR"))</f>
        <v>2.8187429229341532E-2</v>
      </c>
      <c r="AQ665" s="94">
        <f>IF('Net zero activities &amp; levers'!$C$9="Off",'Activity data'!BJ48*ttokg*SNEF*NtoN2O*kgtoGg,IF('Net zero activities &amp; levers'!$C$9="On",(('Net zero supporting data'!AH158*ttokg*'Net zero supporting data'!AH182)+('Net zero supporting data'!AH170*ttokg*ONEF))*NtoN2O*kgtoGg,"ERROR"))</f>
        <v>2.8180329388998247E-2</v>
      </c>
      <c r="AR665" s="94">
        <f>IF('Net zero activities &amp; levers'!$C$9="Off",'Activity data'!BK48*ttokg*SNEF*NtoN2O*kgtoGg,IF('Net zero activities &amp; levers'!$C$9="On",(('Net zero supporting data'!AI158*ttokg*'Net zero supporting data'!AI182)+('Net zero supporting data'!AI170*ttokg*ONEF))*NtoN2O*kgtoGg,"ERROR"))</f>
        <v>2.817313106448105E-2</v>
      </c>
      <c r="AS665" s="94">
        <f>IF('Net zero activities &amp; levers'!$C$9="Off",'Activity data'!BL48*ttokg*SNEF*NtoN2O*kgtoGg,IF('Net zero activities &amp; levers'!$C$9="On",(('Net zero supporting data'!AJ158*ttokg*'Net zero supporting data'!AJ182)+('Net zero supporting data'!AJ170*ttokg*ONEF))*NtoN2O*kgtoGg,"ERROR"))</f>
        <v>2.8165805045949458E-2</v>
      </c>
      <c r="AT665" s="94">
        <f>IF('Net zero activities &amp; levers'!$C$9="Off",'Activity data'!BM48*ttokg*SNEF*NtoN2O*kgtoGg,IF('Net zero activities &amp; levers'!$C$9="On",(('Net zero supporting data'!AK158*ttokg*'Net zero supporting data'!AK182)+('Net zero supporting data'!AK170*ttokg*ONEF))*NtoN2O*kgtoGg,"ERROR"))</f>
        <v>2.8157693688216343E-2</v>
      </c>
      <c r="AU665" s="94">
        <f>IF('Net zero activities &amp; levers'!$C$9="Off",'Activity data'!BN48*ttokg*SNEF*NtoN2O*kgtoGg,IF('Net zero activities &amp; levers'!$C$9="On",(('Net zero supporting data'!AL158*ttokg*'Net zero supporting data'!AL182)+('Net zero supporting data'!AL170*ttokg*ONEF))*NtoN2O*kgtoGg,"ERROR"))</f>
        <v>2.8152004927607371E-2</v>
      </c>
      <c r="AV665" s="94">
        <f>IF('Net zero activities &amp; levers'!$C$9="Off",'Activity data'!BO48*ttokg*SNEF*NtoN2O*kgtoGg,IF('Net zero activities &amp; levers'!$C$9="On",(('Net zero supporting data'!AM158*ttokg*'Net zero supporting data'!AM182)+('Net zero supporting data'!AM170*ttokg*ONEF))*NtoN2O*kgtoGg,"ERROR"))</f>
        <v>2.8146519876062648E-2</v>
      </c>
      <c r="AW665" s="94">
        <f>IF('Net zero activities &amp; levers'!$C$9="Off",'Activity data'!BP48*ttokg*SNEF*NtoN2O*kgtoGg,IF('Net zero activities &amp; levers'!$C$9="On",(('Net zero supporting data'!AN158*ttokg*'Net zero supporting data'!AN182)+('Net zero supporting data'!AN170*ttokg*ONEF))*NtoN2O*kgtoGg,"ERROR"))</f>
        <v>2.8140990360592363E-2</v>
      </c>
      <c r="AY665" s="79"/>
      <c r="AZ665" s="79"/>
    </row>
    <row r="666" spans="1:52" x14ac:dyDescent="0.2">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2.968676648093143</v>
      </c>
      <c r="U666" s="27">
        <f t="shared" si="144"/>
        <v>2.9825082583829583</v>
      </c>
      <c r="V666" s="27">
        <f t="shared" si="144"/>
        <v>2.9933346622173946</v>
      </c>
      <c r="W666" s="27">
        <f t="shared" si="144"/>
        <v>3.0033565813928953</v>
      </c>
      <c r="X666" s="27">
        <f t="shared" si="144"/>
        <v>3.0145589479472883</v>
      </c>
      <c r="Y666" s="27">
        <f t="shared" si="144"/>
        <v>3.0250336120057435</v>
      </c>
      <c r="Z666" s="27">
        <f t="shared" si="144"/>
        <v>3.0343616658849326</v>
      </c>
      <c r="AA666" s="27">
        <f t="shared" si="144"/>
        <v>3.0432376902631781</v>
      </c>
      <c r="AB666" s="27">
        <f t="shared" si="144"/>
        <v>3.0515077861767024</v>
      </c>
      <c r="AC666" s="27">
        <f t="shared" si="144"/>
        <v>3.0617139574874526</v>
      </c>
      <c r="AD666" s="27">
        <f t="shared" si="144"/>
        <v>3.0716388969147959</v>
      </c>
      <c r="AE666" s="27">
        <f t="shared" si="144"/>
        <v>3.0822275993217993</v>
      </c>
      <c r="AF666" s="27">
        <f t="shared" si="144"/>
        <v>3.0946028925022198</v>
      </c>
      <c r="AG666" s="27">
        <f t="shared" si="144"/>
        <v>3.1077211921821801</v>
      </c>
      <c r="AH666" s="27">
        <f t="shared" si="144"/>
        <v>3.122637390743785</v>
      </c>
      <c r="AI666" s="27">
        <f t="shared" si="144"/>
        <v>3.1343652344778912</v>
      </c>
      <c r="AJ666" s="27">
        <f t="shared" si="144"/>
        <v>3.1455242459932262</v>
      </c>
      <c r="AK666" s="27">
        <f t="shared" si="144"/>
        <v>3.1575220431438074</v>
      </c>
      <c r="AL666" s="27">
        <f t="shared" si="144"/>
        <v>3.1689887533313184</v>
      </c>
      <c r="AM666" s="27">
        <f t="shared" si="144"/>
        <v>3.1808403476591942</v>
      </c>
      <c r="AN666" s="27">
        <f t="shared" si="144"/>
        <v>3.1926055806550666</v>
      </c>
      <c r="AO666" s="27">
        <f t="shared" si="144"/>
        <v>3.2056121325538434</v>
      </c>
      <c r="AP666" s="27">
        <f t="shared" si="144"/>
        <v>3.217957374677253</v>
      </c>
      <c r="AQ666" s="27">
        <f t="shared" si="144"/>
        <v>3.2303127307358399</v>
      </c>
      <c r="AR666" s="27">
        <f t="shared" si="144"/>
        <v>3.24283947192085</v>
      </c>
      <c r="AS666" s="27">
        <f t="shared" si="144"/>
        <v>3.2555884300766866</v>
      </c>
      <c r="AT666" s="27">
        <f t="shared" si="144"/>
        <v>3.2697040591705311</v>
      </c>
      <c r="AU666" s="27">
        <f t="shared" si="144"/>
        <v>3.2796038117645905</v>
      </c>
      <c r="AV666" s="27">
        <f t="shared" si="144"/>
        <v>3.2891490637080194</v>
      </c>
      <c r="AW666" s="27">
        <f t="shared" si="144"/>
        <v>3.2987716931142437</v>
      </c>
      <c r="AY666" s="79"/>
      <c r="AZ666" s="79"/>
    </row>
    <row r="667" spans="1:52" x14ac:dyDescent="0.2">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0.32056321299147922</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0.32579638434951891</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0.32880601635823298</v>
      </c>
      <c r="S667" s="94">
        <f>IF('Net zero activities &amp; levers'!$C$9="Off",'Activity data'!AL50*ManureNEF*NtoN2O*kgtoGg,IF('Net zero activities &amp; levers'!$C$9="On",(('Net zero supporting data'!J159*'Net zero supporting data'!J183)+('Net zero supporting data'!J171*ManureNEF))*NtoN2O*kgtoGg,"ERROR"))</f>
        <v>0.31980488008437191</v>
      </c>
      <c r="T667" s="94">
        <f>IF('Net zero activities &amp; levers'!$C$9="Off",'Activity data'!AM50*ManureNEF*NtoN2O*kgtoGg,IF('Net zero activities &amp; levers'!$C$9="On",(('Net zero supporting data'!K159*'Net zero supporting data'!K183)+('Net zero supporting data'!K171*ManureNEF))*NtoN2O*kgtoGg,"ERROR"))</f>
        <v>0.315276677664383</v>
      </c>
      <c r="U667" s="94">
        <f>IF('Net zero activities &amp; levers'!$C$9="Off",'Activity data'!AN50*ManureNEF*NtoN2O*kgtoGg,IF('Net zero activities &amp; levers'!$C$9="On",(('Net zero supporting data'!L159*'Net zero supporting data'!L183)+('Net zero supporting data'!L171*ManureNEF))*NtoN2O*kgtoGg,"ERROR"))</f>
        <v>0.3098984803260908</v>
      </c>
      <c r="V667" s="94">
        <f>IF('Net zero activities &amp; levers'!$C$9="Off",'Activity data'!AO50*ManureNEF*NtoN2O*kgtoGg,IF('Net zero activities &amp; levers'!$C$9="On",(('Net zero supporting data'!M159*'Net zero supporting data'!M183)+('Net zero supporting data'!M171*ManureNEF))*NtoN2O*kgtoGg,"ERROR"))</f>
        <v>0.30432789807351995</v>
      </c>
      <c r="W667" s="94">
        <f>IF('Net zero activities &amp; levers'!$C$9="Off",'Activity data'!AP50*ManureNEF*NtoN2O*kgtoGg,IF('Net zero activities &amp; levers'!$C$9="On",(('Net zero supporting data'!N159*'Net zero supporting data'!N183)+('Net zero supporting data'!N171*ManureNEF))*NtoN2O*kgtoGg,"ERROR"))</f>
        <v>0.29913023980527853</v>
      </c>
      <c r="X667" s="94">
        <f>IF('Net zero activities &amp; levers'!$C$9="Off",'Activity data'!AQ50*ManureNEF*NtoN2O*kgtoGg,IF('Net zero activities &amp; levers'!$C$9="On",(('Net zero supporting data'!O159*'Net zero supporting data'!O183)+('Net zero supporting data'!O171*ManureNEF))*NtoN2O*kgtoGg,"ERROR"))</f>
        <v>0.29375181160369557</v>
      </c>
      <c r="Y667" s="94">
        <f>IF('Net zero activities &amp; levers'!$C$9="Off",'Activity data'!AR50*ManureNEF*NtoN2O*kgtoGg,IF('Net zero activities &amp; levers'!$C$9="On",(('Net zero supporting data'!P159*'Net zero supporting data'!P183)+('Net zero supporting data'!P171*ManureNEF))*NtoN2O*kgtoGg,"ERROR"))</f>
        <v>0.2879001852594425</v>
      </c>
      <c r="Z667" s="94">
        <f>IF('Net zero activities &amp; levers'!$C$9="Off",'Activity data'!AS50*ManureNEF*NtoN2O*kgtoGg,IF('Net zero activities &amp; levers'!$C$9="On",(('Net zero supporting data'!Q159*'Net zero supporting data'!Q183)+('Net zero supporting data'!Q171*ManureNEF))*NtoN2O*kgtoGg,"ERROR"))</f>
        <v>0.28196216858270712</v>
      </c>
      <c r="AA667" s="94">
        <f>IF('Net zero activities &amp; levers'!$C$9="Off",'Activity data'!AT50*ManureNEF*NtoN2O*kgtoGg,IF('Net zero activities &amp; levers'!$C$9="On",(('Net zero supporting data'!R159*'Net zero supporting data'!R183)+('Net zero supporting data'!R171*ManureNEF))*NtoN2O*kgtoGg,"ERROR"))</f>
        <v>0.27589895617618609</v>
      </c>
      <c r="AB667" s="94">
        <f>IF('Net zero activities &amp; levers'!$C$9="Off",'Activity data'!AU50*ManureNEF*NtoN2O*kgtoGg,IF('Net zero activities &amp; levers'!$C$9="On",(('Net zero supporting data'!S159*'Net zero supporting data'!S183)+('Net zero supporting data'!S171*ManureNEF))*NtoN2O*kgtoGg,"ERROR"))</f>
        <v>0.27037748180487037</v>
      </c>
      <c r="AC667" s="94">
        <f>IF('Net zero activities &amp; levers'!$C$9="Off",'Activity data'!AV50*ManureNEF*NtoN2O*kgtoGg,IF('Net zero activities &amp; levers'!$C$9="On",(('Net zero supporting data'!T159*'Net zero supporting data'!T183)+('Net zero supporting data'!T171*ManureNEF))*NtoN2O*kgtoGg,"ERROR"))</f>
        <v>0.26479959105117107</v>
      </c>
      <c r="AD667" s="94">
        <f>IF('Net zero activities &amp; levers'!$C$9="Off",'Activity data'!AW50*ManureNEF*NtoN2O*kgtoGg,IF('Net zero activities &amp; levers'!$C$9="On",(('Net zero supporting data'!U159*'Net zero supporting data'!U183)+('Net zero supporting data'!U171*ManureNEF))*NtoN2O*kgtoGg,"ERROR"))</f>
        <v>0.26112597279389443</v>
      </c>
      <c r="AE667" s="94">
        <f>IF('Net zero activities &amp; levers'!$C$9="Off",'Activity data'!AX50*ManureNEF*NtoN2O*kgtoGg,IF('Net zero activities &amp; levers'!$C$9="On",(('Net zero supporting data'!V159*'Net zero supporting data'!V183)+('Net zero supporting data'!V171*ManureNEF))*NtoN2O*kgtoGg,"ERROR"))</f>
        <v>0.25786890220186781</v>
      </c>
      <c r="AF667" s="94">
        <f>IF('Net zero activities &amp; levers'!$C$9="Off",'Activity data'!AY50*ManureNEF*NtoN2O*kgtoGg,IF('Net zero activities &amp; levers'!$C$9="On",(('Net zero supporting data'!W159*'Net zero supporting data'!W183)+('Net zero supporting data'!W171*ManureNEF))*NtoN2O*kgtoGg,"ERROR"))</f>
        <v>0.25475298297397636</v>
      </c>
      <c r="AG667" s="94">
        <f>IF('Net zero activities &amp; levers'!$C$9="Off",'Activity data'!AZ50*ManureNEF*NtoN2O*kgtoGg,IF('Net zero activities &amp; levers'!$C$9="On",(('Net zero supporting data'!X159*'Net zero supporting data'!X183)+('Net zero supporting data'!X171*ManureNEF))*NtoN2O*kgtoGg,"ERROR"))</f>
        <v>0.2520347073635813</v>
      </c>
      <c r="AH667" s="94">
        <f>IF('Net zero activities &amp; levers'!$C$9="Off",'Activity data'!BA50*ManureNEF*NtoN2O*kgtoGg,IF('Net zero activities &amp; levers'!$C$9="On",(('Net zero supporting data'!Y159*'Net zero supporting data'!Y183)+('Net zero supporting data'!Y171*ManureNEF))*NtoN2O*kgtoGg,"ERROR"))</f>
        <v>0.24846182103970088</v>
      </c>
      <c r="AI667" s="94">
        <f>IF('Net zero activities &amp; levers'!$C$9="Off",'Activity data'!BB50*ManureNEF*NtoN2O*kgtoGg,IF('Net zero activities &amp; levers'!$C$9="On",(('Net zero supporting data'!Z159*'Net zero supporting data'!Z183)+('Net zero supporting data'!Z171*ManureNEF))*NtoN2O*kgtoGg,"ERROR"))</f>
        <v>0.24458767063424683</v>
      </c>
      <c r="AJ667" s="94">
        <f>IF('Net zero activities &amp; levers'!$C$9="Off",'Activity data'!BC50*ManureNEF*NtoN2O*kgtoGg,IF('Net zero activities &amp; levers'!$C$9="On",(('Net zero supporting data'!AA159*'Net zero supporting data'!AA183)+('Net zero supporting data'!AA171*ManureNEF))*NtoN2O*kgtoGg,"ERROR"))</f>
        <v>0.24086594452141413</v>
      </c>
      <c r="AK667" s="94">
        <f>IF('Net zero activities &amp; levers'!$C$9="Off",'Activity data'!BD50*ManureNEF*NtoN2O*kgtoGg,IF('Net zero activities &amp; levers'!$C$9="On",(('Net zero supporting data'!AB159*'Net zero supporting data'!AB183)+('Net zero supporting data'!AB171*ManureNEF))*NtoN2O*kgtoGg,"ERROR"))</f>
        <v>0.23695666381017716</v>
      </c>
      <c r="AL667" s="94">
        <f>IF('Net zero activities &amp; levers'!$C$9="Off",'Activity data'!BE50*ManureNEF*NtoN2O*kgtoGg,IF('Net zero activities &amp; levers'!$C$9="On",(('Net zero supporting data'!AC159*'Net zero supporting data'!AC183)+('Net zero supporting data'!AC171*ManureNEF))*NtoN2O*kgtoGg,"ERROR"))</f>
        <v>0.23307854947214299</v>
      </c>
      <c r="AM667" s="94">
        <f>IF('Net zero activities &amp; levers'!$C$9="Off",'Activity data'!BF50*ManureNEF*NtoN2O*kgtoGg,IF('Net zero activities &amp; levers'!$C$9="On",(('Net zero supporting data'!AD159*'Net zero supporting data'!AD183)+('Net zero supporting data'!AD171*ManureNEF))*NtoN2O*kgtoGg,"ERROR"))</f>
        <v>0.22911385641281884</v>
      </c>
      <c r="AN667" s="94">
        <f>IF('Net zero activities &amp; levers'!$C$9="Off",'Activity data'!BG50*ManureNEF*NtoN2O*kgtoGg,IF('Net zero activities &amp; levers'!$C$9="On",(('Net zero supporting data'!AE159*'Net zero supporting data'!AE183)+('Net zero supporting data'!AE171*ManureNEF))*NtoN2O*kgtoGg,"ERROR"))</f>
        <v>0.23151617274669048</v>
      </c>
      <c r="AO667" s="94">
        <f>IF('Net zero activities &amp; levers'!$C$9="Off",'Activity data'!BH50*ManureNEF*NtoN2O*kgtoGg,IF('Net zero activities &amp; levers'!$C$9="On",(('Net zero supporting data'!AF159*'Net zero supporting data'!AF183)+('Net zero supporting data'!AF171*ManureNEF))*NtoN2O*kgtoGg,"ERROR"))</f>
        <v>0.23381438661864784</v>
      </c>
      <c r="AP667" s="94">
        <f>IF('Net zero activities &amp; levers'!$C$9="Off",'Activity data'!BI50*ManureNEF*NtoN2O*kgtoGg,IF('Net zero activities &amp; levers'!$C$9="On",(('Net zero supporting data'!AG159*'Net zero supporting data'!AG183)+('Net zero supporting data'!AG171*ManureNEF))*NtoN2O*kgtoGg,"ERROR"))</f>
        <v>0.23616734363918257</v>
      </c>
      <c r="AQ667" s="94">
        <f>IF('Net zero activities &amp; levers'!$C$9="Off",'Activity data'!BJ50*ManureNEF*NtoN2O*kgtoGg,IF('Net zero activities &amp; levers'!$C$9="On",(('Net zero supporting data'!AH159*'Net zero supporting data'!AH183)+('Net zero supporting data'!AH171*ManureNEF))*NtoN2O*kgtoGg,"ERROR"))</f>
        <v>0.23861622918205244</v>
      </c>
      <c r="AR667" s="94">
        <f>IF('Net zero activities &amp; levers'!$C$9="Off",'Activity data'!BK50*ManureNEF*NtoN2O*kgtoGg,IF('Net zero activities &amp; levers'!$C$9="On",(('Net zero supporting data'!AI159*'Net zero supporting data'!AI183)+('Net zero supporting data'!AI171*ManureNEF))*NtoN2O*kgtoGg,"ERROR"))</f>
        <v>0.24117673951731031</v>
      </c>
      <c r="AS667" s="94">
        <f>IF('Net zero activities &amp; levers'!$C$9="Off",'Activity data'!BL50*ManureNEF*NtoN2O*kgtoGg,IF('Net zero activities &amp; levers'!$C$9="On",(('Net zero supporting data'!AJ159*'Net zero supporting data'!AJ183)+('Net zero supporting data'!AJ171*ManureNEF))*NtoN2O*kgtoGg,"ERROR"))</f>
        <v>0.24406258337358394</v>
      </c>
      <c r="AT667" s="94">
        <f>IF('Net zero activities &amp; levers'!$C$9="Off",'Activity data'!BM50*ManureNEF*NtoN2O*kgtoGg,IF('Net zero activities &amp; levers'!$C$9="On",(('Net zero supporting data'!AK159*'Net zero supporting data'!AK183)+('Net zero supporting data'!AK171*ManureNEF))*NtoN2O*kgtoGg,"ERROR"))</f>
        <v>0.24589965063027716</v>
      </c>
      <c r="AU667" s="94">
        <f>IF('Net zero activities &amp; levers'!$C$9="Off",'Activity data'!BN50*ManureNEF*NtoN2O*kgtoGg,IF('Net zero activities &amp; levers'!$C$9="On",(('Net zero supporting data'!AL159*'Net zero supporting data'!AL183)+('Net zero supporting data'!AL171*ManureNEF))*NtoN2O*kgtoGg,"ERROR"))</f>
        <v>0.24767762581203717</v>
      </c>
      <c r="AV667" s="94">
        <f>IF('Net zero activities &amp; levers'!$C$9="Off",'Activity data'!BO50*ManureNEF*NtoN2O*kgtoGg,IF('Net zero activities &amp; levers'!$C$9="On",(('Net zero supporting data'!AM159*'Net zero supporting data'!AM183)+('Net zero supporting data'!AM171*ManureNEF))*NtoN2O*kgtoGg,"ERROR"))</f>
        <v>0.24951020438537325</v>
      </c>
      <c r="AW667" s="94">
        <f>IF('Net zero activities &amp; levers'!$C$9="Off",'Activity data'!BP50*ManureNEF*NtoN2O*kgtoGg,IF('Net zero activities &amp; levers'!$C$9="On",(('Net zero supporting data'!AN159*'Net zero supporting data'!AN183)+('Net zero supporting data'!AN171*ManureNEF))*NtoN2O*kgtoGg,"ERROR"))</f>
        <v>0.25134915807477254</v>
      </c>
      <c r="AY667" s="79"/>
      <c r="AZ667" s="79"/>
    </row>
    <row r="668" spans="1:52" x14ac:dyDescent="0.2">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0.93731746283627526</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0.95261910289076102</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0.96141917889497119</v>
      </c>
      <c r="S668" s="94">
        <f>IF('Net zero activities &amp; levers'!$C$9="Off",'Activity data'!AL51*ManureNEF*NtoN2O*kgtoGg,IF('Net zero activities &amp; levers'!$C$9="On",(('Net zero supporting data'!J160*'Net zero supporting data'!J183)+('Net zero supporting data'!J172*ManureNEF))*NtoN2O*kgtoGg,"ERROR"))</f>
        <v>0.93510011958643091</v>
      </c>
      <c r="T668" s="94">
        <f>IF('Net zero activities &amp; levers'!$C$9="Off",'Activity data'!AM51*ManureNEF*NtoN2O*kgtoGg,IF('Net zero activities &amp; levers'!$C$9="On",(('Net zero supporting data'!K160*'Net zero supporting data'!K183)+('Net zero supporting data'!K172*ManureNEF))*NtoN2O*kgtoGg,"ERROR"))</f>
        <v>0.92185978809641034</v>
      </c>
      <c r="U668" s="94">
        <f>IF('Net zero activities &amp; levers'!$C$9="Off",'Activity data'!AN51*ManureNEF*NtoN2O*kgtoGg,IF('Net zero activities &amp; levers'!$C$9="On",(('Net zero supporting data'!L160*'Net zero supporting data'!L183)+('Net zero supporting data'!L172*ManureNEF))*NtoN2O*kgtoGg,"ERROR"))</f>
        <v>0.90613409631562947</v>
      </c>
      <c r="V668" s="94">
        <f>IF('Net zero activities &amp; levers'!$C$9="Off",'Activity data'!AO51*ManureNEF*NtoN2O*kgtoGg,IF('Net zero activities &amp; levers'!$C$9="On",(('Net zero supporting data'!M160*'Net zero supporting data'!M183)+('Net zero supporting data'!M172*ManureNEF))*NtoN2O*kgtoGg,"ERROR"))</f>
        <v>0.88984587667004211</v>
      </c>
      <c r="W668" s="94">
        <f>IF('Net zero activities &amp; levers'!$C$9="Off",'Activity data'!AP51*ManureNEF*NtoN2O*kgtoGg,IF('Net zero activities &amp; levers'!$C$9="On",(('Net zero supporting data'!N160*'Net zero supporting data'!N183)+('Net zero supporting data'!N172*ManureNEF))*NtoN2O*kgtoGg,"ERROR"))</f>
        <v>0.87464807585186943</v>
      </c>
      <c r="X668" s="94">
        <f>IF('Net zero activities &amp; levers'!$C$9="Off",'Activity data'!AQ51*ManureNEF*NtoN2O*kgtoGg,IF('Net zero activities &amp; levers'!$C$9="On",(('Net zero supporting data'!O160*'Net zero supporting data'!O183)+('Net zero supporting data'!O172*ManureNEF))*NtoN2O*kgtoGg,"ERROR"))</f>
        <v>0.85892170903357568</v>
      </c>
      <c r="Y668" s="94">
        <f>IF('Net zero activities &amp; levers'!$C$9="Off",'Activity data'!AR51*ManureNEF*NtoN2O*kgtoGg,IF('Net zero activities &amp; levers'!$C$9="On",(('Net zero supporting data'!P160*'Net zero supporting data'!P183)+('Net zero supporting data'!P172*ManureNEF))*NtoN2O*kgtoGg,"ERROR"))</f>
        <v>0.84181172468048315</v>
      </c>
      <c r="Z668" s="94">
        <f>IF('Net zero activities &amp; levers'!$C$9="Off",'Activity data'!AS51*ManureNEF*NtoN2O*kgtoGg,IF('Net zero activities &amp; levers'!$C$9="On",(('Net zero supporting data'!Q160*'Net zero supporting data'!Q183)+('Net zero supporting data'!Q172*ManureNEF))*NtoN2O*kgtoGg,"ERROR"))</f>
        <v>0.82444913752091109</v>
      </c>
      <c r="AA668" s="94">
        <f>IF('Net zero activities &amp; levers'!$C$9="Off",'Activity data'!AT51*ManureNEF*NtoN2O*kgtoGg,IF('Net zero activities &amp; levers'!$C$9="On",(('Net zero supporting data'!R160*'Net zero supporting data'!R183)+('Net zero supporting data'!R172*ManureNEF))*NtoN2O*kgtoGg,"ERROR"))</f>
        <v>0.80672048170765409</v>
      </c>
      <c r="AB668" s="94">
        <f>IF('Net zero activities &amp; levers'!$C$9="Off",'Activity data'!AU51*ManureNEF*NtoN2O*kgtoGg,IF('Net zero activities &amp; levers'!$C$9="On",(('Net zero supporting data'!S160*'Net zero supporting data'!S183)+('Net zero supporting data'!S172*ManureNEF))*NtoN2O*kgtoGg,"ERROR"))</f>
        <v>0.79057585207114345</v>
      </c>
      <c r="AC668" s="94">
        <f>IF('Net zero activities &amp; levers'!$C$9="Off",'Activity data'!AV51*ManureNEF*NtoN2O*kgtoGg,IF('Net zero activities &amp; levers'!$C$9="On",(('Net zero supporting data'!T160*'Net zero supporting data'!T183)+('Net zero supporting data'!T172*ManureNEF))*NtoN2O*kgtoGg,"ERROR"))</f>
        <v>0.7742662625819271</v>
      </c>
      <c r="AD668" s="94">
        <f>IF('Net zero activities &amp; levers'!$C$9="Off",'Activity data'!AW51*ManureNEF*NtoN2O*kgtoGg,IF('Net zero activities &amp; levers'!$C$9="On",(('Net zero supporting data'!U160*'Net zero supporting data'!U183)+('Net zero supporting data'!U172*ManureNEF))*NtoN2O*kgtoGg,"ERROR"))</f>
        <v>0.76352471019914925</v>
      </c>
      <c r="AE668" s="94">
        <f>IF('Net zero activities &amp; levers'!$C$9="Off",'Activity data'!AX51*ManureNEF*NtoN2O*kgtoGg,IF('Net zero activities &amp; levers'!$C$9="On",(('Net zero supporting data'!V160*'Net zero supporting data'!V183)+('Net zero supporting data'!V172*ManureNEF))*NtoN2O*kgtoGg,"ERROR"))</f>
        <v>0.75400113101142074</v>
      </c>
      <c r="AF668" s="94">
        <f>IF('Net zero activities &amp; levers'!$C$9="Off",'Activity data'!AY51*ManureNEF*NtoN2O*kgtoGg,IF('Net zero activities &amp; levers'!$C$9="On",(('Net zero supporting data'!W160*'Net zero supporting data'!W183)+('Net zero supporting data'!W172*ManureNEF))*NtoN2O*kgtoGg,"ERROR"))</f>
        <v>0.74489027428573784</v>
      </c>
      <c r="AG668" s="94">
        <f>IF('Net zero activities &amp; levers'!$C$9="Off",'Activity data'!AZ51*ManureNEF*NtoN2O*kgtoGg,IF('Net zero activities &amp; levers'!$C$9="On",(('Net zero supporting data'!X160*'Net zero supporting data'!X183)+('Net zero supporting data'!X172*ManureNEF))*NtoN2O*kgtoGg,"ERROR"))</f>
        <v>0.73694211587214908</v>
      </c>
      <c r="AH668" s="94">
        <f>IF('Net zero activities &amp; levers'!$C$9="Off",'Activity data'!BA51*ManureNEF*NtoN2O*kgtoGg,IF('Net zero activities &amp; levers'!$C$9="On",(('Net zero supporting data'!Y160*'Net zero supporting data'!Y183)+('Net zero supporting data'!Y172*ManureNEF))*NtoN2O*kgtoGg,"ERROR"))</f>
        <v>0.7264951007176339</v>
      </c>
      <c r="AI668" s="94">
        <f>IF('Net zero activities &amp; levers'!$C$9="Off",'Activity data'!BB51*ManureNEF*NtoN2O*kgtoGg,IF('Net zero activities &amp; levers'!$C$9="On",(('Net zero supporting data'!Z160*'Net zero supporting data'!Z183)+('Net zero supporting data'!Z172*ManureNEF))*NtoN2O*kgtoGg,"ERROR"))</f>
        <v>0.71516719819632135</v>
      </c>
      <c r="AJ668" s="94">
        <f>IF('Net zero activities &amp; levers'!$C$9="Off",'Activity data'!BC51*ManureNEF*NtoN2O*kgtoGg,IF('Net zero activities &amp; levers'!$C$9="On",(('Net zero supporting data'!AA160*'Net zero supporting data'!AA183)+('Net zero supporting data'!AA172*ManureNEF))*NtoN2O*kgtoGg,"ERROR"))</f>
        <v>0.7042849798503733</v>
      </c>
      <c r="AK668" s="94">
        <f>IF('Net zero activities &amp; levers'!$C$9="Off",'Activity data'!BD51*ManureNEF*NtoN2O*kgtoGg,IF('Net zero activities &amp; levers'!$C$9="On",(('Net zero supporting data'!AB160*'Net zero supporting data'!AB183)+('Net zero supporting data'!AB172*ManureNEF))*NtoN2O*kgtoGg,"ERROR"))</f>
        <v>0.69285435734201717</v>
      </c>
      <c r="AL668" s="94">
        <f>IF('Net zero activities &amp; levers'!$C$9="Off",'Activity data'!BE51*ManureNEF*NtoN2O*kgtoGg,IF('Net zero activities &amp; levers'!$C$9="On",(('Net zero supporting data'!AC160*'Net zero supporting data'!AC183)+('Net zero supporting data'!AC172*ManureNEF))*NtoN2O*kgtoGg,"ERROR"))</f>
        <v>0.68151486439772901</v>
      </c>
      <c r="AM668" s="94">
        <f>IF('Net zero activities &amp; levers'!$C$9="Off",'Activity data'!BF51*ManureNEF*NtoN2O*kgtoGg,IF('Net zero activities &amp; levers'!$C$9="On",(('Net zero supporting data'!AD160*'Net zero supporting data'!AD183)+('Net zero supporting data'!AD172*ManureNEF))*NtoN2O*kgtoGg,"ERROR"))</f>
        <v>0.66992221780359518</v>
      </c>
      <c r="AN668" s="94">
        <f>IF('Net zero activities &amp; levers'!$C$9="Off",'Activity data'!BG51*ManureNEF*NtoN2O*kgtoGg,IF('Net zero activities &amp; levers'!$C$9="On",(('Net zero supporting data'!AE160*'Net zero supporting data'!AE183)+('Net zero supporting data'!AE172*ManureNEF))*NtoN2O*kgtoGg,"ERROR"))</f>
        <v>0.67694652052998006</v>
      </c>
      <c r="AO668" s="94">
        <f>IF('Net zero activities &amp; levers'!$C$9="Off",'Activity data'!BH51*ManureNEF*NtoN2O*kgtoGg,IF('Net zero activities &amp; levers'!$C$9="On",(('Net zero supporting data'!AF160*'Net zero supporting data'!AF183)+('Net zero supporting data'!AF172*ManureNEF))*NtoN2O*kgtoGg,"ERROR"))</f>
        <v>0.68366643070125543</v>
      </c>
      <c r="AP668" s="94">
        <f>IF('Net zero activities &amp; levers'!$C$9="Off",'Activity data'!BI51*ManureNEF*NtoN2O*kgtoGg,IF('Net zero activities &amp; levers'!$C$9="On",(('Net zero supporting data'!AG160*'Net zero supporting data'!AG183)+('Net zero supporting data'!AG172*ManureNEF))*NtoN2O*kgtoGg,"ERROR"))</f>
        <v>0.69054640823850655</v>
      </c>
      <c r="AQ668" s="94">
        <f>IF('Net zero activities &amp; levers'!$C$9="Off",'Activity data'!BJ51*ManureNEF*NtoN2O*kgtoGg,IF('Net zero activities &amp; levers'!$C$9="On",(('Net zero supporting data'!AH160*'Net zero supporting data'!AH183)+('Net zero supporting data'!AH172*ManureNEF))*NtoN2O*kgtoGg,"ERROR"))</f>
        <v>0.6977068779705099</v>
      </c>
      <c r="AR668" s="94">
        <f>IF('Net zero activities &amp; levers'!$C$9="Off",'Activity data'!BK51*ManureNEF*NtoN2O*kgtoGg,IF('Net zero activities &amp; levers'!$C$9="On",(('Net zero supporting data'!AI160*'Net zero supporting data'!AI183)+('Net zero supporting data'!AI172*ManureNEF))*NtoN2O*kgtoGg,"ERROR"))</f>
        <v>0.70519373533200547</v>
      </c>
      <c r="AS668" s="94">
        <f>IF('Net zero activities &amp; levers'!$C$9="Off",'Activity data'!BL51*ManureNEF*NtoN2O*kgtoGg,IF('Net zero activities &amp; levers'!$C$9="On",(('Net zero supporting data'!AJ160*'Net zero supporting data'!AJ183)+('Net zero supporting data'!AJ172*ManureNEF))*NtoN2O*kgtoGg,"ERROR"))</f>
        <v>0.71363185839753618</v>
      </c>
      <c r="AT668" s="94">
        <f>IF('Net zero activities &amp; levers'!$C$9="Off",'Activity data'!BM51*ManureNEF*NtoN2O*kgtoGg,IF('Net zero activities &amp; levers'!$C$9="On",(('Net zero supporting data'!AK160*'Net zero supporting data'!AK183)+('Net zero supporting data'!AK172*ManureNEF))*NtoN2O*kgtoGg,"ERROR"))</f>
        <v>0.71900338934781116</v>
      </c>
      <c r="AU668" s="94">
        <f>IF('Net zero activities &amp; levers'!$C$9="Off",'Activity data'!BN51*ManureNEF*NtoN2O*kgtoGg,IF('Net zero activities &amp; levers'!$C$9="On",(('Net zero supporting data'!AL160*'Net zero supporting data'!AL183)+('Net zero supporting data'!AL172*ManureNEF))*NtoN2O*kgtoGg,"ERROR"))</f>
        <v>0.72420213679859069</v>
      </c>
      <c r="AV668" s="94">
        <f>IF('Net zero activities &amp; levers'!$C$9="Off",'Activity data'!BO51*ManureNEF*NtoN2O*kgtoGg,IF('Net zero activities &amp; levers'!$C$9="On",(('Net zero supporting data'!AM160*'Net zero supporting data'!AM183)+('Net zero supporting data'!AM172*ManureNEF))*NtoN2O*kgtoGg,"ERROR"))</f>
        <v>0.72956054296995998</v>
      </c>
      <c r="AW668" s="94">
        <f>IF('Net zero activities &amp; levers'!$C$9="Off",'Activity data'!BP51*ManureNEF*NtoN2O*kgtoGg,IF('Net zero activities &amp; levers'!$C$9="On",(('Net zero supporting data'!AN160*'Net zero supporting data'!AN183)+('Net zero supporting data'!AN172*ManureNEF))*NtoN2O*kgtoGg,"ERROR"))</f>
        <v>0.73493758979431567</v>
      </c>
      <c r="AY668" s="79"/>
      <c r="AZ668" s="79"/>
    </row>
    <row r="669" spans="1:52" x14ac:dyDescent="0.2">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5.0141199304605817E-2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5.0959750770976343E-2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5.1430505218981168E-2</v>
      </c>
      <c r="S669" s="94">
        <f>IF('Net zero activities &amp; levers'!$C$9="Off",'Activity data'!AL52*ManureNEF*NtoN2O*kgtoGg,IF('Net zero activities &amp; levers'!$C$9="On",(('Net zero supporting data'!J161*'Net zero supporting data'!J183)+('Net zero supporting data'!J173*ManureNEF))*NtoN2O*kgtoGg,"ERROR"))</f>
        <v>5.0022583942975041E-2</v>
      </c>
      <c r="T669" s="94">
        <f>IF('Net zero activities &amp; levers'!$C$9="Off",'Activity data'!AM52*ManureNEF*NtoN2O*kgtoGg,IF('Net zero activities &amp; levers'!$C$9="On",(('Net zero supporting data'!K161*'Net zero supporting data'!K183)+('Net zero supporting data'!K173*ManureNEF))*NtoN2O*kgtoGg,"ERROR"))</f>
        <v>4.9314300862351244E-2</v>
      </c>
      <c r="U669" s="94">
        <f>IF('Net zero activities &amp; levers'!$C$9="Off",'Activity data'!AN52*ManureNEF*NtoN2O*kgtoGg,IF('Net zero activities &amp; levers'!$C$9="On",(('Net zero supporting data'!L161*'Net zero supporting data'!L183)+('Net zero supporting data'!L173*ManureNEF))*NtoN2O*kgtoGg,"ERROR"))</f>
        <v>4.8473065019591047E-2</v>
      </c>
      <c r="V669" s="94">
        <f>IF('Net zero activities &amp; levers'!$C$9="Off",'Activity data'!AO52*ManureNEF*NtoN2O*kgtoGg,IF('Net zero activities &amp; levers'!$C$9="On",(('Net zero supporting data'!M161*'Net zero supporting data'!M183)+('Net zero supporting data'!M173*ManureNEF))*NtoN2O*kgtoGg,"ERROR"))</f>
        <v>4.7601737107812597E-2</v>
      </c>
      <c r="W669" s="94">
        <f>IF('Net zero activities &amp; levers'!$C$9="Off",'Activity data'!AP52*ManureNEF*NtoN2O*kgtoGg,IF('Net zero activities &amp; levers'!$C$9="On",(('Net zero supporting data'!N161*'Net zero supporting data'!N183)+('Net zero supporting data'!N173*ManureNEF))*NtoN2O*kgtoGg,"ERROR"))</f>
        <v>4.6788740455099204E-2</v>
      </c>
      <c r="X669" s="94">
        <f>IF('Net zero activities &amp; levers'!$C$9="Off",'Activity data'!AQ52*ManureNEF*NtoN2O*kgtoGg,IF('Net zero activities &amp; levers'!$C$9="On",(('Net zero supporting data'!O161*'Net zero supporting data'!O183)+('Net zero supporting data'!O173*ManureNEF))*NtoN2O*kgtoGg,"ERROR"))</f>
        <v>4.5947468501638181E-2</v>
      </c>
      <c r="Y669" s="94">
        <f>IF('Net zero activities &amp; levers'!$C$9="Off",'Activity data'!AR52*ManureNEF*NtoN2O*kgtoGg,IF('Net zero activities &amp; levers'!$C$9="On",(('Net zero supporting data'!P161*'Net zero supporting data'!P183)+('Net zero supporting data'!P173*ManureNEF))*NtoN2O*kgtoGg,"ERROR"))</f>
        <v>4.5032180811434376E-2</v>
      </c>
      <c r="Z669" s="94">
        <f>IF('Net zero activities &amp; levers'!$C$9="Off",'Activity data'!AS52*ManureNEF*NtoN2O*kgtoGg,IF('Net zero activities &amp; levers'!$C$9="On",(('Net zero supporting data'!Q161*'Net zero supporting data'!Q183)+('Net zero supporting data'!Q173*ManureNEF))*NtoN2O*kgtoGg,"ERROR"))</f>
        <v>4.4103380295355911E-2</v>
      </c>
      <c r="AA669" s="94">
        <f>IF('Net zero activities &amp; levers'!$C$9="Off",'Activity data'!AT52*ManureNEF*NtoN2O*kgtoGg,IF('Net zero activities &amp; levers'!$C$9="On",(('Net zero supporting data'!R161*'Net zero supporting data'!R183)+('Net zero supporting data'!R173*ManureNEF))*NtoN2O*kgtoGg,"ERROR"))</f>
        <v>4.315499717034145E-2</v>
      </c>
      <c r="AB669" s="94">
        <f>IF('Net zero activities &amp; levers'!$C$9="Off",'Activity data'!AU52*ManureNEF*NtoN2O*kgtoGg,IF('Net zero activities &amp; levers'!$C$9="On",(('Net zero supporting data'!S161*'Net zero supporting data'!S183)+('Net zero supporting data'!S173*ManureNEF))*NtoN2O*kgtoGg,"ERROR"))</f>
        <v>4.2291350514432835E-2</v>
      </c>
      <c r="AC669" s="94">
        <f>IF('Net zero activities &amp; levers'!$C$9="Off",'Activity data'!AV52*ManureNEF*NtoN2O*kgtoGg,IF('Net zero activities &amp; levers'!$C$9="On",(('Net zero supporting data'!T161*'Net zero supporting data'!T183)+('Net zero supporting data'!T173*ManureNEF))*NtoN2O*kgtoGg,"ERROR"))</f>
        <v>4.1418879436511652E-2</v>
      </c>
      <c r="AD669" s="94">
        <f>IF('Net zero activities &amp; levers'!$C$9="Off",'Activity data'!AW52*ManureNEF*NtoN2O*kgtoGg,IF('Net zero activities &amp; levers'!$C$9="On",(('Net zero supporting data'!U161*'Net zero supporting data'!U183)+('Net zero supporting data'!U173*ManureNEF))*NtoN2O*kgtoGg,"ERROR"))</f>
        <v>4.0844266949045603E-2</v>
      </c>
      <c r="AE669" s="94">
        <f>IF('Net zero activities &amp; levers'!$C$9="Off",'Activity data'!AX52*ManureNEF*NtoN2O*kgtoGg,IF('Net zero activities &amp; levers'!$C$9="On",(('Net zero supporting data'!V161*'Net zero supporting data'!V183)+('Net zero supporting data'!V173*ManureNEF))*NtoN2O*kgtoGg,"ERROR"))</f>
        <v>4.0334809160112353E-2</v>
      </c>
      <c r="AF669" s="94">
        <f>IF('Net zero activities &amp; levers'!$C$9="Off",'Activity data'!AY52*ManureNEF*NtoN2O*kgtoGg,IF('Net zero activities &amp; levers'!$C$9="On",(('Net zero supporting data'!W161*'Net zero supporting data'!W183)+('Net zero supporting data'!W173*ManureNEF))*NtoN2O*kgtoGg,"ERROR"))</f>
        <v>3.9847429695810219E-2</v>
      </c>
      <c r="AG669" s="94">
        <f>IF('Net zero activities &amp; levers'!$C$9="Off",'Activity data'!AZ52*ManureNEF*NtoN2O*kgtoGg,IF('Net zero activities &amp; levers'!$C$9="On",(('Net zero supporting data'!X161*'Net zero supporting data'!X183)+('Net zero supporting data'!X173*ManureNEF))*NtoN2O*kgtoGg,"ERROR"))</f>
        <v>3.9422248035463889E-2</v>
      </c>
      <c r="AH669" s="94">
        <f>IF('Net zero activities &amp; levers'!$C$9="Off",'Activity data'!BA52*ManureNEF*NtoN2O*kgtoGg,IF('Net zero activities &amp; levers'!$C$9="On",(('Net zero supporting data'!Y161*'Net zero supporting data'!Y183)+('Net zero supporting data'!Y173*ManureNEF))*NtoN2O*kgtoGg,"ERROR"))</f>
        <v>3.8863391628995464E-2</v>
      </c>
      <c r="AI669" s="94">
        <f>IF('Net zero activities &amp; levers'!$C$9="Off",'Activity data'!BB52*ManureNEF*NtoN2O*kgtoGg,IF('Net zero activities &amp; levers'!$C$9="On",(('Net zero supporting data'!Z161*'Net zero supporting data'!Z183)+('Net zero supporting data'!Z173*ManureNEF))*NtoN2O*kgtoGg,"ERROR"))</f>
        <v>3.8257412715185873E-2</v>
      </c>
      <c r="AJ669" s="94">
        <f>IF('Net zero activities &amp; levers'!$C$9="Off",'Activity data'!BC52*ManureNEF*NtoN2O*kgtoGg,IF('Net zero activities &amp; levers'!$C$9="On",(('Net zero supporting data'!AA161*'Net zero supporting data'!AA183)+('Net zero supporting data'!AA173*ManureNEF))*NtoN2O*kgtoGg,"ERROR"))</f>
        <v>3.7675275391819134E-2</v>
      </c>
      <c r="AK669" s="94">
        <f>IF('Net zero activities &amp; levers'!$C$9="Off",'Activity data'!BD52*ManureNEF*NtoN2O*kgtoGg,IF('Net zero activities &amp; levers'!$C$9="On",(('Net zero supporting data'!AB161*'Net zero supporting data'!AB183)+('Net zero supporting data'!AB173*ManureNEF))*NtoN2O*kgtoGg,"ERROR"))</f>
        <v>3.7063801537877604E-2</v>
      </c>
      <c r="AL669" s="94">
        <f>IF('Net zero activities &amp; levers'!$C$9="Off",'Activity data'!BE52*ManureNEF*NtoN2O*kgtoGg,IF('Net zero activities &amp; levers'!$C$9="On",(('Net zero supporting data'!AC161*'Net zero supporting data'!AC183)+('Net zero supporting data'!AC173*ManureNEF))*NtoN2O*kgtoGg,"ERROR"))</f>
        <v>3.6457202601790091E-2</v>
      </c>
      <c r="AM669" s="94">
        <f>IF('Net zero activities &amp; levers'!$C$9="Off",'Activity data'!BF52*ManureNEF*NtoN2O*kgtoGg,IF('Net zero activities &amp; levers'!$C$9="On",(('Net zero supporting data'!AD161*'Net zero supporting data'!AD183)+('Net zero supporting data'!AD173*ManureNEF))*NtoN2O*kgtoGg,"ERROR"))</f>
        <v>3.58370613728137E-2</v>
      </c>
      <c r="AN669" s="94">
        <f>IF('Net zero activities &amp; levers'!$C$9="Off",'Activity data'!BG52*ManureNEF*NtoN2O*kgtoGg,IF('Net zero activities &amp; levers'!$C$9="On",(('Net zero supporting data'!AE161*'Net zero supporting data'!AE183)+('Net zero supporting data'!AE173*ManureNEF))*NtoN2O*kgtoGg,"ERROR"))</f>
        <v>3.6212821962949067E-2</v>
      </c>
      <c r="AO669" s="94">
        <f>IF('Net zero activities &amp; levers'!$C$9="Off",'Activity data'!BH52*ManureNEF*NtoN2O*kgtoGg,IF('Net zero activities &amp; levers'!$C$9="On",(('Net zero supporting data'!AF161*'Net zero supporting data'!AF183)+('Net zero supporting data'!AF173*ManureNEF))*NtoN2O*kgtoGg,"ERROR"))</f>
        <v>3.657229926766864E-2</v>
      </c>
      <c r="AP669" s="94">
        <f>IF('Net zero activities &amp; levers'!$C$9="Off",'Activity data'!BI52*ManureNEF*NtoN2O*kgtoGg,IF('Net zero activities &amp; levers'!$C$9="On",(('Net zero supporting data'!AG161*'Net zero supporting data'!AG183)+('Net zero supporting data'!AG173*ManureNEF))*NtoN2O*kgtoGg,"ERROR"))</f>
        <v>3.6940339273946396E-2</v>
      </c>
      <c r="AQ669" s="94">
        <f>IF('Net zero activities &amp; levers'!$C$9="Off",'Activity data'!BJ52*ManureNEF*NtoN2O*kgtoGg,IF('Net zero activities &amp; levers'!$C$9="On",(('Net zero supporting data'!AH161*'Net zero supporting data'!AH183)+('Net zero supporting data'!AH173*ManureNEF))*NtoN2O*kgtoGg,"ERROR"))</f>
        <v>3.7323384031120302E-2</v>
      </c>
      <c r="AR669" s="94">
        <f>IF('Net zero activities &amp; levers'!$C$9="Off",'Activity data'!BK52*ManureNEF*NtoN2O*kgtoGg,IF('Net zero activities &amp; levers'!$C$9="On",(('Net zero supporting data'!AI161*'Net zero supporting data'!AI183)+('Net zero supporting data'!AI173*ManureNEF))*NtoN2O*kgtoGg,"ERROR"))</f>
        <v>3.7723888686172789E-2</v>
      </c>
      <c r="AS669" s="94">
        <f>IF('Net zero activities &amp; levers'!$C$9="Off",'Activity data'!BL52*ManureNEF*NtoN2O*kgtoGg,IF('Net zero activities &amp; levers'!$C$9="On",(('Net zero supporting data'!AJ161*'Net zero supporting data'!AJ183)+('Net zero supporting data'!AJ173*ManureNEF))*NtoN2O*kgtoGg,"ERROR"))</f>
        <v>3.8175280692788451E-2</v>
      </c>
      <c r="AT669" s="94">
        <f>IF('Net zero activities &amp; levers'!$C$9="Off",'Activity data'!BM52*ManureNEF*NtoN2O*kgtoGg,IF('Net zero activities &amp; levers'!$C$9="On",(('Net zero supporting data'!AK161*'Net zero supporting data'!AK183)+('Net zero supporting data'!AK173*ManureNEF))*NtoN2O*kgtoGg,"ERROR"))</f>
        <v>3.8462627311866247E-2</v>
      </c>
      <c r="AU669" s="94">
        <f>IF('Net zero activities &amp; levers'!$C$9="Off",'Activity data'!BN52*ManureNEF*NtoN2O*kgtoGg,IF('Net zero activities &amp; levers'!$C$9="On",(('Net zero supporting data'!AL161*'Net zero supporting data'!AL183)+('Net zero supporting data'!AL173*ManureNEF))*NtoN2O*kgtoGg,"ERROR"))</f>
        <v>3.8740730987941029E-2</v>
      </c>
      <c r="AV669" s="94">
        <f>IF('Net zero activities &amp; levers'!$C$9="Off",'Activity data'!BO52*ManureNEF*NtoN2O*kgtoGg,IF('Net zero activities &amp; levers'!$C$9="On",(('Net zero supporting data'!AM161*'Net zero supporting data'!AM183)+('Net zero supporting data'!AM173*ManureNEF))*NtoN2O*kgtoGg,"ERROR"))</f>
        <v>3.9027375505349939E-2</v>
      </c>
      <c r="AW669" s="94">
        <f>IF('Net zero activities &amp; levers'!$C$9="Off",'Activity data'!BP52*ManureNEF*NtoN2O*kgtoGg,IF('Net zero activities &amp; levers'!$C$9="On",(('Net zero supporting data'!AN161*'Net zero supporting data'!AN183)+('Net zero supporting data'!AN173*ManureNEF))*NtoN2O*kgtoGg,"ERROR"))</f>
        <v>3.9315017192590458E-2</v>
      </c>
      <c r="AY669" s="79"/>
      <c r="AZ669" s="79"/>
    </row>
    <row r="670" spans="1:52" x14ac:dyDescent="0.2">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0.3999997899835232</v>
      </c>
      <c r="L670" s="94">
        <f>IF('Net zero activities &amp; levers'!$C$9="Off",'Activity data'!AE53*ManureNEF*NtoN2O*kgtoGg,IF('Net zero activities &amp; levers'!$C$9="On",(('Net zero supporting data'!C162*'Net zero supporting data'!C183)+('Net zero supporting data'!C174*ManureNEF))*NtoN2O*kgtoGg,"ERROR"))</f>
        <v>0.39653071954810204</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0.38227219443770111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0.31703545795580812</v>
      </c>
      <c r="T670" s="94">
        <f>IF('Net zero activities &amp; levers'!$C$9="Off",'Activity data'!AM53*ManureNEF*NtoN2O*kgtoGg,IF('Net zero activities &amp; levers'!$C$9="On",(('Net zero supporting data'!K162*'Net zero supporting data'!K183)+('Net zero supporting data'!K174*ManureNEF))*NtoN2O*kgtoGg,"ERROR"))</f>
        <v>0.31490590347965447</v>
      </c>
      <c r="U670" s="94">
        <f>IF('Net zero activities &amp; levers'!$C$9="Off",'Activity data'!AN53*ManureNEF*NtoN2O*kgtoGg,IF('Net zero activities &amp; levers'!$C$9="On",(('Net zero supporting data'!L162*'Net zero supporting data'!L183)+('Net zero supporting data'!L174*ManureNEF))*NtoN2O*kgtoGg,"ERROR"))</f>
        <v>0.30988134475820062</v>
      </c>
      <c r="V670" s="94">
        <f>IF('Net zero activities &amp; levers'!$C$9="Off",'Activity data'!AO53*ManureNEF*NtoN2O*kgtoGg,IF('Net zero activities &amp; levers'!$C$9="On",(('Net zero supporting data'!M162*'Net zero supporting data'!M183)+('Net zero supporting data'!M174*ManureNEF))*NtoN2O*kgtoGg,"ERROR"))</f>
        <v>0.30409618158384444</v>
      </c>
      <c r="W670" s="94">
        <f>IF('Net zero activities &amp; levers'!$C$9="Off",'Activity data'!AP53*ManureNEF*NtoN2O*kgtoGg,IF('Net zero activities &amp; levers'!$C$9="On",(('Net zero supporting data'!N162*'Net zero supporting data'!N183)+('Net zero supporting data'!N174*ManureNEF))*NtoN2O*kgtoGg,"ERROR"))</f>
        <v>0.29928401866479459</v>
      </c>
      <c r="X670" s="94">
        <f>IF('Net zero activities &amp; levers'!$C$9="Off",'Activity data'!AQ53*ManureNEF*NtoN2O*kgtoGg,IF('Net zero activities &amp; levers'!$C$9="On",(('Net zero supporting data'!O162*'Net zero supporting data'!O183)+('Net zero supporting data'!O174*ManureNEF))*NtoN2O*kgtoGg,"ERROR"))</f>
        <v>0.29379272604845807</v>
      </c>
      <c r="Y670" s="94">
        <f>IF('Net zero activities &amp; levers'!$C$9="Off",'Activity data'!AR53*ManureNEF*NtoN2O*kgtoGg,IF('Net zero activities &amp; levers'!$C$9="On",(('Net zero supporting data'!P162*'Net zero supporting data'!P183)+('Net zero supporting data'!P174*ManureNEF))*NtoN2O*kgtoGg,"ERROR"))</f>
        <v>0.28736676632462982</v>
      </c>
      <c r="Z670" s="94">
        <f>IF('Net zero activities &amp; levers'!$C$9="Off",'Activity data'!AS53*ManureNEF*NtoN2O*kgtoGg,IF('Net zero activities &amp; levers'!$C$9="On",(('Net zero supporting data'!Q162*'Net zero supporting data'!Q183)+('Net zero supporting data'!Q174*ManureNEF))*NtoN2O*kgtoGg,"ERROR"))</f>
        <v>0.28059847151150819</v>
      </c>
      <c r="AA670" s="94">
        <f>IF('Net zero activities &amp; levers'!$C$9="Off",'Activity data'!AT53*ManureNEF*NtoN2O*kgtoGg,IF('Net zero activities &amp; levers'!$C$9="On",(('Net zero supporting data'!R162*'Net zero supporting data'!R183)+('Net zero supporting data'!R174*ManureNEF))*NtoN2O*kgtoGg,"ERROR"))</f>
        <v>0.27340567328019755</v>
      </c>
      <c r="AB670" s="94">
        <f>IF('Net zero activities &amp; levers'!$C$9="Off",'Activity data'!AU53*ManureNEF*NtoN2O*kgtoGg,IF('Net zero activities &amp; levers'!$C$9="On",(('Net zero supporting data'!S162*'Net zero supporting data'!S183)+('Net zero supporting data'!S174*ManureNEF))*NtoN2O*kgtoGg,"ERROR"))</f>
        <v>0.26766262674717828</v>
      </c>
      <c r="AC670" s="94">
        <f>IF('Net zero activities &amp; levers'!$C$9="Off",'Activity data'!AV53*ManureNEF*NtoN2O*kgtoGg,IF('Net zero activities &amp; levers'!$C$9="On",(('Net zero supporting data'!T162*'Net zero supporting data'!T183)+('Net zero supporting data'!T174*ManureNEF))*NtoN2O*kgtoGg,"ERROR"))</f>
        <v>0.26168612070290947</v>
      </c>
      <c r="AD670" s="94">
        <f>IF('Net zero activities &amp; levers'!$C$9="Off",'Activity data'!AW53*ManureNEF*NtoN2O*kgtoGg,IF('Net zero activities &amp; levers'!$C$9="On",(('Net zero supporting data'!U162*'Net zero supporting data'!U183)+('Net zero supporting data'!U174*ManureNEF))*NtoN2O*kgtoGg,"ERROR"))</f>
        <v>0.25581046613660308</v>
      </c>
      <c r="AE670" s="94">
        <f>IF('Net zero activities &amp; levers'!$C$9="Off",'Activity data'!AX53*ManureNEF*NtoN2O*kgtoGg,IF('Net zero activities &amp; levers'!$C$9="On",(('Net zero supporting data'!V162*'Net zero supporting data'!V183)+('Net zero supporting data'!V174*ManureNEF))*NtoN2O*kgtoGg,"ERROR"))</f>
        <v>0.25103612885392546</v>
      </c>
      <c r="AF670" s="94">
        <f>IF('Net zero activities &amp; levers'!$C$9="Off",'Activity data'!AY53*ManureNEF*NtoN2O*kgtoGg,IF('Net zero activities &amp; levers'!$C$9="On",(('Net zero supporting data'!W162*'Net zero supporting data'!W183)+('Net zero supporting data'!W174*ManureNEF))*NtoN2O*kgtoGg,"ERROR"))</f>
        <v>0.24659473874275628</v>
      </c>
      <c r="AG670" s="94">
        <f>IF('Net zero activities &amp; levers'!$C$9="Off",'Activity data'!AZ53*ManureNEF*NtoN2O*kgtoGg,IF('Net zero activities &amp; levers'!$C$9="On",(('Net zero supporting data'!X162*'Net zero supporting data'!X183)+('Net zero supporting data'!X174*ManureNEF))*NtoN2O*kgtoGg,"ERROR"))</f>
        <v>0.24310536549640213</v>
      </c>
      <c r="AH670" s="94">
        <f>IF('Net zero activities &amp; levers'!$C$9="Off",'Activity data'!BA53*ManureNEF*NtoN2O*kgtoGg,IF('Net zero activities &amp; levers'!$C$9="On",(('Net zero supporting data'!Y162*'Net zero supporting data'!Y183)+('Net zero supporting data'!Y174*ManureNEF))*NtoN2O*kgtoGg,"ERROR"))</f>
        <v>0.23746886794721664</v>
      </c>
      <c r="AI670" s="94">
        <f>IF('Net zero activities &amp; levers'!$C$9="Off",'Activity data'!BB53*ManureNEF*NtoN2O*kgtoGg,IF('Net zero activities &amp; levers'!$C$9="On",(('Net zero supporting data'!Z162*'Net zero supporting data'!Z183)+('Net zero supporting data'!Z174*ManureNEF))*NtoN2O*kgtoGg,"ERROR"))</f>
        <v>0.23141320753849309</v>
      </c>
      <c r="AJ670" s="94">
        <f>IF('Net zero activities &amp; levers'!$C$9="Off",'Activity data'!BC53*ManureNEF*NtoN2O*kgtoGg,IF('Net zero activities &amp; levers'!$C$9="On",(('Net zero supporting data'!AA162*'Net zero supporting data'!AA183)+('Net zero supporting data'!AA174*ManureNEF))*NtoN2O*kgtoGg,"ERROR"))</f>
        <v>0.22575530699235122</v>
      </c>
      <c r="AK670" s="94">
        <f>IF('Net zero activities &amp; levers'!$C$9="Off",'Activity data'!BD53*ManureNEF*NtoN2O*kgtoGg,IF('Net zero activities &amp; levers'!$C$9="On",(('Net zero supporting data'!AB162*'Net zero supporting data'!AB183)+('Net zero supporting data'!AB174*ManureNEF))*NtoN2O*kgtoGg,"ERROR"))</f>
        <v>0.21970763555758283</v>
      </c>
      <c r="AL670" s="94">
        <f>IF('Net zero activities &amp; levers'!$C$9="Off",'Activity data'!BE53*ManureNEF*NtoN2O*kgtoGg,IF('Net zero activities &amp; levers'!$C$9="On",(('Net zero supporting data'!AC162*'Net zero supporting data'!AC183)+('Net zero supporting data'!AC174*ManureNEF))*NtoN2O*kgtoGg,"ERROR"))</f>
        <v>0.21378625720833305</v>
      </c>
      <c r="AM670" s="94">
        <f>IF('Net zero activities &amp; levers'!$C$9="Off",'Activity data'!BF53*ManureNEF*NtoN2O*kgtoGg,IF('Net zero activities &amp; levers'!$C$9="On",(('Net zero supporting data'!AD162*'Net zero supporting data'!AD183)+('Net zero supporting data'!AD174*ManureNEF))*NtoN2O*kgtoGg,"ERROR"))</f>
        <v>0.20773701064101743</v>
      </c>
      <c r="AN670" s="94">
        <f>IF('Net zero activities &amp; levers'!$C$9="Off",'Activity data'!BG53*ManureNEF*NtoN2O*kgtoGg,IF('Net zero activities &amp; levers'!$C$9="On",(('Net zero supporting data'!AE162*'Net zero supporting data'!AE183)+('Net zero supporting data'!AE174*ManureNEF))*NtoN2O*kgtoGg,"ERROR"))</f>
        <v>0.2088812240104006</v>
      </c>
      <c r="AO670" s="94">
        <f>IF('Net zero activities &amp; levers'!$C$9="Off",'Activity data'!BH53*ManureNEF*NtoN2O*kgtoGg,IF('Net zero activities &amp; levers'!$C$9="On",(('Net zero supporting data'!AF162*'Net zero supporting data'!AF183)+('Net zero supporting data'!AF174*ManureNEF))*NtoN2O*kgtoGg,"ERROR"))</f>
        <v>0.20962157274070703</v>
      </c>
      <c r="AP670" s="94">
        <f>IF('Net zero activities &amp; levers'!$C$9="Off",'Activity data'!BI53*ManureNEF*NtoN2O*kgtoGg,IF('Net zero activities &amp; levers'!$C$9="On",(('Net zero supporting data'!AG162*'Net zero supporting data'!AG183)+('Net zero supporting data'!AG174*ManureNEF))*NtoN2O*kgtoGg,"ERROR"))</f>
        <v>0.21029568507313398</v>
      </c>
      <c r="AQ670" s="94">
        <f>IF('Net zero activities &amp; levers'!$C$9="Off",'Activity data'!BJ53*ManureNEF*NtoN2O*kgtoGg,IF('Net zero activities &amp; levers'!$C$9="On",(('Net zero supporting data'!AH162*'Net zero supporting data'!AH183)+('Net zero supporting data'!AH174*ManureNEF))*NtoN2O*kgtoGg,"ERROR"))</f>
        <v>0.21098199321036001</v>
      </c>
      <c r="AR670" s="94">
        <f>IF('Net zero activities &amp; levers'!$C$9="Off",'Activity data'!BK53*ManureNEF*NtoN2O*kgtoGg,IF('Net zero activities &amp; levers'!$C$9="On",(('Net zero supporting data'!AI162*'Net zero supporting data'!AI183)+('Net zero supporting data'!AI174*ManureNEF))*NtoN2O*kgtoGg,"ERROR"))</f>
        <v>0.2117028613181513</v>
      </c>
      <c r="AS670" s="94">
        <f>IF('Net zero activities &amp; levers'!$C$9="Off",'Activity data'!BL53*ManureNEF*NtoN2O*kgtoGg,IF('Net zero activities &amp; levers'!$C$9="On",(('Net zero supporting data'!AJ162*'Net zero supporting data'!AJ183)+('Net zero supporting data'!AJ174*ManureNEF))*NtoN2O*kgtoGg,"ERROR"))</f>
        <v>0.21302758129704566</v>
      </c>
      <c r="AT670" s="94">
        <f>IF('Net zero activities &amp; levers'!$C$9="Off",'Activity data'!BM53*ManureNEF*NtoN2O*kgtoGg,IF('Net zero activities &amp; levers'!$C$9="On",(('Net zero supporting data'!AK162*'Net zero supporting data'!AK183)+('Net zero supporting data'!AK174*ManureNEF))*NtoN2O*kgtoGg,"ERROR"))</f>
        <v>0.21219896503169616</v>
      </c>
      <c r="AU670" s="94">
        <f>IF('Net zero activities &amp; levers'!$C$9="Off",'Activity data'!BN53*ManureNEF*NtoN2O*kgtoGg,IF('Net zero activities &amp; levers'!$C$9="On",(('Net zero supporting data'!AL162*'Net zero supporting data'!AL183)+('Net zero supporting data'!AL174*ManureNEF))*NtoN2O*kgtoGg,"ERROR"))</f>
        <v>0.21113666116796392</v>
      </c>
      <c r="AV670" s="94">
        <f>IF('Net zero activities &amp; levers'!$C$9="Off",'Activity data'!BO53*ManureNEF*NtoN2O*kgtoGg,IF('Net zero activities &amp; levers'!$C$9="On",(('Net zero supporting data'!AM162*'Net zero supporting data'!AM183)+('Net zero supporting data'!AM174*ManureNEF))*NtoN2O*kgtoGg,"ERROR"))</f>
        <v>0.21005153194208159</v>
      </c>
      <c r="AW670" s="94">
        <f>IF('Net zero activities &amp; levers'!$C$9="Off",'Activity data'!BP53*ManureNEF*NtoN2O*kgtoGg,IF('Net zero activities &amp; levers'!$C$9="On",(('Net zero supporting data'!AN162*'Net zero supporting data'!AN183)+('Net zero supporting data'!AN174*ManureNEF))*NtoN2O*kgtoGg,"ERROR"))</f>
        <v>0.20885644759644542</v>
      </c>
      <c r="AY670" s="79"/>
      <c r="AZ670" s="79"/>
    </row>
    <row r="671" spans="1:52" x14ac:dyDescent="0.2">
      <c r="A671" s="95" t="str">
        <f t="shared" si="133"/>
        <v>NI Organic</v>
      </c>
      <c r="B671" s="95" t="s">
        <v>969</v>
      </c>
      <c r="C671" s="95" t="s">
        <v>1127</v>
      </c>
      <c r="D671" t="s">
        <v>369</v>
      </c>
      <c r="E671" t="s">
        <v>55</v>
      </c>
      <c r="F671" t="s">
        <v>421</v>
      </c>
      <c r="G671" t="s">
        <v>1160</v>
      </c>
      <c r="H671" t="s">
        <v>1161</v>
      </c>
      <c r="I671" t="s">
        <v>139</v>
      </c>
      <c r="J671" t="s">
        <v>287</v>
      </c>
      <c r="K671" s="22">
        <f>K1470</f>
        <v>2.6602988559851246</v>
      </c>
      <c r="L671" s="22">
        <f t="shared" ref="L671:AW671" si="145">L1470</f>
        <v>2.6372269335947092</v>
      </c>
      <c r="M671" s="22">
        <f t="shared" si="145"/>
        <v>2.6284441511866339</v>
      </c>
      <c r="N671" s="22">
        <f t="shared" si="145"/>
        <v>2.5933447201068058</v>
      </c>
      <c r="O671" s="22">
        <f t="shared" si="145"/>
        <v>2.5423970387070205</v>
      </c>
      <c r="P671" s="22">
        <f t="shared" si="145"/>
        <v>2.4766546252796311</v>
      </c>
      <c r="Q671" s="22">
        <f t="shared" si="145"/>
        <v>2.4248016610449818</v>
      </c>
      <c r="R671" s="22">
        <f t="shared" si="145"/>
        <v>2.3757428620222045</v>
      </c>
      <c r="S671" s="22">
        <f t="shared" si="145"/>
        <v>2.1085237723282266</v>
      </c>
      <c r="T671" s="22">
        <f t="shared" si="145"/>
        <v>2.1488556149453371</v>
      </c>
      <c r="U671" s="22">
        <f t="shared" si="145"/>
        <v>2.1704195095188212</v>
      </c>
      <c r="V671" s="22">
        <f t="shared" si="145"/>
        <v>2.1870191961387908</v>
      </c>
      <c r="W671" s="22">
        <f t="shared" si="145"/>
        <v>2.211036363910428</v>
      </c>
      <c r="X671" s="22">
        <f t="shared" si="145"/>
        <v>2.2305275780922154</v>
      </c>
      <c r="Y671" s="22">
        <f t="shared" si="145"/>
        <v>2.2430926983652055</v>
      </c>
      <c r="Z671" s="22">
        <f t="shared" si="145"/>
        <v>2.252873704319335</v>
      </c>
      <c r="AA671" s="22">
        <f t="shared" si="145"/>
        <v>2.2589357910058689</v>
      </c>
      <c r="AB671" s="22">
        <f t="shared" si="145"/>
        <v>2.2768819502323812</v>
      </c>
      <c r="AC671" s="22">
        <f t="shared" si="145"/>
        <v>2.2930291602362631</v>
      </c>
      <c r="AD671" s="22">
        <f t="shared" si="145"/>
        <v>2.2938619728285596</v>
      </c>
      <c r="AE671" s="22">
        <f t="shared" si="145"/>
        <v>2.3046791168231131</v>
      </c>
      <c r="AF671" s="22">
        <f t="shared" si="145"/>
        <v>2.3189833691414923</v>
      </c>
      <c r="AG671" s="22">
        <f t="shared" si="145"/>
        <v>2.3429987728619159</v>
      </c>
      <c r="AH671" s="22">
        <f t="shared" si="145"/>
        <v>2.346834416236983</v>
      </c>
      <c r="AI671" s="22">
        <f t="shared" si="145"/>
        <v>2.3464317847637033</v>
      </c>
      <c r="AJ671" s="22">
        <f t="shared" si="145"/>
        <v>2.3499552969033255</v>
      </c>
      <c r="AK671" s="22">
        <f t="shared" si="145"/>
        <v>2.3493049551651861</v>
      </c>
      <c r="AL671" s="22">
        <f t="shared" si="145"/>
        <v>2.3498025458509408</v>
      </c>
      <c r="AM671" s="22">
        <f t="shared" si="145"/>
        <v>2.3486732763039284</v>
      </c>
      <c r="AN671" s="22">
        <f t="shared" si="145"/>
        <v>2.3655305139418807</v>
      </c>
      <c r="AO671" s="22">
        <f t="shared" si="145"/>
        <v>2.3778625402713889</v>
      </c>
      <c r="AP671" s="22">
        <f t="shared" si="145"/>
        <v>2.3894830399896865</v>
      </c>
      <c r="AQ671" s="22">
        <f t="shared" si="145"/>
        <v>2.4012811237431047</v>
      </c>
      <c r="AR671" s="22">
        <f t="shared" si="145"/>
        <v>2.413512643981452</v>
      </c>
      <c r="AS671" s="22">
        <f t="shared" si="145"/>
        <v>2.4326808394906876</v>
      </c>
      <c r="AT671" s="22">
        <f t="shared" si="145"/>
        <v>2.4272819379438721</v>
      </c>
      <c r="AU671" s="22">
        <f t="shared" si="145"/>
        <v>2.4191873247929188</v>
      </c>
      <c r="AV671" s="22">
        <f t="shared" si="145"/>
        <v>2.4108035010851898</v>
      </c>
      <c r="AW671" s="22">
        <f t="shared" si="145"/>
        <v>2.4011273134389794</v>
      </c>
      <c r="AY671" s="79"/>
      <c r="AZ671" s="79"/>
    </row>
    <row r="672" spans="1:52" x14ac:dyDescent="0.2">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0.35516571939691516</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0.38707850955818868</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0.37652794837094722</v>
      </c>
      <c r="T672" s="94">
        <f>IF('Net zero activities &amp; levers'!$C$9="Off",'Activity data'!AM55*ManureNEF*NtoN2O*kgtoGg,IF('Net zero activities &amp; levers'!$C$9="On",(('Net zero supporting data'!K163*'Net zero supporting data'!K183)+('Net zero supporting data'!K175*ManureNEF))*NtoN2O*kgtoGg,"ERROR"))</f>
        <v>0.387154906481748</v>
      </c>
      <c r="U672" s="94">
        <f>IF('Net zero activities &amp; levers'!$C$9="Off",'Activity data'!AN55*ManureNEF*NtoN2O*kgtoGg,IF('Net zero activities &amp; levers'!$C$9="On",(('Net zero supporting data'!L163*'Net zero supporting data'!L183)+('Net zero supporting data'!L175*ManureNEF))*NtoN2O*kgtoGg,"ERROR"))</f>
        <v>0.39428037120155945</v>
      </c>
      <c r="V672" s="94">
        <f>IF('Net zero activities &amp; levers'!$C$9="Off",'Activity data'!AO55*ManureNEF*NtoN2O*kgtoGg,IF('Net zero activities &amp; levers'!$C$9="On",(('Net zero supporting data'!M163*'Net zero supporting data'!M183)+('Net zero supporting data'!M175*ManureNEF))*NtoN2O*kgtoGg,"ERROR"))</f>
        <v>0.40034120798899903</v>
      </c>
      <c r="W672" s="94">
        <f>IF('Net zero activities &amp; levers'!$C$9="Off",'Activity data'!AP55*ManureNEF*NtoN2O*kgtoGg,IF('Net zero activities &amp; levers'!$C$9="On",(('Net zero supporting data'!N163*'Net zero supporting data'!N183)+('Net zero supporting data'!N175*ManureNEF))*NtoN2O*kgtoGg,"ERROR"))</f>
        <v>0.40759395592278735</v>
      </c>
      <c r="X672" s="94">
        <f>IF('Net zero activities &amp; levers'!$C$9="Off",'Activity data'!AQ55*ManureNEF*NtoN2O*kgtoGg,IF('Net zero activities &amp; levers'!$C$9="On",(('Net zero supporting data'!O163*'Net zero supporting data'!O183)+('Net zero supporting data'!O175*ManureNEF))*NtoN2O*kgtoGg,"ERROR"))</f>
        <v>0.41384315607077649</v>
      </c>
      <c r="Y672" s="94">
        <f>IF('Net zero activities &amp; levers'!$C$9="Off",'Activity data'!AR55*ManureNEF*NtoN2O*kgtoGg,IF('Net zero activities &amp; levers'!$C$9="On",(('Net zero supporting data'!P163*'Net zero supporting data'!P183)+('Net zero supporting data'!P175*ManureNEF))*NtoN2O*kgtoGg,"ERROR"))</f>
        <v>0.41861705552915451</v>
      </c>
      <c r="Z672" s="94">
        <f>IF('Net zero activities &amp; levers'!$C$9="Off",'Activity data'!AS55*ManureNEF*NtoN2O*kgtoGg,IF('Net zero activities &amp; levers'!$C$9="On",(('Net zero supporting data'!Q163*'Net zero supporting data'!Q183)+('Net zero supporting data'!Q175*ManureNEF))*NtoN2O*kgtoGg,"ERROR"))</f>
        <v>0.42266384179252237</v>
      </c>
      <c r="AA672" s="94">
        <f>IF('Net zero activities &amp; levers'!$C$9="Off",'Activity data'!AT55*ManureNEF*NtoN2O*kgtoGg,IF('Net zero activities &amp; levers'!$C$9="On",(('Net zero supporting data'!R163*'Net zero supporting data'!R183)+('Net zero supporting data'!R175*ManureNEF))*NtoN2O*kgtoGg,"ERROR"))</f>
        <v>0.42579297814850564</v>
      </c>
      <c r="AB672" s="94">
        <f>IF('Net zero activities &amp; levers'!$C$9="Off",'Activity data'!AU55*ManureNEF*NtoN2O*kgtoGg,IF('Net zero activities &amp; levers'!$C$9="On",(('Net zero supporting data'!S163*'Net zero supporting data'!S183)+('Net zero supporting data'!S175*ManureNEF))*NtoN2O*kgtoGg,"ERROR"))</f>
        <v>0.4309422040292874</v>
      </c>
      <c r="AC672" s="94">
        <f>IF('Net zero activities &amp; levers'!$C$9="Off",'Activity data'!AV55*ManureNEF*NtoN2O*kgtoGg,IF('Net zero activities &amp; levers'!$C$9="On",(('Net zero supporting data'!T163*'Net zero supporting data'!T183)+('Net zero supporting data'!T175*ManureNEF))*NtoN2O*kgtoGg,"ERROR"))</f>
        <v>0.43553022604093206</v>
      </c>
      <c r="AD672" s="94">
        <f>IF('Net zero activities &amp; levers'!$C$9="Off",'Activity data'!AW55*ManureNEF*NtoN2O*kgtoGg,IF('Net zero activities &amp; levers'!$C$9="On",(('Net zero supporting data'!U163*'Net zero supporting data'!U183)+('Net zero supporting data'!U175*ManureNEF))*NtoN2O*kgtoGg,"ERROR"))</f>
        <v>0.44012553278841049</v>
      </c>
      <c r="AE672" s="94">
        <f>IF('Net zero activities &amp; levers'!$C$9="Off",'Activity data'!AX55*ManureNEF*NtoN2O*kgtoGg,IF('Net zero activities &amp; levers'!$C$9="On",(('Net zero supporting data'!V163*'Net zero supporting data'!V183)+('Net zero supporting data'!V175*ManureNEF))*NtoN2O*kgtoGg,"ERROR"))</f>
        <v>0.44652264471229969</v>
      </c>
      <c r="AF672" s="94">
        <f>IF('Net zero activities &amp; levers'!$C$9="Off",'Activity data'!AY55*ManureNEF*NtoN2O*kgtoGg,IF('Net zero activities &amp; levers'!$C$9="On",(('Net zero supporting data'!W163*'Net zero supporting data'!W183)+('Net zero supporting data'!W175*ManureNEF))*NtoN2O*kgtoGg,"ERROR"))</f>
        <v>0.45350009062427449</v>
      </c>
      <c r="AG672" s="94">
        <f>IF('Net zero activities &amp; levers'!$C$9="Off",'Activity data'!AZ55*ManureNEF*NtoN2O*kgtoGg,IF('Net zero activities &amp; levers'!$C$9="On",(('Net zero supporting data'!X163*'Net zero supporting data'!X183)+('Net zero supporting data'!X175*ManureNEF))*NtoN2O*kgtoGg,"ERROR"))</f>
        <v>0.46229645807852354</v>
      </c>
      <c r="AH672" s="94">
        <f>IF('Net zero activities &amp; levers'!$C$9="Off",'Activity data'!BA55*ManureNEF*NtoN2O*kgtoGg,IF('Net zero activities &amp; levers'!$C$9="On",(('Net zero supporting data'!Y163*'Net zero supporting data'!Y183)+('Net zero supporting data'!Y175*ManureNEF))*NtoN2O*kgtoGg,"ERROR"))</f>
        <v>0.46700341413604496</v>
      </c>
      <c r="AI672" s="94">
        <f>IF('Net zero activities &amp; levers'!$C$9="Off",'Activity data'!BB55*ManureNEF*NtoN2O*kgtoGg,IF('Net zero activities &amp; levers'!$C$9="On",(('Net zero supporting data'!Z163*'Net zero supporting data'!Z183)+('Net zero supporting data'!Z175*ManureNEF))*NtoN2O*kgtoGg,"ERROR"))</f>
        <v>0.470709015676748</v>
      </c>
      <c r="AJ672" s="94">
        <f>IF('Net zero activities &amp; levers'!$C$9="Off",'Activity data'!BC55*ManureNEF*NtoN2O*kgtoGg,IF('Net zero activities &amp; levers'!$C$9="On",(('Net zero supporting data'!AA163*'Net zero supporting data'!AA183)+('Net zero supporting data'!AA175*ManureNEF))*NtoN2O*kgtoGg,"ERROR"))</f>
        <v>0.47503517753645852</v>
      </c>
      <c r="AK672" s="94">
        <f>IF('Net zero activities &amp; levers'!$C$9="Off",'Activity data'!BD55*ManureNEF*NtoN2O*kgtoGg,IF('Net zero activities &amp; levers'!$C$9="On",(('Net zero supporting data'!AB163*'Net zero supporting data'!AB183)+('Net zero supporting data'!AB175*ManureNEF))*NtoN2O*kgtoGg,"ERROR"))</f>
        <v>0.4783410625125234</v>
      </c>
      <c r="AL672" s="94">
        <f>IF('Net zero activities &amp; levers'!$C$9="Off",'Activity data'!BE55*ManureNEF*NtoN2O*kgtoGg,IF('Net zero activities &amp; levers'!$C$9="On",(('Net zero supporting data'!AC163*'Net zero supporting data'!AC183)+('Net zero supporting data'!AC175*ManureNEF))*NtoN2O*kgtoGg,"ERROR"))</f>
        <v>0.4816895960539308</v>
      </c>
      <c r="AM672" s="94">
        <f>IF('Net zero activities &amp; levers'!$C$9="Off",'Activity data'!BF55*ManureNEF*NtoN2O*kgtoGg,IF('Net zero activities &amp; levers'!$C$9="On",(('Net zero supporting data'!AD163*'Net zero supporting data'!AD183)+('Net zero supporting data'!AD175*ManureNEF))*NtoN2O*kgtoGg,"ERROR"))</f>
        <v>0.48450217230168086</v>
      </c>
      <c r="AN672" s="94">
        <f>IF('Net zero activities &amp; levers'!$C$9="Off",'Activity data'!BG55*ManureNEF*NtoN2O*kgtoGg,IF('Net zero activities &amp; levers'!$C$9="On",(('Net zero supporting data'!AE163*'Net zero supporting data'!AE183)+('Net zero supporting data'!AE175*ManureNEF))*NtoN2O*kgtoGg,"ERROR"))</f>
        <v>0.50122614783823083</v>
      </c>
      <c r="AO672" s="94">
        <f>IF('Net zero activities &amp; levers'!$C$9="Off",'Activity data'!BH55*ManureNEF*NtoN2O*kgtoGg,IF('Net zero activities &amp; levers'!$C$9="On",(('Net zero supporting data'!AF163*'Net zero supporting data'!AF183)+('Net zero supporting data'!AF175*ManureNEF))*NtoN2O*kgtoGg,"ERROR"))</f>
        <v>0.51756585567154001</v>
      </c>
      <c r="AP672" s="94">
        <f>IF('Net zero activities &amp; levers'!$C$9="Off",'Activity data'!BI55*ManureNEF*NtoN2O*kgtoGg,IF('Net zero activities &amp; levers'!$C$9="On",(('Net zero supporting data'!AG163*'Net zero supporting data'!AG183)+('Net zero supporting data'!AG175*ManureNEF))*NtoN2O*kgtoGg,"ERROR"))</f>
        <v>0.53432263715206374</v>
      </c>
      <c r="AQ672" s="94">
        <f>IF('Net zero activities &amp; levers'!$C$9="Off",'Activity data'!BJ55*ManureNEF*NtoN2O*kgtoGg,IF('Net zero activities &amp; levers'!$C$9="On",(('Net zero supporting data'!AH163*'Net zero supporting data'!AH183)+('Net zero supporting data'!AH175*ManureNEF))*NtoN2O*kgtoGg,"ERROR"))</f>
        <v>0.55171629402233013</v>
      </c>
      <c r="AR672" s="94">
        <f>IF('Net zero activities &amp; levers'!$C$9="Off",'Activity data'!BK55*ManureNEF*NtoN2O*kgtoGg,IF('Net zero activities &amp; levers'!$C$9="On",(('Net zero supporting data'!AI163*'Net zero supporting data'!AI183)+('Net zero supporting data'!AI175*ManureNEF))*NtoN2O*kgtoGg,"ERROR"))</f>
        <v>0.56984064702095716</v>
      </c>
      <c r="AS672" s="94">
        <f>IF('Net zero activities &amp; levers'!$C$9="Off",'Activity data'!BL55*ManureNEF*NtoN2O*kgtoGg,IF('Net zero activities &amp; levers'!$C$9="On",(('Net zero supporting data'!AJ163*'Net zero supporting data'!AJ183)+('Net zero supporting data'!AJ175*ManureNEF))*NtoN2O*kgtoGg,"ERROR"))</f>
        <v>0.59031438851484697</v>
      </c>
      <c r="AT672" s="94">
        <f>IF('Net zero activities &amp; levers'!$C$9="Off",'Activity data'!BM55*ManureNEF*NtoN2O*kgtoGg,IF('Net zero activities &amp; levers'!$C$9="On",(('Net zero supporting data'!AK163*'Net zero supporting data'!AK183)+('Net zero supporting data'!AK175*ManureNEF))*NtoN2O*kgtoGg,"ERROR"))</f>
        <v>0.60545483802764988</v>
      </c>
      <c r="AU672" s="94">
        <f>IF('Net zero activities &amp; levers'!$C$9="Off",'Activity data'!BN55*ManureNEF*NtoN2O*kgtoGg,IF('Net zero activities &amp; levers'!$C$9="On",(('Net zero supporting data'!AL163*'Net zero supporting data'!AL183)+('Net zero supporting data'!AL175*ManureNEF))*NtoN2O*kgtoGg,"ERROR"))</f>
        <v>0.62039585533329933</v>
      </c>
      <c r="AV672" s="94">
        <f>IF('Net zero activities &amp; levers'!$C$9="Off",'Activity data'!BO55*ManureNEF*NtoN2O*kgtoGg,IF('Net zero activities &amp; levers'!$C$9="On",(('Net zero supporting data'!AM163*'Net zero supporting data'!AM183)+('Net zero supporting data'!AM175*ManureNEF))*NtoN2O*kgtoGg,"ERROR"))</f>
        <v>0.63573980106485251</v>
      </c>
      <c r="AW672" s="94">
        <f>IF('Net zero activities &amp; levers'!$C$9="Off",'Activity data'!BP55*ManureNEF*NtoN2O*kgtoGg,IF('Net zero activities &amp; levers'!$C$9="On",(('Net zero supporting data'!AN163*'Net zero supporting data'!AN183)+('Net zero supporting data'!AN175*ManureNEF))*NtoN2O*kgtoGg,"ERROR"))</f>
        <v>0.6512342396680193</v>
      </c>
      <c r="AY672" s="79"/>
      <c r="AZ672" s="79"/>
    </row>
    <row r="673" spans="1:52" x14ac:dyDescent="0.2">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5.9536061137450337E-2</v>
      </c>
      <c r="T673" s="94">
        <f>IF('Net zero activities &amp; levers'!$C$9="Off",'Activity data'!AM56*ManureNEF*NtoN2O*kgtoGg,IF('Net zero activities &amp; levers'!$C$9="On",(('Net zero supporting data'!K164*'Net zero supporting data'!K183)+('Net zero supporting data'!K176*ManureNEF))*NtoN2O*kgtoGg,"ERROR"))</f>
        <v>5.8583261955652222E-2</v>
      </c>
      <c r="U673" s="94">
        <f>IF('Net zero activities &amp; levers'!$C$9="Off",'Activity data'!AN56*ManureNEF*NtoN2O*kgtoGg,IF('Net zero activities &amp; levers'!$C$9="On",(('Net zero supporting data'!L164*'Net zero supporting data'!L183)+('Net zero supporting data'!L176*ManureNEF))*NtoN2O*kgtoGg,"ERROR"))</f>
        <v>5.7638684686828062E-2</v>
      </c>
      <c r="V673" s="94">
        <f>IF('Net zero activities &amp; levers'!$C$9="Off",'Activity data'!AO56*ManureNEF*NtoN2O*kgtoGg,IF('Net zero activities &amp; levers'!$C$9="On",(('Net zero supporting data'!M164*'Net zero supporting data'!M183)+('Net zero supporting data'!M176*ManureNEF))*NtoN2O*kgtoGg,"ERROR"))</f>
        <v>5.6702957735558536E-2</v>
      </c>
      <c r="W673" s="94">
        <f>IF('Net zero activities &amp; levers'!$C$9="Off",'Activity data'!AP56*ManureNEF*NtoN2O*kgtoGg,IF('Net zero activities &amp; levers'!$C$9="On",(('Net zero supporting data'!N164*'Net zero supporting data'!N183)+('Net zero supporting data'!N176*ManureNEF))*NtoN2O*kgtoGg,"ERROR"))</f>
        <v>5.5776615653283103E-2</v>
      </c>
      <c r="X673" s="94">
        <f>IF('Net zero activities &amp; levers'!$C$9="Off",'Activity data'!AQ56*ManureNEF*NtoN2O*kgtoGg,IF('Net zero activities &amp; levers'!$C$9="On",(('Net zero supporting data'!O164*'Net zero supporting data'!O183)+('Net zero supporting data'!O176*ManureNEF))*NtoN2O*kgtoGg,"ERROR"))</f>
        <v>5.4856425795301034E-2</v>
      </c>
      <c r="Y673" s="94">
        <f>IF('Net zero activities &amp; levers'!$C$9="Off",'Activity data'!AR56*ManureNEF*NtoN2O*kgtoGg,IF('Net zero activities &amp; levers'!$C$9="On",(('Net zero supporting data'!P164*'Net zero supporting data'!P183)+('Net zero supporting data'!P176*ManureNEF))*NtoN2O*kgtoGg,"ERROR"))</f>
        <v>5.3881557628362733E-2</v>
      </c>
      <c r="Z673" s="94">
        <f>IF('Net zero activities &amp; levers'!$C$9="Off",'Activity data'!AS56*ManureNEF*NtoN2O*kgtoGg,IF('Net zero activities &amp; levers'!$C$9="On",(('Net zero supporting data'!Q164*'Net zero supporting data'!Q183)+('Net zero supporting data'!Q176*ManureNEF))*NtoN2O*kgtoGg,"ERROR"))</f>
        <v>5.291251985372214E-2</v>
      </c>
      <c r="AA673" s="94">
        <f>IF('Net zero activities &amp; levers'!$C$9="Off",'Activity data'!AT56*ManureNEF*NtoN2O*kgtoGg,IF('Net zero activities &amp; levers'!$C$9="On",(('Net zero supporting data'!R164*'Net zero supporting data'!R183)+('Net zero supporting data'!R176*ManureNEF))*NtoN2O*kgtoGg,"ERROR"))</f>
        <v>5.1948175499473233E-2</v>
      </c>
      <c r="AB673" s="94">
        <f>IF('Net zero activities &amp; levers'!$C$9="Off",'Activity data'!AU56*ManureNEF*NtoN2O*kgtoGg,IF('Net zero activities &amp; levers'!$C$9="On",(('Net zero supporting data'!S164*'Net zero supporting data'!S183)+('Net zero supporting data'!S176*ManureNEF))*NtoN2O*kgtoGg,"ERROR"))</f>
        <v>5.0990048233110263E-2</v>
      </c>
      <c r="AC673" s="94">
        <f>IF('Net zero activities &amp; levers'!$C$9="Off",'Activity data'!AV56*ManureNEF*NtoN2O*kgtoGg,IF('Net zero activities &amp; levers'!$C$9="On",(('Net zero supporting data'!T164*'Net zero supporting data'!T183)+('Net zero supporting data'!T176*ManureNEF))*NtoN2O*kgtoGg,"ERROR"))</f>
        <v>5.0035139243699268E-2</v>
      </c>
      <c r="AD673" s="94">
        <f>IF('Net zero activities &amp; levers'!$C$9="Off",'Activity data'!AW56*ManureNEF*NtoN2O*kgtoGg,IF('Net zero activities &amp; levers'!$C$9="On",(('Net zero supporting data'!U164*'Net zero supporting data'!U183)+('Net zero supporting data'!U176*ManureNEF))*NtoN2O*kgtoGg,"ERROR"))</f>
        <v>4.904045115640062E-2</v>
      </c>
      <c r="AE673" s="94">
        <f>IF('Net zero activities &amp; levers'!$C$9="Off",'Activity data'!AX56*ManureNEF*NtoN2O*kgtoGg,IF('Net zero activities &amp; levers'!$C$9="On",(('Net zero supporting data'!V164*'Net zero supporting data'!V183)+('Net zero supporting data'!V176*ManureNEF))*NtoN2O*kgtoGg,"ERROR"))</f>
        <v>4.8050863210141785E-2</v>
      </c>
      <c r="AF673" s="94">
        <f>IF('Net zero activities &amp; levers'!$C$9="Off",'Activity data'!AY56*ManureNEF*NtoN2O*kgtoGg,IF('Net zero activities &amp; levers'!$C$9="On",(('Net zero supporting data'!W164*'Net zero supporting data'!W183)+('Net zero supporting data'!W176*ManureNEF))*NtoN2O*kgtoGg,"ERROR"))</f>
        <v>4.7064700844772579E-2</v>
      </c>
      <c r="AG673" s="94">
        <f>IF('Net zero activities &amp; levers'!$C$9="Off",'Activity data'!AZ56*ManureNEF*NtoN2O*kgtoGg,IF('Net zero activities &amp; levers'!$C$9="On",(('Net zero supporting data'!X164*'Net zero supporting data'!X183)+('Net zero supporting data'!X176*ManureNEF))*NtoN2O*kgtoGg,"ERROR"))</f>
        <v>4.6082305118351152E-2</v>
      </c>
      <c r="AH673" s="94">
        <f>IF('Net zero activities &amp; levers'!$C$9="Off",'Activity data'!BA56*ManureNEF*NtoN2O*kgtoGg,IF('Net zero activities &amp; levers'!$C$9="On",(('Net zero supporting data'!Y164*'Net zero supporting data'!Y183)+('Net zero supporting data'!Y176*ManureNEF))*NtoN2O*kgtoGg,"ERROR"))</f>
        <v>4.5098447476948453E-2</v>
      </c>
      <c r="AI673" s="94">
        <f>IF('Net zero activities &amp; levers'!$C$9="Off",'Activity data'!BB56*ManureNEF*NtoN2O*kgtoGg,IF('Net zero activities &amp; levers'!$C$9="On",(('Net zero supporting data'!Z164*'Net zero supporting data'!Z183)+('Net zero supporting data'!Z176*ManureNEF))*NtoN2O*kgtoGg,"ERROR"))</f>
        <v>4.4078739439493649E-2</v>
      </c>
      <c r="AJ673" s="94">
        <f>IF('Net zero activities &amp; levers'!$C$9="Off",'Activity data'!BC56*ManureNEF*NtoN2O*kgtoGg,IF('Net zero activities &amp; levers'!$C$9="On",(('Net zero supporting data'!AA164*'Net zero supporting data'!AA183)+('Net zero supporting data'!AA176*ManureNEF))*NtoN2O*kgtoGg,"ERROR"))</f>
        <v>4.3061731298331303E-2</v>
      </c>
      <c r="AK673" s="94">
        <f>IF('Net zero activities &amp; levers'!$C$9="Off",'Activity data'!BD56*ManureNEF*NtoN2O*kgtoGg,IF('Net zero activities &amp; levers'!$C$9="On",(('Net zero supporting data'!AB164*'Net zero supporting data'!AB183)+('Net zero supporting data'!AB176*ManureNEF))*NtoN2O*kgtoGg,"ERROR"))</f>
        <v>4.2045687178776443E-2</v>
      </c>
      <c r="AL673" s="94">
        <f>IF('Net zero activities &amp; levers'!$C$9="Off",'Activity data'!BE56*ManureNEF*NtoN2O*kgtoGg,IF('Net zero activities &amp; levers'!$C$9="On",(('Net zero supporting data'!AC164*'Net zero supporting data'!AC183)+('Net zero supporting data'!AC176*ManureNEF))*NtoN2O*kgtoGg,"ERROR"))</f>
        <v>4.1030982627923089E-2</v>
      </c>
      <c r="AM673" s="94">
        <f>IF('Net zero activities &amp; levers'!$C$9="Off",'Activity data'!BF56*ManureNEF*NtoN2O*kgtoGg,IF('Net zero activities &amp; levers'!$C$9="On",(('Net zero supporting data'!AD164*'Net zero supporting data'!AD183)+('Net zero supporting data'!AD176*ManureNEF))*NtoN2O*kgtoGg,"ERROR"))</f>
        <v>4.0016761372088677E-2</v>
      </c>
      <c r="AN673" s="94">
        <f>IF('Net zero activities &amp; levers'!$C$9="Off",'Activity data'!BG56*ManureNEF*NtoN2O*kgtoGg,IF('Net zero activities &amp; levers'!$C$9="On",(('Net zero supporting data'!AE164*'Net zero supporting data'!AE183)+('Net zero supporting data'!AE176*ManureNEF))*NtoN2O*kgtoGg,"ERROR"))</f>
        <v>4.0052424842482948E-2</v>
      </c>
      <c r="AO673" s="94">
        <f>IF('Net zero activities &amp; levers'!$C$9="Off",'Activity data'!BH56*ManureNEF*NtoN2O*kgtoGg,IF('Net zero activities &amp; levers'!$C$9="On",(('Net zero supporting data'!AF164*'Net zero supporting data'!AF183)+('Net zero supporting data'!AF176*ManureNEF))*NtoN2O*kgtoGg,"ERROR"))</f>
        <v>4.0090785515976959E-2</v>
      </c>
      <c r="AP673" s="94">
        <f>IF('Net zero activities &amp; levers'!$C$9="Off",'Activity data'!BI56*ManureNEF*NtoN2O*kgtoGg,IF('Net zero activities &amp; levers'!$C$9="On",(('Net zero supporting data'!AG164*'Net zero supporting data'!AG183)+('Net zero supporting data'!AG176*ManureNEF))*NtoN2O*kgtoGg,"ERROR"))</f>
        <v>4.0132333645491076E-2</v>
      </c>
      <c r="AQ673" s="94">
        <f>IF('Net zero activities &amp; levers'!$C$9="Off",'Activity data'!BJ56*ManureNEF*NtoN2O*kgtoGg,IF('Net zero activities &amp; levers'!$C$9="On",(('Net zero supporting data'!AH164*'Net zero supporting data'!AH183)+('Net zero supporting data'!AH176*ManureNEF))*NtoN2O*kgtoGg,"ERROR"))</f>
        <v>4.0177126587629307E-2</v>
      </c>
      <c r="AR673" s="94">
        <f>IF('Net zero activities &amp; levers'!$C$9="Off",'Activity data'!BK56*ManureNEF*NtoN2O*kgtoGg,IF('Net zero activities &amp; levers'!$C$9="On",(('Net zero supporting data'!AI164*'Net zero supporting data'!AI183)+('Net zero supporting data'!AI176*ManureNEF))*NtoN2O*kgtoGg,"ERROR"))</f>
        <v>4.0225133029777524E-2</v>
      </c>
      <c r="AS673" s="94">
        <f>IF('Net zero activities &amp; levers'!$C$9="Off",'Activity data'!BL56*ManureNEF*NtoN2O*kgtoGg,IF('Net zero activities &amp; levers'!$C$9="On",(('Net zero supporting data'!AJ164*'Net zero supporting data'!AJ183)+('Net zero supporting data'!AJ176*ManureNEF))*NtoN2O*kgtoGg,"ERROR"))</f>
        <v>4.0246599117593145E-2</v>
      </c>
      <c r="AT673" s="94">
        <f>IF('Net zero activities &amp; levers'!$C$9="Off",'Activity data'!BM56*ManureNEF*NtoN2O*kgtoGg,IF('Net zero activities &amp; levers'!$C$9="On",(('Net zero supporting data'!AK164*'Net zero supporting data'!AK183)+('Net zero supporting data'!AK176*ManureNEF))*NtoN2O*kgtoGg,"ERROR"))</f>
        <v>4.0266578922084691E-2</v>
      </c>
      <c r="AU673" s="94">
        <f>IF('Net zero activities &amp; levers'!$C$9="Off",'Activity data'!BN56*ManureNEF*NtoN2O*kgtoGg,IF('Net zero activities &amp; levers'!$C$9="On",(('Net zero supporting data'!AL164*'Net zero supporting data'!AL183)+('Net zero supporting data'!AL176*ManureNEF))*NtoN2O*kgtoGg,"ERROR"))</f>
        <v>4.0288728566038892E-2</v>
      </c>
      <c r="AV673" s="94">
        <f>IF('Net zero activities &amp; levers'!$C$9="Off",'Activity data'!BO56*ManureNEF*NtoN2O*kgtoGg,IF('Net zero activities &amp; levers'!$C$9="On",(('Net zero supporting data'!AM164*'Net zero supporting data'!AM183)+('Net zero supporting data'!AM176*ManureNEF))*NtoN2O*kgtoGg,"ERROR"))</f>
        <v>4.0313403086715514E-2</v>
      </c>
      <c r="AW673" s="94">
        <f>IF('Net zero activities &amp; levers'!$C$9="Off",'Activity data'!BP56*ManureNEF*NtoN2O*kgtoGg,IF('Net zero activities &amp; levers'!$C$9="On",(('Net zero supporting data'!AN164*'Net zero supporting data'!AN183)+('Net zero supporting data'!AN176*ManureNEF))*NtoN2O*kgtoGg,"ERROR"))</f>
        <v>4.0340348477224161E-2</v>
      </c>
      <c r="AY673" s="79"/>
      <c r="AZ673" s="79"/>
    </row>
    <row r="674" spans="1:52" x14ac:dyDescent="0.2">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4.8454260958953527E-2</v>
      </c>
      <c r="T674" s="22">
        <f t="shared" si="146"/>
        <v>4.8528052865226608E-2</v>
      </c>
      <c r="U674" s="22">
        <f t="shared" si="146"/>
        <v>4.8611455379029278E-2</v>
      </c>
      <c r="V674" s="22">
        <f t="shared" si="146"/>
        <v>4.8705540788281515E-2</v>
      </c>
      <c r="W674" s="22">
        <f t="shared" si="146"/>
        <v>4.8811379957736697E-2</v>
      </c>
      <c r="X674" s="22">
        <f t="shared" si="146"/>
        <v>4.8926765916481318E-2</v>
      </c>
      <c r="Y674" s="22">
        <f t="shared" si="146"/>
        <v>4.8996942710480308E-2</v>
      </c>
      <c r="Z674" s="22">
        <f t="shared" si="146"/>
        <v>4.9075326153582635E-2</v>
      </c>
      <c r="AA674" s="22">
        <f t="shared" si="146"/>
        <v>4.9161341255667866E-2</v>
      </c>
      <c r="AB674" s="22">
        <f t="shared" si="146"/>
        <v>4.9256935459255795E-2</v>
      </c>
      <c r="AC674" s="22">
        <f t="shared" si="146"/>
        <v>4.9359760010844099E-2</v>
      </c>
      <c r="AD674" s="22">
        <f t="shared" si="146"/>
        <v>4.9426948749236969E-2</v>
      </c>
      <c r="AE674" s="22">
        <f t="shared" si="146"/>
        <v>4.9502368408366512E-2</v>
      </c>
      <c r="AF674" s="22">
        <f t="shared" si="146"/>
        <v>4.9584814145516069E-2</v>
      </c>
      <c r="AG674" s="22">
        <f t="shared" si="146"/>
        <v>4.967514217789748E-2</v>
      </c>
      <c r="AH674" s="22">
        <f t="shared" si="146"/>
        <v>4.9768143676120806E-2</v>
      </c>
      <c r="AI674" s="22">
        <f t="shared" si="146"/>
        <v>4.9825141984396873E-2</v>
      </c>
      <c r="AJ674" s="22">
        <f t="shared" si="146"/>
        <v>4.9888107964376358E-2</v>
      </c>
      <c r="AK674" s="22">
        <f t="shared" si="146"/>
        <v>4.9955436560191149E-2</v>
      </c>
      <c r="AL674" s="22">
        <f t="shared" si="146"/>
        <v>5.0027928792990776E-2</v>
      </c>
      <c r="AM674" s="22">
        <f t="shared" si="146"/>
        <v>5.0104929586711242E-2</v>
      </c>
      <c r="AN674" s="22">
        <f t="shared" si="146"/>
        <v>5.0149583766901075E-2</v>
      </c>
      <c r="AO674" s="22">
        <f t="shared" si="146"/>
        <v>5.0197615111228118E-2</v>
      </c>
      <c r="AP674" s="22">
        <f t="shared" si="146"/>
        <v>5.0249637464671662E-2</v>
      </c>
      <c r="AQ674" s="22">
        <f t="shared" si="146"/>
        <v>5.0305722643353402E-2</v>
      </c>
      <c r="AR674" s="22">
        <f t="shared" si="146"/>
        <v>5.0365831440794026E-2</v>
      </c>
      <c r="AS674" s="22">
        <f t="shared" si="146"/>
        <v>5.0392709098596028E-2</v>
      </c>
      <c r="AT674" s="22">
        <f t="shared" si="146"/>
        <v>5.0417725783177193E-2</v>
      </c>
      <c r="AU674" s="22">
        <f t="shared" si="146"/>
        <v>5.0445459320641074E-2</v>
      </c>
      <c r="AV674" s="22">
        <f t="shared" si="146"/>
        <v>5.0476354252632014E-2</v>
      </c>
      <c r="AW674" s="22">
        <f t="shared" si="146"/>
        <v>5.0510092537486409E-2</v>
      </c>
      <c r="AY674" s="79"/>
      <c r="AZ674" s="79"/>
    </row>
    <row r="675" spans="1:52" x14ac:dyDescent="0.2">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7.2140927380493743E-3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7.2902308808567339E-3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7.4155715935563127E-3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7.5091824622274591E-3</v>
      </c>
      <c r="T675" s="94">
        <f>IF('Net zero activities &amp; levers'!$C$9="Off",'Activity data'!AM58*ManureNEF*NtoN2O*kgtoGg,IF('Net zero activities &amp; levers'!$C$9="On",(('Net zero supporting data'!K165*'Net zero supporting data'!K183)+('Net zero supporting data'!K177*ManureNEF))*NtoN2O*kgtoGg,"ERROR"))</f>
        <v>7.3992101110692838E-3</v>
      </c>
      <c r="U675" s="94">
        <f>IF('Net zero activities &amp; levers'!$C$9="Off",'Activity data'!AN58*ManureNEF*NtoN2O*kgtoGg,IF('Net zero activities &amp; levers'!$C$9="On",(('Net zero supporting data'!L165*'Net zero supporting data'!L183)+('Net zero supporting data'!L177*ManureNEF))*NtoN2O*kgtoGg,"ERROR"))</f>
        <v>7.2900497403413159E-3</v>
      </c>
      <c r="V675" s="94">
        <f>IF('Net zero activities &amp; levers'!$C$9="Off",'Activity data'!AO58*ManureNEF*NtoN2O*kgtoGg,IF('Net zero activities &amp; levers'!$C$9="On",(('Net zero supporting data'!M165*'Net zero supporting data'!M183)+('Net zero supporting data'!M177*ManureNEF))*NtoN2O*kgtoGg,"ERROR"))</f>
        <v>7.1818873784111788E-3</v>
      </c>
      <c r="W675" s="94">
        <f>IF('Net zero activities &amp; levers'!$C$9="Off",'Activity data'!AP58*ManureNEF*NtoN2O*kgtoGg,IF('Net zero activities &amp; levers'!$C$9="On",(('Net zero supporting data'!N165*'Net zero supporting data'!N183)+('Net zero supporting data'!N177*ManureNEF))*NtoN2O*kgtoGg,"ERROR"))</f>
        <v>7.0748813279419131E-3</v>
      </c>
      <c r="X675" s="94">
        <f>IF('Net zero activities &amp; levers'!$C$9="Off",'Activity data'!AQ58*ManureNEF*NtoN2O*kgtoGg,IF('Net zero activities &amp; levers'!$C$9="On",(('Net zero supporting data'!O165*'Net zero supporting data'!O183)+('Net zero supporting data'!O177*ManureNEF))*NtoN2O*kgtoGg,"ERROR"))</f>
        <v>6.9684685273137216E-3</v>
      </c>
      <c r="Y675" s="94">
        <f>IF('Net zero activities &amp; levers'!$C$9="Off",'Activity data'!AR58*ManureNEF*NtoN2O*kgtoGg,IF('Net zero activities &amp; levers'!$C$9="On",(('Net zero supporting data'!P165*'Net zero supporting data'!P183)+('Net zero supporting data'!P177*ManureNEF))*NtoN2O*kgtoGg,"ERROR"))</f>
        <v>6.8512084960405213E-3</v>
      </c>
      <c r="Z675" s="94">
        <f>IF('Net zero activities &amp; levers'!$C$9="Off",'Activity data'!AS58*ManureNEF*NtoN2O*kgtoGg,IF('Net zero activities &amp; levers'!$C$9="On",(('Net zero supporting data'!Q165*'Net zero supporting data'!Q183)+('Net zero supporting data'!Q177*ManureNEF))*NtoN2O*kgtoGg,"ERROR"))</f>
        <v>6.7346206255550906E-3</v>
      </c>
      <c r="AA675" s="94">
        <f>IF('Net zero activities &amp; levers'!$C$9="Off",'Activity data'!AT58*ManureNEF*NtoN2O*kgtoGg,IF('Net zero activities &amp; levers'!$C$9="On",(('Net zero supporting data'!R165*'Net zero supporting data'!R183)+('Net zero supporting data'!R177*ManureNEF))*NtoN2O*kgtoGg,"ERROR"))</f>
        <v>6.6185262248360582E-3</v>
      </c>
      <c r="AB675" s="94">
        <f>IF('Net zero activities &amp; levers'!$C$9="Off",'Activity data'!AU58*ManureNEF*NtoN2O*kgtoGg,IF('Net zero activities &amp; levers'!$C$9="On",(('Net zero supporting data'!S165*'Net zero supporting data'!S183)+('Net zero supporting data'!S177*ManureNEF))*NtoN2O*kgtoGg,"ERROR"))</f>
        <v>6.5032435553053266E-3</v>
      </c>
      <c r="AC675" s="94">
        <f>IF('Net zero activities &amp; levers'!$C$9="Off",'Activity data'!AV58*ManureNEF*NtoN2O*kgtoGg,IF('Net zero activities &amp; levers'!$C$9="On",(('Net zero supporting data'!T165*'Net zero supporting data'!T183)+('Net zero supporting data'!T177*ManureNEF))*NtoN2O*kgtoGg,"ERROR"))</f>
        <v>6.3882383015886248E-3</v>
      </c>
      <c r="AD675" s="94">
        <f>IF('Net zero activities &amp; levers'!$C$9="Off",'Activity data'!AW58*ManureNEF*NtoN2O*kgtoGg,IF('Net zero activities &amp; levers'!$C$9="On",(('Net zero supporting data'!U165*'Net zero supporting data'!U183)+('Net zero supporting data'!U177*ManureNEF))*NtoN2O*kgtoGg,"ERROR"))</f>
        <v>6.2655055258477761E-3</v>
      </c>
      <c r="AE675" s="94">
        <f>IF('Net zero activities &amp; levers'!$C$9="Off",'Activity data'!AX58*ManureNEF*NtoN2O*kgtoGg,IF('Net zero activities &amp; levers'!$C$9="On",(('Net zero supporting data'!V165*'Net zero supporting data'!V183)+('Net zero supporting data'!V177*ManureNEF))*NtoN2O*kgtoGg,"ERROR"))</f>
        <v>6.1434859702708573E-3</v>
      </c>
      <c r="AF675" s="94">
        <f>IF('Net zero activities &amp; levers'!$C$9="Off",'Activity data'!AY58*ManureNEF*NtoN2O*kgtoGg,IF('Net zero activities &amp; levers'!$C$9="On",(('Net zero supporting data'!W165*'Net zero supporting data'!W183)+('Net zero supporting data'!W177*ManureNEF))*NtoN2O*kgtoGg,"ERROR"))</f>
        <v>6.0218872900626233E-3</v>
      </c>
      <c r="AG675" s="94">
        <f>IF('Net zero activities &amp; levers'!$C$9="Off",'Activity data'!AZ58*ManureNEF*NtoN2O*kgtoGg,IF('Net zero activities &amp; levers'!$C$9="On",(('Net zero supporting data'!X165*'Net zero supporting data'!X183)+('Net zero supporting data'!X177*ManureNEF))*NtoN2O*kgtoGg,"ERROR"))</f>
        <v>5.9007918506385829E-3</v>
      </c>
      <c r="AH675" s="94">
        <f>IF('Net zero activities &amp; levers'!$C$9="Off",'Activity data'!BA58*ManureNEF*NtoN2O*kgtoGg,IF('Net zero activities &amp; levers'!$C$9="On",(('Net zero supporting data'!Y165*'Net zero supporting data'!Y183)+('Net zero supporting data'!Y177*ManureNEF))*NtoN2O*kgtoGg,"ERROR"))</f>
        <v>5.7792474179244827E-3</v>
      </c>
      <c r="AI675" s="94">
        <f>IF('Net zero activities &amp; levers'!$C$9="Off",'Activity data'!BB58*ManureNEF*NtoN2O*kgtoGg,IF('Net zero activities &amp; levers'!$C$9="On",(('Net zero supporting data'!Z165*'Net zero supporting data'!Z183)+('Net zero supporting data'!Z177*ManureNEF))*NtoN2O*kgtoGg,"ERROR"))</f>
        <v>5.6509133880484376E-3</v>
      </c>
      <c r="AJ675" s="94">
        <f>IF('Net zero activities &amp; levers'!$C$9="Off",'Activity data'!BC58*ManureNEF*NtoN2O*kgtoGg,IF('Net zero activities &amp; levers'!$C$9="On",(('Net zero supporting data'!AA165*'Net zero supporting data'!AA183)+('Net zero supporting data'!AA177*ManureNEF))*NtoN2O*kgtoGg,"ERROR"))</f>
        <v>5.5229623318769324E-3</v>
      </c>
      <c r="AK675" s="94">
        <f>IF('Net zero activities &amp; levers'!$C$9="Off",'Activity data'!BD58*ManureNEF*NtoN2O*kgtoGg,IF('Net zero activities &amp; levers'!$C$9="On",(('Net zero supporting data'!AB165*'Net zero supporting data'!AB183)+('Net zero supporting data'!AB177*ManureNEF))*NtoN2O*kgtoGg,"ERROR"))</f>
        <v>5.3950870274720435E-3</v>
      </c>
      <c r="AL675" s="94">
        <f>IF('Net zero activities &amp; levers'!$C$9="Off",'Activity data'!BE58*ManureNEF*NtoN2O*kgtoGg,IF('Net zero activities &amp; levers'!$C$9="On",(('Net zero supporting data'!AC165*'Net zero supporting data'!AC183)+('Net zero supporting data'!AC177*ManureNEF))*NtoN2O*kgtoGg,"ERROR"))</f>
        <v>5.2673698372179183E-3</v>
      </c>
      <c r="AM675" s="94">
        <f>IF('Net zero activities &amp; levers'!$C$9="Off",'Activity data'!BF58*ManureNEF*NtoN2O*kgtoGg,IF('Net zero activities &amp; levers'!$C$9="On",(('Net zero supporting data'!AD165*'Net zero supporting data'!AD183)+('Net zero supporting data'!AD177*ManureNEF))*NtoN2O*kgtoGg,"ERROR"))</f>
        <v>5.1396653274064933E-3</v>
      </c>
      <c r="AN675" s="94">
        <f>IF('Net zero activities &amp; levers'!$C$9="Off",'Activity data'!BG58*ManureNEF*NtoN2O*kgtoGg,IF('Net zero activities &amp; levers'!$C$9="On",(('Net zero supporting data'!AE165*'Net zero supporting data'!AE183)+('Net zero supporting data'!AE177*ManureNEF))*NtoN2O*kgtoGg,"ERROR"))</f>
        <v>5.1452062683675377E-3</v>
      </c>
      <c r="AO675" s="94">
        <f>IF('Net zero activities &amp; levers'!$C$9="Off",'Activity data'!BH58*ManureNEF*NtoN2O*kgtoGg,IF('Net zero activities &amp; levers'!$C$9="On",(('Net zero supporting data'!AF165*'Net zero supporting data'!AF183)+('Net zero supporting data'!AF177*ManureNEF))*NtoN2O*kgtoGg,"ERROR"))</f>
        <v>5.1511478446493219E-3</v>
      </c>
      <c r="AP675" s="94">
        <f>IF('Net zero activities &amp; levers'!$C$9="Off",'Activity data'!BI58*ManureNEF*NtoN2O*kgtoGg,IF('Net zero activities &amp; levers'!$C$9="On",(('Net zero supporting data'!AG165*'Net zero supporting data'!AG183)+('Net zero supporting data'!AG177*ManureNEF))*NtoN2O*kgtoGg,"ERROR"))</f>
        <v>5.157581714633418E-3</v>
      </c>
      <c r="AQ675" s="94">
        <f>IF('Net zero activities &amp; levers'!$C$9="Off",'Activity data'!BJ58*ManureNEF*NtoN2O*kgtoGg,IF('Net zero activities &amp; levers'!$C$9="On",(('Net zero supporting data'!AH165*'Net zero supporting data'!AH183)+('Net zero supporting data'!AH177*ManureNEF))*NtoN2O*kgtoGg,"ERROR"))</f>
        <v>5.1645197285120929E-3</v>
      </c>
      <c r="AR675" s="94">
        <f>IF('Net zero activities &amp; levers'!$C$9="Off",'Activity data'!BK58*ManureNEF*NtoN2O*kgtoGg,IF('Net zero activities &amp; levers'!$C$9="On",(('Net zero supporting data'!AI165*'Net zero supporting data'!AI183)+('Net zero supporting data'!AI177*ManureNEF))*NtoN2O*kgtoGg,"ERROR"))</f>
        <v>5.1719573058238086E-3</v>
      </c>
      <c r="AS675" s="94">
        <f>IF('Net zero activities &amp; levers'!$C$9="Off",'Activity data'!BL58*ManureNEF*NtoN2O*kgtoGg,IF('Net zero activities &amp; levers'!$C$9="On",(('Net zero supporting data'!AJ165*'Net zero supporting data'!AJ183)+('Net zero supporting data'!AJ177*ManureNEF))*NtoN2O*kgtoGg,"ERROR"))</f>
        <v>5.1744873941940292E-3</v>
      </c>
      <c r="AT675" s="94">
        <f>IF('Net zero activities &amp; levers'!$C$9="Off",'Activity data'!BM58*ManureNEF*NtoN2O*kgtoGg,IF('Net zero activities &amp; levers'!$C$9="On",(('Net zero supporting data'!AK165*'Net zero supporting data'!AK183)+('Net zero supporting data'!AK177*ManureNEF))*NtoN2O*kgtoGg,"ERROR"))</f>
        <v>5.1766836248620714E-3</v>
      </c>
      <c r="AU675" s="94">
        <f>IF('Net zero activities &amp; levers'!$C$9="Off",'Activity data'!BN58*ManureNEF*NtoN2O*kgtoGg,IF('Net zero activities &amp; levers'!$C$9="On",(('Net zero supporting data'!AL165*'Net zero supporting data'!AL183)+('Net zero supporting data'!AL177*ManureNEF))*NtoN2O*kgtoGg,"ERROR"))</f>
        <v>5.1792127657218617E-3</v>
      </c>
      <c r="AV675" s="94">
        <f>IF('Net zero activities &amp; levers'!$C$9="Off",'Activity data'!BO58*ManureNEF*NtoN2O*kgtoGg,IF('Net zero activities &amp; levers'!$C$9="On",(('Net zero supporting data'!AM165*'Net zero supporting data'!AM183)+('Net zero supporting data'!AM177*ManureNEF))*NtoN2O*kgtoGg,"ERROR"))</f>
        <v>5.1821400218727198E-3</v>
      </c>
      <c r="AW675" s="94">
        <f>IF('Net zero activities &amp; levers'!$C$9="Off",'Activity data'!BP58*ManureNEF*NtoN2O*kgtoGg,IF('Net zero activities &amp; levers'!$C$9="On",(('Net zero supporting data'!AN165*'Net zero supporting data'!AN183)+('Net zero supporting data'!AN177*ManureNEF))*NtoN2O*kgtoGg,"ERROR"))</f>
        <v>5.1854200669924581E-3</v>
      </c>
      <c r="AY675" s="79"/>
      <c r="AZ675" s="79"/>
    </row>
    <row r="676" spans="1:52" x14ac:dyDescent="0.2">
      <c r="A676" s="95" t="str">
        <f t="shared" si="133"/>
        <v>NI Organic</v>
      </c>
      <c r="B676" s="95" t="s">
        <v>969</v>
      </c>
      <c r="C676" s="95" t="s">
        <v>1127</v>
      </c>
      <c r="D676" t="s">
        <v>369</v>
      </c>
      <c r="E676" t="s">
        <v>55</v>
      </c>
      <c r="F676" t="s">
        <v>421</v>
      </c>
      <c r="G676" t="s">
        <v>1170</v>
      </c>
      <c r="H676" t="s">
        <v>1171</v>
      </c>
      <c r="I676" t="s">
        <v>139</v>
      </c>
      <c r="J676" t="s">
        <v>287</v>
      </c>
      <c r="K676" s="22">
        <f>K1475</f>
        <v>8.7045671471293523E-2</v>
      </c>
      <c r="L676" s="22">
        <f t="shared" ref="L676:AW678" si="147">L1475</f>
        <v>8.7271948200639354E-2</v>
      </c>
      <c r="M676" s="22">
        <f t="shared" si="147"/>
        <v>8.7584088952434122E-2</v>
      </c>
      <c r="N676" s="22">
        <f t="shared" si="147"/>
        <v>8.7964358824768801E-2</v>
      </c>
      <c r="O676" s="22">
        <f t="shared" si="147"/>
        <v>8.8412215452112072E-2</v>
      </c>
      <c r="P676" s="22">
        <f t="shared" si="147"/>
        <v>8.8924932944132923E-2</v>
      </c>
      <c r="Q676" s="22">
        <f t="shared" si="147"/>
        <v>8.9476727309038565E-2</v>
      </c>
      <c r="R676" s="22">
        <f t="shared" si="147"/>
        <v>9.0065414259340087E-2</v>
      </c>
      <c r="S676" s="22">
        <f t="shared" si="147"/>
        <v>9.0606241610610233E-2</v>
      </c>
      <c r="T676" s="22">
        <f t="shared" si="147"/>
        <v>9.0869525383745986E-2</v>
      </c>
      <c r="U676" s="22">
        <f t="shared" si="147"/>
        <v>9.1152511059637925E-2</v>
      </c>
      <c r="V676" s="22">
        <f t="shared" si="147"/>
        <v>9.14586593023788E-2</v>
      </c>
      <c r="W676" s="22">
        <f t="shared" si="147"/>
        <v>9.1791331535726078E-2</v>
      </c>
      <c r="X676" s="22">
        <f t="shared" si="147"/>
        <v>9.2144608389332791E-2</v>
      </c>
      <c r="Y676" s="22">
        <f t="shared" si="147"/>
        <v>9.2365462182182861E-2</v>
      </c>
      <c r="Z676" s="22">
        <f t="shared" si="147"/>
        <v>9.2604367501801177E-2</v>
      </c>
      <c r="AA676" s="22">
        <f t="shared" si="147"/>
        <v>9.2859919241999239E-2</v>
      </c>
      <c r="AB676" s="22">
        <f t="shared" si="147"/>
        <v>9.3137712771680009E-2</v>
      </c>
      <c r="AC676" s="22">
        <f t="shared" si="147"/>
        <v>9.3431348833759018E-2</v>
      </c>
      <c r="AD676" s="22">
        <f t="shared" si="147"/>
        <v>9.3622243747156081E-2</v>
      </c>
      <c r="AE676" s="22">
        <f t="shared" si="147"/>
        <v>9.3832489393249188E-2</v>
      </c>
      <c r="AF676" s="22">
        <f t="shared" si="147"/>
        <v>9.4058834592495047E-2</v>
      </c>
      <c r="AG676" s="22">
        <f t="shared" si="147"/>
        <v>9.4303715176067421E-2</v>
      </c>
      <c r="AH676" s="22">
        <f t="shared" si="147"/>
        <v>9.4552871340274972E-2</v>
      </c>
      <c r="AI676" s="22">
        <f t="shared" si="147"/>
        <v>9.4700356369914307E-2</v>
      </c>
      <c r="AJ676" s="22">
        <f t="shared" si="147"/>
        <v>9.4861767320555526E-2</v>
      </c>
      <c r="AK676" s="22">
        <f t="shared" si="147"/>
        <v>9.5032759889573118E-2</v>
      </c>
      <c r="AL676" s="22">
        <f t="shared" si="147"/>
        <v>9.5215576510501124E-2</v>
      </c>
      <c r="AM676" s="22">
        <f t="shared" si="147"/>
        <v>9.5408472492517202E-2</v>
      </c>
      <c r="AN676" s="22">
        <f t="shared" si="147"/>
        <v>9.5511329912132736E-2</v>
      </c>
      <c r="AO676" s="22">
        <f t="shared" si="147"/>
        <v>9.5621624392635218E-2</v>
      </c>
      <c r="AP676" s="22">
        <f t="shared" si="147"/>
        <v>9.5741057403988084E-2</v>
      </c>
      <c r="AQ676" s="22">
        <f t="shared" si="147"/>
        <v>9.5869848923304843E-2</v>
      </c>
      <c r="AR676" s="22">
        <f t="shared" si="147"/>
        <v>9.6007913922706994E-2</v>
      </c>
      <c r="AS676" s="22">
        <f t="shared" si="147"/>
        <v>9.6054880378944288E-2</v>
      </c>
      <c r="AT676" s="22">
        <f t="shared" si="147"/>
        <v>9.6095649378466819E-2</v>
      </c>
      <c r="AU676" s="22">
        <f t="shared" si="147"/>
        <v>9.6142598245908498E-2</v>
      </c>
      <c r="AV676" s="22">
        <f t="shared" si="147"/>
        <v>9.6196937394502191E-2</v>
      </c>
      <c r="AW676" s="22">
        <f t="shared" si="147"/>
        <v>9.6257825424100524E-2</v>
      </c>
      <c r="AY676" s="79"/>
      <c r="AZ676" s="79"/>
    </row>
    <row r="677" spans="1:52" x14ac:dyDescent="0.2">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2">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2">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0.12395129293471778</v>
      </c>
      <c r="M679" s="94">
        <f>IF('Net zero activities &amp; levers'!$C$9="Off",'Activity data'!AF62*ManureNEF*NtoN2O*kgtoGg,IF('Net zero activities &amp; levers'!$C$9="On",(('Net zero supporting data'!D166*'Net zero supporting data'!D183)+('Net zero supporting data'!D178*ManureNEF))*NtoN2O*kgtoGg,"ERROR"))</f>
        <v>0.12400689511310996</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0.12100901910045005</v>
      </c>
      <c r="P679" s="94">
        <f>IF('Net zero activities &amp; levers'!$C$9="Off",'Activity data'!AI62*ManureNEF*NtoN2O*kgtoGg,IF('Net zero activities &amp; levers'!$C$9="On",(('Net zero supporting data'!G166*'Net zero supporting data'!G183)+('Net zero supporting data'!G178*ManureNEF))*NtoN2O*kgtoGg,"ERROR"))</f>
        <v>0.11845842648899832</v>
      </c>
      <c r="Q679" s="94">
        <f>IF('Net zero activities &amp; levers'!$C$9="Off",'Activity data'!AJ62*ManureNEF*NtoN2O*kgtoGg,IF('Net zero activities &amp; levers'!$C$9="On",(('Net zero supporting data'!H166*'Net zero supporting data'!H183)+('Net zero supporting data'!H178*ManureNEF))*NtoN2O*kgtoGg,"ERROR"))</f>
        <v>0.11660641339960408</v>
      </c>
      <c r="R679" s="94">
        <f>IF('Net zero activities &amp; levers'!$C$9="Off",'Activity data'!AK62*ManureNEF*NtoN2O*kgtoGg,IF('Net zero activities &amp; levers'!$C$9="On",(('Net zero supporting data'!I166*'Net zero supporting data'!I183)+('Net zero supporting data'!I178*ManureNEF))*NtoN2O*kgtoGg,"ERROR"))</f>
        <v>0.11491827863139022</v>
      </c>
      <c r="S679" s="94">
        <f>IF('Net zero activities &amp; levers'!$C$9="Off",'Activity data'!AL62*ManureNEF*NtoN2O*kgtoGg,IF('Net zero activities &amp; levers'!$C$9="On",(('Net zero supporting data'!J166*'Net zero supporting data'!J183)+('Net zero supporting data'!J178*ManureNEF))*NtoN2O*kgtoGg,"ERROR"))</f>
        <v>0.10239148734853588</v>
      </c>
      <c r="T679" s="94">
        <f>IF('Net zero activities &amp; levers'!$C$9="Off",'Activity data'!AM62*ManureNEF*NtoN2O*kgtoGg,IF('Net zero activities &amp; levers'!$C$9="On",(('Net zero supporting data'!K166*'Net zero supporting data'!K183)+('Net zero supporting data'!K178*ManureNEF))*NtoN2O*kgtoGg,"ERROR"))</f>
        <v>0.10217032238599515</v>
      </c>
      <c r="U679" s="94">
        <f>IF('Net zero activities &amp; levers'!$C$9="Off",'Activity data'!AN62*ManureNEF*NtoN2O*kgtoGg,IF('Net zero activities &amp; levers'!$C$9="On",(('Net zero supporting data'!L166*'Net zero supporting data'!L183)+('Net zero supporting data'!L178*ManureNEF))*NtoN2O*kgtoGg,"ERROR"))</f>
        <v>0.10100569763942154</v>
      </c>
      <c r="V679" s="94">
        <f>IF('Net zero activities &amp; levers'!$C$9="Off",'Activity data'!AO62*ManureNEF*NtoN2O*kgtoGg,IF('Net zero activities &amp; levers'!$C$9="On",(('Net zero supporting data'!M166*'Net zero supporting data'!M183)+('Net zero supporting data'!M178*ManureNEF))*NtoN2O*kgtoGg,"ERROR"))</f>
        <v>9.9597663158470628E-2</v>
      </c>
      <c r="W679" s="94">
        <f>IF('Net zero activities &amp; levers'!$C$9="Off",'Activity data'!AP62*ManureNEF*NtoN2O*kgtoGg,IF('Net zero activities &amp; levers'!$C$9="On",(('Net zero supporting data'!N166*'Net zero supporting data'!N183)+('Net zero supporting data'!N178*ManureNEF))*NtoN2O*kgtoGg,"ERROR"))</f>
        <v>9.8528148114885306E-2</v>
      </c>
      <c r="X679" s="94">
        <f>IF('Net zero activities &amp; levers'!$C$9="Off",'Activity data'!AQ62*ManureNEF*NtoN2O*kgtoGg,IF('Net zero activities &amp; levers'!$C$9="On",(('Net zero supporting data'!O166*'Net zero supporting data'!O183)+('Net zero supporting data'!O178*ManureNEF))*NtoN2O*kgtoGg,"ERROR"))</f>
        <v>9.7236847657770062E-2</v>
      </c>
      <c r="Y679" s="94">
        <f>IF('Net zero activities &amp; levers'!$C$9="Off",'Activity data'!AR62*ManureNEF*NtoN2O*kgtoGg,IF('Net zero activities &amp; levers'!$C$9="On",(('Net zero supporting data'!P166*'Net zero supporting data'!P183)+('Net zero supporting data'!P178*ManureNEF))*NtoN2O*kgtoGg,"ERROR"))</f>
        <v>9.5661540142703783E-2</v>
      </c>
      <c r="Z679" s="94">
        <f>IF('Net zero activities &amp; levers'!$C$9="Off",'Activity data'!AS62*ManureNEF*NtoN2O*kgtoGg,IF('Net zero activities &amp; levers'!$C$9="On",(('Net zero supporting data'!Q166*'Net zero supporting data'!Q183)+('Net zero supporting data'!Q178*ManureNEF))*NtoN2O*kgtoGg,"ERROR"))</f>
        <v>9.3964975151397706E-2</v>
      </c>
      <c r="AA679" s="94">
        <f>IF('Net zero activities &amp; levers'!$C$9="Off",'Activity data'!AT62*ManureNEF*NtoN2O*kgtoGg,IF('Net zero activities &amp; levers'!$C$9="On",(('Net zero supporting data'!R166*'Net zero supporting data'!R183)+('Net zero supporting data'!R178*ManureNEF))*NtoN2O*kgtoGg,"ERROR"))</f>
        <v>9.2114150687305996E-2</v>
      </c>
      <c r="AB679" s="94">
        <f>IF('Net zero activities &amp; levers'!$C$9="Off",'Activity data'!AU62*ManureNEF*NtoN2O*kgtoGg,IF('Net zero activities &amp; levers'!$C$9="On",(('Net zero supporting data'!S166*'Net zero supporting data'!S183)+('Net zero supporting data'!S178*ManureNEF))*NtoN2O*kgtoGg,"ERROR"))</f>
        <v>9.0763755208828595E-2</v>
      </c>
      <c r="AC679" s="94">
        <f>IF('Net zero activities &amp; levers'!$C$9="Off",'Activity data'!AV62*ManureNEF*NtoN2O*kgtoGg,IF('Net zero activities &amp; levers'!$C$9="On",(('Net zero supporting data'!T166*'Net zero supporting data'!T183)+('Net zero supporting data'!T178*ManureNEF))*NtoN2O*kgtoGg,"ERROR"))</f>
        <v>8.9326675506915559E-2</v>
      </c>
      <c r="AD679" s="94">
        <f>IF('Net zero activities &amp; levers'!$C$9="Off",'Activity data'!AW62*ManureNEF*NtoN2O*kgtoGg,IF('Net zero activities &amp; levers'!$C$9="On",(('Net zero supporting data'!U166*'Net zero supporting data'!U183)+('Net zero supporting data'!U178*ManureNEF))*NtoN2O*kgtoGg,"ERROR"))</f>
        <v>8.8063095536527122E-2</v>
      </c>
      <c r="AE679" s="94">
        <f>IF('Net zero activities &amp; levers'!$C$9="Off",'Activity data'!AX62*ManureNEF*NtoN2O*kgtoGg,IF('Net zero activities &amp; levers'!$C$9="On",(('Net zero supporting data'!V166*'Net zero supporting data'!V183)+('Net zero supporting data'!V178*ManureNEF))*NtoN2O*kgtoGg,"ERROR"))</f>
        <v>8.7197763402313666E-2</v>
      </c>
      <c r="AF679" s="94">
        <f>IF('Net zero activities &amp; levers'!$C$9="Off",'Activity data'!AY62*ManureNEF*NtoN2O*kgtoGg,IF('Net zero activities &amp; levers'!$C$9="On",(('Net zero supporting data'!W166*'Net zero supporting data'!W183)+('Net zero supporting data'!W178*ManureNEF))*NtoN2O*kgtoGg,"ERROR"))</f>
        <v>8.646070047060371E-2</v>
      </c>
      <c r="AG679" s="94">
        <f>IF('Net zero activities &amp; levers'!$C$9="Off",'Activity data'!AZ62*ManureNEF*NtoN2O*kgtoGg,IF('Net zero activities &amp; levers'!$C$9="On",(('Net zero supporting data'!X166*'Net zero supporting data'!X183)+('Net zero supporting data'!X178*ManureNEF))*NtoN2O*kgtoGg,"ERROR"))</f>
        <v>8.6082707020518831E-2</v>
      </c>
      <c r="AH679" s="94">
        <f>IF('Net zero activities &amp; levers'!$C$9="Off",'Activity data'!BA62*ManureNEF*NtoN2O*kgtoGg,IF('Net zero activities &amp; levers'!$C$9="On",(('Net zero supporting data'!Y166*'Net zero supporting data'!Y183)+('Net zero supporting data'!Y178*ManureNEF))*NtoN2O*kgtoGg,"ERROR"))</f>
        <v>8.4920944424705172E-2</v>
      </c>
      <c r="AI679" s="94">
        <f>IF('Net zero activities &amp; levers'!$C$9="Off",'Activity data'!BB62*ManureNEF*NtoN2O*kgtoGg,IF('Net zero activities &amp; levers'!$C$9="On",(('Net zero supporting data'!Z166*'Net zero supporting data'!Z183)+('Net zero supporting data'!Z178*ManureNEF))*NtoN2O*kgtoGg,"ERROR"))</f>
        <v>8.3616602200085183E-2</v>
      </c>
      <c r="AJ679" s="94">
        <f>IF('Net zero activities &amp; levers'!$C$9="Off",'Activity data'!BC62*ManureNEF*NtoN2O*kgtoGg,IF('Net zero activities &amp; levers'!$C$9="On",(('Net zero supporting data'!AA166*'Net zero supporting data'!AA183)+('Net zero supporting data'!AA178*ManureNEF))*NtoN2O*kgtoGg,"ERROR"))</f>
        <v>8.2455730109344039E-2</v>
      </c>
      <c r="AK679" s="94">
        <f>IF('Net zero activities &amp; levers'!$C$9="Off",'Activity data'!BD62*ManureNEF*NtoN2O*kgtoGg,IF('Net zero activities &amp; levers'!$C$9="On",(('Net zero supporting data'!AB166*'Net zero supporting data'!AB183)+('Net zero supporting data'!AB178*ManureNEF))*NtoN2O*kgtoGg,"ERROR"))</f>
        <v>8.1139453062396671E-2</v>
      </c>
      <c r="AL679" s="94">
        <f>IF('Net zero activities &amp; levers'!$C$9="Off",'Activity data'!BE62*ManureNEF*NtoN2O*kgtoGg,IF('Net zero activities &amp; levers'!$C$9="On",(('Net zero supporting data'!AC166*'Net zero supporting data'!AC183)+('Net zero supporting data'!AC178*ManureNEF))*NtoN2O*kgtoGg,"ERROR"))</f>
        <v>7.9862038020699189E-2</v>
      </c>
      <c r="AM679" s="94">
        <f>IF('Net zero activities &amp; levers'!$C$9="Off",'Activity data'!BF62*ManureNEF*NtoN2O*kgtoGg,IF('Net zero activities &amp; levers'!$C$9="On",(('Net zero supporting data'!AD166*'Net zero supporting data'!AD183)+('Net zero supporting data'!AD178*ManureNEF))*NtoN2O*kgtoGg,"ERROR"))</f>
        <v>7.8523872489169699E-2</v>
      </c>
      <c r="AN679" s="94">
        <f>IF('Net zero activities &amp; levers'!$C$9="Off",'Activity data'!BG62*ManureNEF*NtoN2O*kgtoGg,IF('Net zero activities &amp; levers'!$C$9="On",(('Net zero supporting data'!AE166*'Net zero supporting data'!AE183)+('Net zero supporting data'!AE178*ManureNEF))*NtoN2O*kgtoGg,"ERROR"))</f>
        <v>7.9541157936664816E-2</v>
      </c>
      <c r="AO679" s="94">
        <f>IF('Net zero activities &amp; levers'!$C$9="Off",'Activity data'!BH62*ManureNEF*NtoN2O*kgtoGg,IF('Net zero activities &amp; levers'!$C$9="On",(('Net zero supporting data'!AF166*'Net zero supporting data'!AF183)+('Net zero supporting data'!AF178*ManureNEF))*NtoN2O*kgtoGg,"ERROR"))</f>
        <v>8.0424534617872523E-2</v>
      </c>
      <c r="AP679" s="94">
        <f>IF('Net zero activities &amp; levers'!$C$9="Off",'Activity data'!BI62*ManureNEF*NtoN2O*kgtoGg,IF('Net zero activities &amp; levers'!$C$9="On",(('Net zero supporting data'!AG166*'Net zero supporting data'!AG183)+('Net zero supporting data'!AG178*ManureNEF))*NtoN2O*kgtoGg,"ERROR"))</f>
        <v>8.1307126234740276E-2</v>
      </c>
      <c r="AQ679" s="94">
        <f>IF('Net zero activities &amp; levers'!$C$9="Off",'Activity data'!BJ62*ManureNEF*NtoN2O*kgtoGg,IF('Net zero activities &amp; levers'!$C$9="On",(('Net zero supporting data'!AH166*'Net zero supporting data'!AH183)+('Net zero supporting data'!AH178*ManureNEF))*NtoN2O*kgtoGg,"ERROR"))</f>
        <v>8.22210637923423E-2</v>
      </c>
      <c r="AR679" s="94">
        <f>IF('Net zero activities &amp; levers'!$C$9="Off",'Activity data'!BK62*ManureNEF*NtoN2O*kgtoGg,IF('Net zero activities &amp; levers'!$C$9="On",(('Net zero supporting data'!AI166*'Net zero supporting data'!AI183)+('Net zero supporting data'!AI178*ManureNEF))*NtoN2O*kgtoGg,"ERROR"))</f>
        <v>8.3176620840238386E-2</v>
      </c>
      <c r="AS679" s="94">
        <f>IF('Net zero activities &amp; levers'!$C$9="Off",'Activity data'!BL62*ManureNEF*NtoN2O*kgtoGg,IF('Net zero activities &amp; levers'!$C$9="On",(('Net zero supporting data'!AJ166*'Net zero supporting data'!AJ183)+('Net zero supporting data'!AJ178*ManureNEF))*NtoN2O*kgtoGg,"ERROR"))</f>
        <v>8.4421900085442633E-2</v>
      </c>
      <c r="AT679" s="94">
        <f>IF('Net zero activities &amp; levers'!$C$9="Off",'Activity data'!BM62*ManureNEF*NtoN2O*kgtoGg,IF('Net zero activities &amp; levers'!$C$9="On",(('Net zero supporting data'!AK166*'Net zero supporting data'!AK183)+('Net zero supporting data'!AK178*ManureNEF))*NtoN2O*kgtoGg,"ERROR"))</f>
        <v>8.4807552525315119E-2</v>
      </c>
      <c r="AU679" s="94">
        <f>IF('Net zero activities &amp; levers'!$C$9="Off",'Activity data'!BN62*ManureNEF*NtoN2O*kgtoGg,IF('Net zero activities &amp; levers'!$C$9="On",(('Net zero supporting data'!AL166*'Net zero supporting data'!AL183)+('Net zero supporting data'!AL178*ManureNEF))*NtoN2O*kgtoGg,"ERROR"))</f>
        <v>8.5115578813613341E-2</v>
      </c>
      <c r="AV679" s="94">
        <f>IF('Net zero activities &amp; levers'!$C$9="Off",'Activity data'!BO62*ManureNEF*NtoN2O*kgtoGg,IF('Net zero activities &amp; levers'!$C$9="On",(('Net zero supporting data'!AM166*'Net zero supporting data'!AM183)+('Net zero supporting data'!AM178*ManureNEF))*NtoN2O*kgtoGg,"ERROR"))</f>
        <v>8.543324315976053E-2</v>
      </c>
      <c r="AW679" s="94">
        <f>IF('Net zero activities &amp; levers'!$C$9="Off",'Activity data'!BP62*ManureNEF*NtoN2O*kgtoGg,IF('Net zero activities &amp; levers'!$C$9="On",(('Net zero supporting data'!AN166*'Net zero supporting data'!AN183)+('Net zero supporting data'!AN178*ManureNEF))*NtoN2O*kgtoGg,"ERROR"))</f>
        <v>8.5723973454732719E-2</v>
      </c>
      <c r="AY679" s="79"/>
      <c r="AZ679" s="79"/>
    </row>
    <row r="680" spans="1:52" x14ac:dyDescent="0.2">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3.1446916354757506E-2</v>
      </c>
      <c r="M680" s="22">
        <f t="shared" si="150"/>
        <v>3.1461022839745632E-2</v>
      </c>
      <c r="N680" s="22">
        <f t="shared" si="150"/>
        <v>3.1172186541537576E-2</v>
      </c>
      <c r="O680" s="22">
        <f t="shared" si="150"/>
        <v>3.0700450247237842E-2</v>
      </c>
      <c r="P680" s="22">
        <f t="shared" si="150"/>
        <v>3.0053355161673644E-2</v>
      </c>
      <c r="Q680" s="22">
        <f t="shared" si="150"/>
        <v>2.9583492368545926E-2</v>
      </c>
      <c r="R680" s="22">
        <f t="shared" si="150"/>
        <v>2.9155206131309681E-2</v>
      </c>
      <c r="S680" s="22">
        <f t="shared" si="150"/>
        <v>2.5977111346345238E-2</v>
      </c>
      <c r="T680" s="22">
        <f t="shared" si="150"/>
        <v>2.6382698168730914E-2</v>
      </c>
      <c r="U680" s="22">
        <f t="shared" si="150"/>
        <v>2.6554954616765158E-2</v>
      </c>
      <c r="V680" s="22">
        <f t="shared" si="150"/>
        <v>2.6668398396252971E-2</v>
      </c>
      <c r="W680" s="22">
        <f t="shared" si="150"/>
        <v>2.6878459601824591E-2</v>
      </c>
      <c r="X680" s="22">
        <f t="shared" si="150"/>
        <v>2.7034914600100463E-2</v>
      </c>
      <c r="Y680" s="22">
        <f t="shared" si="150"/>
        <v>2.7116981050655197E-2</v>
      </c>
      <c r="Z680" s="22">
        <f t="shared" si="150"/>
        <v>2.7167262704625481E-2</v>
      </c>
      <c r="AA680" s="22">
        <f t="shared" si="150"/>
        <v>2.7174083475534235E-2</v>
      </c>
      <c r="AB680" s="22">
        <f t="shared" si="150"/>
        <v>2.7331882847793948E-2</v>
      </c>
      <c r="AC680" s="22">
        <f t="shared" si="150"/>
        <v>2.7469719625531634E-2</v>
      </c>
      <c r="AD680" s="22">
        <f t="shared" si="150"/>
        <v>2.7668041643712917E-2</v>
      </c>
      <c r="AE680" s="22">
        <f t="shared" si="150"/>
        <v>2.8003045013131105E-2</v>
      </c>
      <c r="AF680" s="22">
        <f t="shared" si="150"/>
        <v>2.8395352595404884E-2</v>
      </c>
      <c r="AG680" s="22">
        <f t="shared" si="150"/>
        <v>2.8926505295637978E-2</v>
      </c>
      <c r="AH680" s="22">
        <f t="shared" si="150"/>
        <v>2.9213244598216302E-2</v>
      </c>
      <c r="AI680" s="22">
        <f t="shared" si="150"/>
        <v>2.9463682344250404E-2</v>
      </c>
      <c r="AJ680" s="22">
        <f t="shared" si="150"/>
        <v>2.9778410826157509E-2</v>
      </c>
      <c r="AK680" s="22">
        <f t="shared" si="150"/>
        <v>3.0051662908103689E-2</v>
      </c>
      <c r="AL680" s="22">
        <f t="shared" si="150"/>
        <v>3.0354013509905672E-2</v>
      </c>
      <c r="AM680" s="22">
        <f t="shared" si="150"/>
        <v>3.0648932788327074E-2</v>
      </c>
      <c r="AN680" s="22">
        <f t="shared" si="150"/>
        <v>3.1045993100286617E-2</v>
      </c>
      <c r="AO680" s="22">
        <f t="shared" si="150"/>
        <v>3.1390787003985711E-2</v>
      </c>
      <c r="AP680" s="22">
        <f t="shared" si="150"/>
        <v>3.1735274486421723E-2</v>
      </c>
      <c r="AQ680" s="22">
        <f t="shared" si="150"/>
        <v>3.2091996714805643E-2</v>
      </c>
      <c r="AR680" s="22">
        <f t="shared" si="150"/>
        <v>3.2464963594914874E-2</v>
      </c>
      <c r="AS680" s="22">
        <f t="shared" si="150"/>
        <v>3.2951012979377248E-2</v>
      </c>
      <c r="AT680" s="22">
        <f t="shared" si="150"/>
        <v>3.3101538358916271E-2</v>
      </c>
      <c r="AU680" s="22">
        <f t="shared" si="150"/>
        <v>3.3221765198319694E-2</v>
      </c>
      <c r="AV680" s="22">
        <f t="shared" si="150"/>
        <v>3.3345753902463859E-2</v>
      </c>
      <c r="AW680" s="22">
        <f t="shared" si="150"/>
        <v>3.3459229881012437E-2</v>
      </c>
      <c r="AY680" s="79"/>
      <c r="AZ680" s="79"/>
    </row>
    <row r="681" spans="1:52" x14ac:dyDescent="0.2">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0.15700744358616764</v>
      </c>
      <c r="L681" s="94">
        <f>IF('Net zero activities &amp; levers'!$C$9="Off",'Activity data'!AE64*ManureNEF*NtoN2O*kgtoGg,IF('Net zero activities &amp; levers'!$C$9="On",(('Net zero supporting data'!C167*'Net zero supporting data'!C183)+('Net zero supporting data'!C179*ManureNEF))*NtoN2O*kgtoGg,"ERROR"))</f>
        <v>0.16019971617730661</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0.16909558154641688</v>
      </c>
      <c r="P681" s="94">
        <f>IF('Net zero activities &amp; levers'!$C$9="Off",'Activity data'!AI64*ManureNEF*NtoN2O*kgtoGg,IF('Net zero activities &amp; levers'!$C$9="On",(('Net zero supporting data'!G167*'Net zero supporting data'!G183)+('Net zero supporting data'!G179*ManureNEF))*NtoN2O*kgtoGg,"ERROR"))</f>
        <v>0.1708164974258628</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0.17531753251219051</v>
      </c>
      <c r="S681" s="94">
        <f>IF('Net zero activities &amp; levers'!$C$9="Off",'Activity data'!AL64*ManureNEF*NtoN2O*kgtoGg,IF('Net zero activities &amp; levers'!$C$9="On",(('Net zero supporting data'!J167*'Net zero supporting data'!J183)+('Net zero supporting data'!J179*ManureNEF))*NtoN2O*kgtoGg,"ERROR"))</f>
        <v>0.16830476873000083</v>
      </c>
      <c r="T681" s="94">
        <f>IF('Net zero activities &amp; levers'!$C$9="Off",'Activity data'!AM64*ManureNEF*NtoN2O*kgtoGg,IF('Net zero activities &amp; levers'!$C$9="On",(('Net zero supporting data'!K167*'Net zero supporting data'!K183)+('Net zero supporting data'!K179*ManureNEF))*NtoN2O*kgtoGg,"ERROR"))</f>
        <v>0.16974526066200227</v>
      </c>
      <c r="U681" s="94">
        <f>IF('Net zero activities &amp; levers'!$C$9="Off",'Activity data'!AN64*ManureNEF*NtoN2O*kgtoGg,IF('Net zero activities &amp; levers'!$C$9="On",(('Net zero supporting data'!L167*'Net zero supporting data'!L183)+('Net zero supporting data'!L179*ManureNEF))*NtoN2O*kgtoGg,"ERROR"))</f>
        <v>0.17031616064478675</v>
      </c>
      <c r="V681" s="94">
        <f>IF('Net zero activities &amp; levers'!$C$9="Off",'Activity data'!AO64*ManureNEF*NtoN2O*kgtoGg,IF('Net zero activities &amp; levers'!$C$9="On",(('Net zero supporting data'!M167*'Net zero supporting data'!M183)+('Net zero supporting data'!M179*ManureNEF))*NtoN2O*kgtoGg,"ERROR"))</f>
        <v>0.17060234841003352</v>
      </c>
      <c r="W681" s="94">
        <f>IF('Net zero activities &amp; levers'!$C$9="Off",'Activity data'!AP64*ManureNEF*NtoN2O*kgtoGg,IF('Net zero activities &amp; levers'!$C$9="On",(('Net zero supporting data'!N167*'Net zero supporting data'!N183)+('Net zero supporting data'!N179*ManureNEF))*NtoN2O*kgtoGg,"ERROR"))</f>
        <v>0.17113414788392586</v>
      </c>
      <c r="X681" s="94">
        <f>IF('Net zero activities &amp; levers'!$C$9="Off",'Activity data'!AQ64*ManureNEF*NtoN2O*kgtoGg,IF('Net zero activities &amp; levers'!$C$9="On",(('Net zero supporting data'!O167*'Net zero supporting data'!O183)+('Net zero supporting data'!O179*ManureNEF))*NtoN2O*kgtoGg,"ERROR"))</f>
        <v>0.17139726080309617</v>
      </c>
      <c r="Y681" s="94">
        <f>IF('Net zero activities &amp; levers'!$C$9="Off",'Activity data'!AR64*ManureNEF*NtoN2O*kgtoGg,IF('Net zero activities &amp; levers'!$C$9="On",(('Net zero supporting data'!P167*'Net zero supporting data'!P183)+('Net zero supporting data'!P179*ManureNEF))*NtoN2O*kgtoGg,"ERROR"))</f>
        <v>0.17117785641484295</v>
      </c>
      <c r="Z681" s="94">
        <f>IF('Net zero activities &amp; levers'!$C$9="Off",'Activity data'!AS64*ManureNEF*NtoN2O*kgtoGg,IF('Net zero activities &amp; levers'!$C$9="On",(('Net zero supporting data'!Q167*'Net zero supporting data'!Q183)+('Net zero supporting data'!Q179*ManureNEF))*NtoN2O*kgtoGg,"ERROR"))</f>
        <v>0.17076333151272169</v>
      </c>
      <c r="AA681" s="94">
        <f>IF('Net zero activities &amp; levers'!$C$9="Off",'Activity data'!AT64*ManureNEF*NtoN2O*kgtoGg,IF('Net zero activities &amp; levers'!$C$9="On",(('Net zero supporting data'!R167*'Net zero supporting data'!R183)+('Net zero supporting data'!R179*ManureNEF))*NtoN2O*kgtoGg,"ERROR"))</f>
        <v>0.17011265284548949</v>
      </c>
      <c r="AB681" s="94">
        <f>IF('Net zero activities &amp; levers'!$C$9="Off",'Activity data'!AU64*ManureNEF*NtoN2O*kgtoGg,IF('Net zero activities &amp; levers'!$C$9="On",(('Net zero supporting data'!S167*'Net zero supporting data'!S183)+('Net zero supporting data'!S179*ManureNEF))*NtoN2O*kgtoGg,"ERROR"))</f>
        <v>0.16989614823146446</v>
      </c>
      <c r="AC681" s="94">
        <f>IF('Net zero activities &amp; levers'!$C$9="Off",'Activity data'!AV64*ManureNEF*NtoN2O*kgtoGg,IF('Net zero activities &amp; levers'!$C$9="On",(('Net zero supporting data'!T167*'Net zero supporting data'!T183)+('Net zero supporting data'!T179*ManureNEF))*NtoN2O*kgtoGg,"ERROR"))</f>
        <v>0.16952304648462901</v>
      </c>
      <c r="AD681" s="94">
        <f>IF('Net zero activities &amp; levers'!$C$9="Off",'Activity data'!AW64*ManureNEF*NtoN2O*kgtoGg,IF('Net zero activities &amp; levers'!$C$9="On",(('Net zero supporting data'!U167*'Net zero supporting data'!U183)+('Net zero supporting data'!U179*ManureNEF))*NtoN2O*kgtoGg,"ERROR"))</f>
        <v>0.16916474933229905</v>
      </c>
      <c r="AE681" s="94">
        <f>IF('Net zero activities &amp; levers'!$C$9="Off",'Activity data'!AX64*ManureNEF*NtoN2O*kgtoGg,IF('Net zero activities &amp; levers'!$C$9="On",(('Net zero supporting data'!V167*'Net zero supporting data'!V183)+('Net zero supporting data'!V179*ManureNEF))*NtoN2O*kgtoGg,"ERROR"))</f>
        <v>0.1691872396385648</v>
      </c>
      <c r="AF681" s="94">
        <f>IF('Net zero activities &amp; levers'!$C$9="Off",'Activity data'!AY64*ManureNEF*NtoN2O*kgtoGg,IF('Net zero activities &amp; levers'!$C$9="On",(('Net zero supporting data'!W167*'Net zero supporting data'!W183)+('Net zero supporting data'!W179*ManureNEF))*NtoN2O*kgtoGg,"ERROR"))</f>
        <v>0.16931285664509191</v>
      </c>
      <c r="AG681" s="94">
        <f>IF('Net zero activities &amp; levers'!$C$9="Off",'Activity data'!AZ64*ManureNEF*NtoN2O*kgtoGg,IF('Net zero activities &amp; levers'!$C$9="On",(('Net zero supporting data'!X167*'Net zero supporting data'!X183)+('Net zero supporting data'!X179*ManureNEF))*NtoN2O*kgtoGg,"ERROR"))</f>
        <v>0.16981505272881314</v>
      </c>
      <c r="AH681" s="94">
        <f>IF('Net zero activities &amp; levers'!$C$9="Off",'Activity data'!BA64*ManureNEF*NtoN2O*kgtoGg,IF('Net zero activities &amp; levers'!$C$9="On",(('Net zero supporting data'!Y167*'Net zero supporting data'!Y183)+('Net zero supporting data'!Y179*ManureNEF))*NtoN2O*kgtoGg,"ERROR"))</f>
        <v>0.16938144449705805</v>
      </c>
      <c r="AI681" s="94">
        <f>IF('Net zero activities &amp; levers'!$C$9="Off",'Activity data'!BB64*ManureNEF*NtoN2O*kgtoGg,IF('Net zero activities &amp; levers'!$C$9="On",(('Net zero supporting data'!Z167*'Net zero supporting data'!Z183)+('Net zero supporting data'!Z179*ManureNEF))*NtoN2O*kgtoGg,"ERROR"))</f>
        <v>0.16863389837086817</v>
      </c>
      <c r="AJ681" s="94">
        <f>IF('Net zero activities &amp; levers'!$C$9="Off",'Activity data'!BC64*ManureNEF*NtoN2O*kgtoGg,IF('Net zero activities &amp; levers'!$C$9="On",(('Net zero supporting data'!AA167*'Net zero supporting data'!AA183)+('Net zero supporting data'!AA179*ManureNEF))*NtoN2O*kgtoGg,"ERROR"))</f>
        <v>0.16800271878100034</v>
      </c>
      <c r="AK681" s="94">
        <f>IF('Net zero activities &amp; levers'!$C$9="Off",'Activity data'!BD64*ManureNEF*NtoN2O*kgtoGg,IF('Net zero activities &amp; levers'!$C$9="On",(('Net zero supporting data'!AB167*'Net zero supporting data'!AB183)+('Net zero supporting data'!AB179*ManureNEF))*NtoN2O*kgtoGg,"ERROR"))</f>
        <v>0.16712740474305221</v>
      </c>
      <c r="AL681" s="94">
        <f>IF('Net zero activities &amp; levers'!$C$9="Off",'Activity data'!BE64*ManureNEF*NtoN2O*kgtoGg,IF('Net zero activities &amp; levers'!$C$9="On",(('Net zero supporting data'!AC167*'Net zero supporting data'!AC183)+('Net zero supporting data'!AC179*ManureNEF))*NtoN2O*kgtoGg,"ERROR"))</f>
        <v>0.16624190725881247</v>
      </c>
      <c r="AM681" s="94">
        <f>IF('Net zero activities &amp; levers'!$C$9="Off",'Activity data'!BF64*ManureNEF*NtoN2O*kgtoGg,IF('Net zero activities &amp; levers'!$C$9="On",(('Net zero supporting data'!AD167*'Net zero supporting data'!AD183)+('Net zero supporting data'!AD179*ManureNEF))*NtoN2O*kgtoGg,"ERROR"))</f>
        <v>0.16522044616041054</v>
      </c>
      <c r="AN681" s="94">
        <f>IF('Net zero activities &amp; levers'!$C$9="Off",'Activity data'!BG64*ManureNEF*NtoN2O*kgtoGg,IF('Net zero activities &amp; levers'!$C$9="On",(('Net zero supporting data'!AE167*'Net zero supporting data'!AE183)+('Net zero supporting data'!AE179*ManureNEF))*NtoN2O*kgtoGg,"ERROR"))</f>
        <v>0.16889030857196918</v>
      </c>
      <c r="AO681" s="94">
        <f>IF('Net zero activities &amp; levers'!$C$9="Off",'Activity data'!BH64*ManureNEF*NtoN2O*kgtoGg,IF('Net zero activities &amp; levers'!$C$9="On",(('Net zero supporting data'!AF167*'Net zero supporting data'!AF183)+('Net zero supporting data'!AF179*ManureNEF))*NtoN2O*kgtoGg,"ERROR"))</f>
        <v>0.17246207979099293</v>
      </c>
      <c r="AP681" s="94">
        <f>IF('Net zero activities &amp; levers'!$C$9="Off",'Activity data'!BI64*ManureNEF*NtoN2O*kgtoGg,IF('Net zero activities &amp; levers'!$C$9="On",(('Net zero supporting data'!AG167*'Net zero supporting data'!AG183)+('Net zero supporting data'!AG179*ManureNEF))*NtoN2O*kgtoGg,"ERROR"))</f>
        <v>0.17610903365598102</v>
      </c>
      <c r="AQ681" s="94">
        <f>IF('Net zero activities &amp; levers'!$C$9="Off",'Activity data'!BJ64*ManureNEF*NtoN2O*kgtoGg,IF('Net zero activities &amp; levers'!$C$9="On",(('Net zero supporting data'!AH167*'Net zero supporting data'!AH183)+('Net zero supporting data'!AH179*ManureNEF))*NtoN2O*kgtoGg,"ERROR"))</f>
        <v>0.17987781949455214</v>
      </c>
      <c r="AR681" s="94">
        <f>IF('Net zero activities &amp; levers'!$C$9="Off",'Activity data'!BK64*ManureNEF*NtoN2O*kgtoGg,IF('Net zero activities &amp; levers'!$C$9="On",(('Net zero supporting data'!AI167*'Net zero supporting data'!AI183)+('Net zero supporting data'!AI179*ManureNEF))*NtoN2O*kgtoGg,"ERROR"))</f>
        <v>0.18378763557277536</v>
      </c>
      <c r="AS681" s="94">
        <f>IF('Net zero activities &amp; levers'!$C$9="Off",'Activity data'!BL64*ManureNEF*NtoN2O*kgtoGg,IF('Net zero activities &amp; levers'!$C$9="On",(('Net zero supporting data'!AJ167*'Net zero supporting data'!AJ183)+('Net zero supporting data'!AJ179*ManureNEF))*NtoN2O*kgtoGg,"ERROR"))</f>
        <v>0.18812172153459661</v>
      </c>
      <c r="AT681" s="94">
        <f>IF('Net zero activities &amp; levers'!$C$9="Off",'Activity data'!BM64*ManureNEF*NtoN2O*kgtoGg,IF('Net zero activities &amp; levers'!$C$9="On",(('Net zero supporting data'!AK167*'Net zero supporting data'!AK183)+('Net zero supporting data'!AK179*ManureNEF))*NtoN2O*kgtoGg,"ERROR"))</f>
        <v>0.19130129119337999</v>
      </c>
      <c r="AU681" s="94">
        <f>IF('Net zero activities &amp; levers'!$C$9="Off",'Activity data'!BN64*ManureNEF*NtoN2O*kgtoGg,IF('Net zero activities &amp; levers'!$C$9="On",(('Net zero supporting data'!AL167*'Net zero supporting data'!AL183)+('Net zero supporting data'!AL179*ManureNEF))*NtoN2O*kgtoGg,"ERROR"))</f>
        <v>0.19442557261118998</v>
      </c>
      <c r="AV681" s="94">
        <f>IF('Net zero activities &amp; levers'!$C$9="Off",'Activity data'!BO64*ManureNEF*NtoN2O*kgtoGg,IF('Net zero activities &amp; levers'!$C$9="On",(('Net zero supporting data'!AM167*'Net zero supporting data'!AM183)+('Net zero supporting data'!AM179*ManureNEF))*NtoN2O*kgtoGg,"ERROR"))</f>
        <v>0.19762263532170377</v>
      </c>
      <c r="AW681" s="94">
        <f>IF('Net zero activities &amp; levers'!$C$9="Off",'Activity data'!BP64*ManureNEF*NtoN2O*kgtoGg,IF('Net zero activities &amp; levers'!$C$9="On",(('Net zero supporting data'!AN167*'Net zero supporting data'!AN183)+('Net zero supporting data'!AN179*ManureNEF))*NtoN2O*kgtoGg,"ERROR"))</f>
        <v>0.20083865196532052</v>
      </c>
      <c r="AY681" s="79"/>
      <c r="AZ681" s="79"/>
    </row>
    <row r="682" spans="1:52" x14ac:dyDescent="0.2">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0.78620275218739033</v>
      </c>
      <c r="L682" s="94">
        <f>IF('Net zero activities &amp; levers'!$C$9="Off",'Activity data'!AE65*ManureNEF*NtoN2O*kgtoGg,IF('Net zero activities &amp; levers'!$C$9="On",(('Net zero supporting data'!C168*'Net zero supporting data'!C183)+('Net zero supporting data'!C180*ManureNEF))*NtoN2O*kgtoGg,"ERROR"))</f>
        <v>0.7965556372017637</v>
      </c>
      <c r="M682" s="94">
        <f>IF('Net zero activities &amp; levers'!$C$9="Off",'Activity data'!AF65*ManureNEF*NtoN2O*kgtoGg,IF('Net zero activities &amp; levers'!$C$9="On",(('Net zero supporting data'!D168*'Net zero supporting data'!D183)+('Net zero supporting data'!D180*ManureNEF))*NtoN2O*kgtoGg,"ERROR"))</f>
        <v>0.8131853402467214</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0.79997057217510736</v>
      </c>
      <c r="R682" s="94">
        <f>IF('Net zero activities &amp; levers'!$C$9="Off",'Activity data'!AK65*ManureNEF*NtoN2O*kgtoGg,IF('Net zero activities &amp; levers'!$C$9="On",(('Net zero supporting data'!I168*'Net zero supporting data'!I183)+('Net zero supporting data'!I180*ManureNEF))*NtoN2O*kgtoGg,"ERROR"))</f>
        <v>0.79652072541357799</v>
      </c>
      <c r="S682" s="94">
        <f>IF('Net zero activities &amp; levers'!$C$9="Off",'Activity data'!AL65*ManureNEF*NtoN2O*kgtoGg,IF('Net zero activities &amp; levers'!$C$9="On",(('Net zero supporting data'!J168*'Net zero supporting data'!J183)+('Net zero supporting data'!J180*ManureNEF))*NtoN2O*kgtoGg,"ERROR"))</f>
        <v>0.68093953459407419</v>
      </c>
      <c r="T682" s="94">
        <f>IF('Net zero activities &amp; levers'!$C$9="Off",'Activity data'!AM65*ManureNEF*NtoN2O*kgtoGg,IF('Net zero activities &amp; levers'!$C$9="On",(('Net zero supporting data'!K168*'Net zero supporting data'!K183)+('Net zero supporting data'!K180*ManureNEF))*NtoN2O*kgtoGg,"ERROR"))</f>
        <v>0.69851051433226652</v>
      </c>
      <c r="U682" s="94">
        <f>IF('Net zero activities &amp; levers'!$C$9="Off",'Activity data'!AN65*ManureNEF*NtoN2O*kgtoGg,IF('Net zero activities &amp; levers'!$C$9="On",(('Net zero supporting data'!L168*'Net zero supporting data'!L183)+('Net zero supporting data'!L180*ManureNEF))*NtoN2O*kgtoGg,"ERROR"))</f>
        <v>0.70602731045643874</v>
      </c>
      <c r="V682" s="94">
        <f>IF('Net zero activities &amp; levers'!$C$9="Off",'Activity data'!AO65*ManureNEF*NtoN2O*kgtoGg,IF('Net zero activities &amp; levers'!$C$9="On",(('Net zero supporting data'!M168*'Net zero supporting data'!M183)+('Net zero supporting data'!M180*ManureNEF))*NtoN2O*kgtoGg,"ERROR"))</f>
        <v>0.71061520301365177</v>
      </c>
      <c r="W682" s="94">
        <f>IF('Net zero activities &amp; levers'!$C$9="Off",'Activity data'!AP65*ManureNEF*NtoN2O*kgtoGg,IF('Net zero activities &amp; levers'!$C$9="On",(('Net zero supporting data'!N168*'Net zero supporting data'!N183)+('Net zero supporting data'!N180*ManureNEF))*NtoN2O*kgtoGg,"ERROR"))</f>
        <v>0.7185078698151558</v>
      </c>
      <c r="X682" s="94">
        <f>IF('Net zero activities &amp; levers'!$C$9="Off",'Activity data'!AQ65*ManureNEF*NtoN2O*kgtoGg,IF('Net zero activities &amp; levers'!$C$9="On",(('Net zero supporting data'!O168*'Net zero supporting data'!O183)+('Net zero supporting data'!O180*ManureNEF))*NtoN2O*kgtoGg,"ERROR"))</f>
        <v>0.72370566918120471</v>
      </c>
      <c r="Y682" s="94">
        <f>IF('Net zero activities &amp; levers'!$C$9="Off",'Activity data'!AR65*ManureNEF*NtoN2O*kgtoGg,IF('Net zero activities &amp; levers'!$C$9="On",(('Net zero supporting data'!P168*'Net zero supporting data'!P183)+('Net zero supporting data'!P180*ManureNEF))*NtoN2O*kgtoGg,"ERROR"))</f>
        <v>0.72603090148832972</v>
      </c>
      <c r="Z682" s="94">
        <f>IF('Net zero activities &amp; levers'!$C$9="Off",'Activity data'!AS65*ManureNEF*NtoN2O*kgtoGg,IF('Net zero activities &amp; levers'!$C$9="On",(('Net zero supporting data'!Q168*'Net zero supporting data'!Q183)+('Net zero supporting data'!Q180*ManureNEF))*NtoN2O*kgtoGg,"ERROR"))</f>
        <v>0.72659622002097601</v>
      </c>
      <c r="AA682" s="94">
        <f>IF('Net zero activities &amp; levers'!$C$9="Off",'Activity data'!AT65*ManureNEF*NtoN2O*kgtoGg,IF('Net zero activities &amp; levers'!$C$9="On",(('Net zero supporting data'!R168*'Net zero supporting data'!R183)+('Net zero supporting data'!R180*ManureNEF))*NtoN2O*kgtoGg,"ERROR"))</f>
        <v>0.72498293953851545</v>
      </c>
      <c r="AB682" s="94">
        <f>IF('Net zero activities &amp; levers'!$C$9="Off",'Activity data'!AU65*ManureNEF*NtoN2O*kgtoGg,IF('Net zero activities &amp; levers'!$C$9="On",(('Net zero supporting data'!S168*'Net zero supporting data'!S183)+('Net zero supporting data'!S180*ManureNEF))*NtoN2O*kgtoGg,"ERROR"))</f>
        <v>0.72871383419110125</v>
      </c>
      <c r="AC682" s="94">
        <f>IF('Net zero activities &amp; levers'!$C$9="Off",'Activity data'!AV65*ManureNEF*NtoN2O*kgtoGg,IF('Net zero activities &amp; levers'!$C$9="On",(('Net zero supporting data'!T168*'Net zero supporting data'!T183)+('Net zero supporting data'!T180*ManureNEF))*NtoN2O*kgtoGg,"ERROR"))</f>
        <v>0.7311338969095299</v>
      </c>
      <c r="AD682" s="94">
        <f>IF('Net zero activities &amp; levers'!$C$9="Off",'Activity data'!AW65*ManureNEF*NtoN2O*kgtoGg,IF('Net zero activities &amp; levers'!$C$9="On",(('Net zero supporting data'!U168*'Net zero supporting data'!U183)+('Net zero supporting data'!U180*ManureNEF))*NtoN2O*kgtoGg,"ERROR"))</f>
        <v>0.73573009800865086</v>
      </c>
      <c r="AE682" s="94">
        <f>IF('Net zero activities &amp; levers'!$C$9="Off",'Activity data'!AX65*ManureNEF*NtoN2O*kgtoGg,IF('Net zero activities &amp; levers'!$C$9="On",(('Net zero supporting data'!V168*'Net zero supporting data'!V183)+('Net zero supporting data'!V180*ManureNEF))*NtoN2O*kgtoGg,"ERROR"))</f>
        <v>0.74484892150837534</v>
      </c>
      <c r="AF682" s="94">
        <f>IF('Net zero activities &amp; levers'!$C$9="Off",'Activity data'!AY65*ManureNEF*NtoN2O*kgtoGg,IF('Net zero activities &amp; levers'!$C$9="On",(('Net zero supporting data'!W168*'Net zero supporting data'!W183)+('Net zero supporting data'!W180*ManureNEF))*NtoN2O*kgtoGg,"ERROR"))</f>
        <v>0.75539137425956238</v>
      </c>
      <c r="AG682" s="94">
        <f>IF('Net zero activities &amp; levers'!$C$9="Off",'Activity data'!AZ65*ManureNEF*NtoN2O*kgtoGg,IF('Net zero activities &amp; levers'!$C$9="On",(('Net zero supporting data'!X168*'Net zero supporting data'!X183)+('Net zero supporting data'!X180*ManureNEF))*NtoN2O*kgtoGg,"ERROR"))</f>
        <v>0.77027345534761871</v>
      </c>
      <c r="AH682" s="94">
        <f>IF('Net zero activities &amp; levers'!$C$9="Off",'Activity data'!BA65*ManureNEF*NtoN2O*kgtoGg,IF('Net zero activities &amp; levers'!$C$9="On",(('Net zero supporting data'!Y168*'Net zero supporting data'!Y183)+('Net zero supporting data'!Y180*ManureNEF))*NtoN2O*kgtoGg,"ERROR"))</f>
        <v>0.77539133806704752</v>
      </c>
      <c r="AI682" s="94">
        <f>IF('Net zero activities &amp; levers'!$C$9="Off",'Activity data'!BB65*ManureNEF*NtoN2O*kgtoGg,IF('Net zero activities &amp; levers'!$C$9="On",(('Net zero supporting data'!Z168*'Net zero supporting data'!Z183)+('Net zero supporting data'!Z180*ManureNEF))*NtoN2O*kgtoGg,"ERROR"))</f>
        <v>0.77885037519504385</v>
      </c>
      <c r="AJ682" s="94">
        <f>IF('Net zero activities &amp; levers'!$C$9="Off",'Activity data'!BC65*ManureNEF*NtoN2O*kgtoGg,IF('Net zero activities &amp; levers'!$C$9="On",(('Net zero supporting data'!AA168*'Net zero supporting data'!AA183)+('Net zero supporting data'!AA180*ManureNEF))*NtoN2O*kgtoGg,"ERROR"))</f>
        <v>0.78388169876716873</v>
      </c>
      <c r="AK682" s="94">
        <f>IF('Net zero activities &amp; levers'!$C$9="Off",'Activity data'!BD65*ManureNEF*NtoN2O*kgtoGg,IF('Net zero activities &amp; levers'!$C$9="On",(('Net zero supporting data'!AB168*'Net zero supporting data'!AB183)+('Net zero supporting data'!AB180*ManureNEF))*NtoN2O*kgtoGg,"ERROR"))</f>
        <v>0.78667962347423814</v>
      </c>
      <c r="AL682" s="94">
        <f>IF('Net zero activities &amp; levers'!$C$9="Off",'Activity data'!BE65*ManureNEF*NtoN2O*kgtoGg,IF('Net zero activities &amp; levers'!$C$9="On",(('Net zero supporting data'!AC168*'Net zero supporting data'!AC183)+('Net zero supporting data'!AC180*ManureNEF))*NtoN2O*kgtoGg,"ERROR"))</f>
        <v>0.78972438188248195</v>
      </c>
      <c r="AM682" s="94">
        <f>IF('Net zero activities &amp; levers'!$C$9="Off",'Activity data'!BF65*ManureNEF*NtoN2O*kgtoGg,IF('Net zero activities &amp; levers'!$C$9="On",(('Net zero supporting data'!AD168*'Net zero supporting data'!AD183)+('Net zero supporting data'!AD180*ManureNEF))*NtoN2O*kgtoGg,"ERROR"))</f>
        <v>0.79171150933613588</v>
      </c>
      <c r="AN682" s="94">
        <f>IF('Net zero activities &amp; levers'!$C$9="Off",'Activity data'!BG65*ManureNEF*NtoN2O*kgtoGg,IF('Net zero activities &amp; levers'!$C$9="On",(('Net zero supporting data'!AE168*'Net zero supporting data'!AE183)+('Net zero supporting data'!AE180*ManureNEF))*NtoN2O*kgtoGg,"ERROR"))</f>
        <v>0.81864271604912442</v>
      </c>
      <c r="AO682" s="94">
        <f>IF('Net zero activities &amp; levers'!$C$9="Off",'Activity data'!BH65*ManureNEF*NtoN2O*kgtoGg,IF('Net zero activities &amp; levers'!$C$9="On",(('Net zero supporting data'!AF168*'Net zero supporting data'!AF183)+('Net zero supporting data'!AF180*ManureNEF))*NtoN2O*kgtoGg,"ERROR"))</f>
        <v>0.84426714906852307</v>
      </c>
      <c r="AP682" s="94">
        <f>IF('Net zero activities &amp; levers'!$C$9="Off",'Activity data'!BI65*ManureNEF*NtoN2O*kgtoGg,IF('Net zero activities &amp; levers'!$C$9="On",(('Net zero supporting data'!AG168*'Net zero supporting data'!AG183)+('Net zero supporting data'!AG180*ManureNEF))*NtoN2O*kgtoGg,"ERROR"))</f>
        <v>0.87037229255788284</v>
      </c>
      <c r="AQ682" s="94">
        <f>IF('Net zero activities &amp; levers'!$C$9="Off",'Activity data'!BJ65*ManureNEF*NtoN2O*kgtoGg,IF('Net zero activities &amp; levers'!$C$9="On",(('Net zero supporting data'!AH168*'Net zero supporting data'!AH183)+('Net zero supporting data'!AH180*ManureNEF))*NtoN2O*kgtoGg,"ERROR"))</f>
        <v>0.89742397843252186</v>
      </c>
      <c r="AR682" s="94">
        <f>IF('Net zero activities &amp; levers'!$C$9="Off",'Activity data'!BK65*ManureNEF*NtoN2O*kgtoGg,IF('Net zero activities &amp; levers'!$C$9="On",(('Net zero supporting data'!AI168*'Net zero supporting data'!AI183)+('Net zero supporting data'!AI180*ManureNEF))*NtoN2O*kgtoGg,"ERROR"))</f>
        <v>0.9256016280636612</v>
      </c>
      <c r="AS682" s="94">
        <f>IF('Net zero activities &amp; levers'!$C$9="Off",'Activity data'!BL65*ManureNEF*NtoN2O*kgtoGg,IF('Net zero activities &amp; levers'!$C$9="On",(('Net zero supporting data'!AJ168*'Net zero supporting data'!AJ183)+('Net zero supporting data'!AJ180*ManureNEF))*NtoN2O*kgtoGg,"ERROR"))</f>
        <v>0.95880569128850734</v>
      </c>
      <c r="AT682" s="94">
        <f>IF('Net zero activities &amp; levers'!$C$9="Off",'Activity data'!BM65*ManureNEF*NtoN2O*kgtoGg,IF('Net zero activities &amp; levers'!$C$9="On",(('Net zero supporting data'!AK168*'Net zero supporting data'!AK183)+('Net zero supporting data'!AK180*ManureNEF))*NtoN2O*kgtoGg,"ERROR"))</f>
        <v>0.98018975113449081</v>
      </c>
      <c r="AU682" s="94">
        <f>IF('Net zero activities &amp; levers'!$C$9="Off",'Activity data'!BN65*ManureNEF*NtoN2O*kgtoGg,IF('Net zero activities &amp; levers'!$C$9="On",(('Net zero supporting data'!AL168*'Net zero supporting data'!AL183)+('Net zero supporting data'!AL180*ManureNEF))*NtoN2O*kgtoGg,"ERROR"))</f>
        <v>1.0008197515127342</v>
      </c>
      <c r="AV682" s="94">
        <f>IF('Net zero activities &amp; levers'!$C$9="Off",'Activity data'!BO65*ManureNEF*NtoN2O*kgtoGg,IF('Net zero activities &amp; levers'!$C$9="On",(('Net zero supporting data'!AM168*'Net zero supporting data'!AM183)+('Net zero supporting data'!AM180*ManureNEF))*NtoN2O*kgtoGg,"ERROR"))</f>
        <v>1.0219689908065575</v>
      </c>
      <c r="AW682" s="94">
        <f>IF('Net zero activities &amp; levers'!$C$9="Off",'Activity data'!BP65*ManureNEF*NtoN2O*kgtoGg,IF('Net zero activities &amp; levers'!$C$9="On",(('Net zero supporting data'!AN168*'Net zero supporting data'!AN183)+('Net zero supporting data'!AN180*ManureNEF))*NtoN2O*kgtoGg,"ERROR"))</f>
        <v>1.04310362592711</v>
      </c>
      <c r="AY682" s="79"/>
      <c r="AZ682" s="79"/>
    </row>
    <row r="683" spans="1:52" x14ac:dyDescent="0.2">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2">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1.0836040032789309</v>
      </c>
      <c r="M684" s="22">
        <f t="shared" si="152"/>
        <v>1.0921513426512339</v>
      </c>
      <c r="N684" s="22">
        <f t="shared" si="152"/>
        <v>1.0976439186771809</v>
      </c>
      <c r="O684" s="22">
        <f t="shared" si="152"/>
        <v>1.1012937605673541</v>
      </c>
      <c r="P684" s="22">
        <f t="shared" si="152"/>
        <v>1.1030649457277464</v>
      </c>
      <c r="Q684" s="22">
        <f t="shared" si="152"/>
        <v>1.1069781529146336</v>
      </c>
      <c r="R684" s="22">
        <f t="shared" si="152"/>
        <v>1.1114672588381171</v>
      </c>
      <c r="S684" s="22">
        <f t="shared" si="152"/>
        <v>1.0810406006779549</v>
      </c>
      <c r="T684" s="22">
        <f t="shared" si="152"/>
        <v>1.0934641088719885</v>
      </c>
      <c r="U684" s="22">
        <f t="shared" si="152"/>
        <v>1.1031992381450169</v>
      </c>
      <c r="V684" s="22">
        <f t="shared" si="152"/>
        <v>1.1124222034300566</v>
      </c>
      <c r="W684" s="22">
        <f t="shared" si="152"/>
        <v>1.123204750861388</v>
      </c>
      <c r="X684" s="22">
        <f t="shared" si="152"/>
        <v>1.1335309064238068</v>
      </c>
      <c r="Y684" s="22">
        <f t="shared" si="152"/>
        <v>1.1421913822066523</v>
      </c>
      <c r="Z684" s="22">
        <f t="shared" si="152"/>
        <v>1.1506113165744176</v>
      </c>
      <c r="AA684" s="22">
        <f t="shared" si="151"/>
        <v>1.1585977369609775</v>
      </c>
      <c r="AB684" s="22">
        <f t="shared" si="151"/>
        <v>1.1689866502425044</v>
      </c>
      <c r="AC684" s="22">
        <f t="shared" si="151"/>
        <v>1.179322142127879</v>
      </c>
      <c r="AD684" s="22">
        <f t="shared" si="151"/>
        <v>1.1901050491082561</v>
      </c>
      <c r="AE684" s="22">
        <f t="shared" si="151"/>
        <v>1.2032599534885204</v>
      </c>
      <c r="AF684" s="22">
        <f t="shared" si="151"/>
        <v>1.2176412709045177</v>
      </c>
      <c r="AG684" s="22">
        <f t="shared" si="151"/>
        <v>1.2345938865918005</v>
      </c>
      <c r="AH684" s="22">
        <f t="shared" si="151"/>
        <v>1.2480204008779516</v>
      </c>
      <c r="AI684" s="22">
        <f t="shared" si="151"/>
        <v>1.2604934871451285</v>
      </c>
      <c r="AJ684" s="22">
        <f t="shared" si="151"/>
        <v>1.2743340482246315</v>
      </c>
      <c r="AK684" s="22">
        <f t="shared" si="151"/>
        <v>1.2878029781490608</v>
      </c>
      <c r="AL684" s="22">
        <f t="shared" si="151"/>
        <v>1.302087430895273</v>
      </c>
      <c r="AM684" s="22">
        <f t="shared" si="151"/>
        <v>1.3165772246053524</v>
      </c>
      <c r="AN684" s="22">
        <f t="shared" si="151"/>
        <v>1.3325905811769112</v>
      </c>
      <c r="AO684" s="22">
        <f t="shared" si="151"/>
        <v>1.3480569944390275</v>
      </c>
      <c r="AP684" s="22">
        <f t="shared" si="151"/>
        <v>1.3638910811882956</v>
      </c>
      <c r="AQ684" s="22">
        <f t="shared" si="151"/>
        <v>1.3803329285303612</v>
      </c>
      <c r="AR684" s="22">
        <f t="shared" si="151"/>
        <v>1.3974765343324473</v>
      </c>
      <c r="AS684" s="22">
        <f t="shared" si="151"/>
        <v>1.4165658117844762</v>
      </c>
      <c r="AT684" s="22">
        <f t="shared" si="151"/>
        <v>1.4296216900778926</v>
      </c>
      <c r="AU684" s="22">
        <f t="shared" si="151"/>
        <v>1.4423773000489271</v>
      </c>
      <c r="AV684" s="22">
        <f t="shared" si="151"/>
        <v>1.4554943578736881</v>
      </c>
      <c r="AW684" s="22">
        <f t="shared" si="151"/>
        <v>1.468692881818767</v>
      </c>
      <c r="AY684" s="79"/>
      <c r="AZ684" s="79"/>
    </row>
    <row r="685" spans="1:52" x14ac:dyDescent="0.2">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0.73794174034663862</v>
      </c>
      <c r="M685" s="22">
        <f t="shared" si="151"/>
        <v>0.74376253694082328</v>
      </c>
      <c r="N685" s="22">
        <f t="shared" si="151"/>
        <v>0.74750301879518044</v>
      </c>
      <c r="O685" s="22">
        <f t="shared" si="151"/>
        <v>0.74998858609492669</v>
      </c>
      <c r="P685" s="22">
        <f t="shared" si="151"/>
        <v>0.75119477530775824</v>
      </c>
      <c r="Q685" s="22">
        <f t="shared" si="151"/>
        <v>0.7538596961765357</v>
      </c>
      <c r="R685" s="22">
        <f t="shared" si="151"/>
        <v>0.75691680802528427</v>
      </c>
      <c r="S685" s="22">
        <f t="shared" si="151"/>
        <v>0.73619604563634833</v>
      </c>
      <c r="T685" s="22">
        <f t="shared" si="151"/>
        <v>0.74465653971921864</v>
      </c>
      <c r="U685" s="22">
        <f t="shared" si="151"/>
        <v>0.75128622936275991</v>
      </c>
      <c r="V685" s="22">
        <f t="shared" si="151"/>
        <v>0.75756713182620983</v>
      </c>
      <c r="W685" s="22">
        <f t="shared" si="151"/>
        <v>0.76491012040208251</v>
      </c>
      <c r="X685" s="22">
        <f t="shared" si="151"/>
        <v>0.77194230299255218</v>
      </c>
      <c r="Y685" s="22">
        <f t="shared" si="151"/>
        <v>0.77784014625640541</v>
      </c>
      <c r="Z685" s="22">
        <f t="shared" si="151"/>
        <v>0.78357417917078342</v>
      </c>
      <c r="AA685" s="22">
        <f t="shared" si="151"/>
        <v>0.78901298609781978</v>
      </c>
      <c r="AB685" s="22">
        <f t="shared" si="151"/>
        <v>0.79608790712439581</v>
      </c>
      <c r="AC685" s="22">
        <f t="shared" si="151"/>
        <v>0.80312644781467857</v>
      </c>
      <c r="AD685" s="22">
        <f t="shared" si="151"/>
        <v>0.81046968124591112</v>
      </c>
      <c r="AE685" s="22">
        <f t="shared" si="151"/>
        <v>0.81942826113588163</v>
      </c>
      <c r="AF685" s="22">
        <f t="shared" si="151"/>
        <v>0.8292220366944113</v>
      </c>
      <c r="AG685" s="22">
        <f t="shared" si="151"/>
        <v>0.84076688396873545</v>
      </c>
      <c r="AH685" s="22">
        <f t="shared" si="151"/>
        <v>0.84991043206299322</v>
      </c>
      <c r="AI685" s="22">
        <f t="shared" si="151"/>
        <v>0.85840468915289159</v>
      </c>
      <c r="AJ685" s="22">
        <f t="shared" si="151"/>
        <v>0.86783020594636673</v>
      </c>
      <c r="AK685" s="22">
        <f t="shared" si="151"/>
        <v>0.87700263938050371</v>
      </c>
      <c r="AL685" s="22">
        <f t="shared" si="151"/>
        <v>0.8867304494361532</v>
      </c>
      <c r="AM685" s="22">
        <f t="shared" si="151"/>
        <v>0.89659809809315782</v>
      </c>
      <c r="AN685" s="22">
        <f t="shared" si="151"/>
        <v>0.90750330348317998</v>
      </c>
      <c r="AO685" s="22">
        <f t="shared" si="151"/>
        <v>0.91803603673723821</v>
      </c>
      <c r="AP685" s="22">
        <f t="shared" si="151"/>
        <v>0.92881915815170113</v>
      </c>
      <c r="AQ685" s="22">
        <f t="shared" si="151"/>
        <v>0.94001616868821003</v>
      </c>
      <c r="AR685" s="22">
        <f t="shared" si="151"/>
        <v>0.95169108153748594</v>
      </c>
      <c r="AS685" s="22">
        <f t="shared" si="151"/>
        <v>0.9646910100928292</v>
      </c>
      <c r="AT685" s="22">
        <f t="shared" si="151"/>
        <v>0.97358215254011127</v>
      </c>
      <c r="AU685" s="22">
        <f t="shared" si="151"/>
        <v>0.98226881020538814</v>
      </c>
      <c r="AV685" s="22">
        <f t="shared" si="151"/>
        <v>0.99120161633211146</v>
      </c>
      <c r="AW685" s="22">
        <f t="shared" si="151"/>
        <v>1.0001899014441695</v>
      </c>
      <c r="AY685" s="79"/>
      <c r="AZ685" s="79"/>
    </row>
    <row r="686" spans="1:52" x14ac:dyDescent="0.2">
      <c r="A686" s="95" t="str">
        <f t="shared" si="149"/>
        <v>NI U&amp;D</v>
      </c>
      <c r="B686" s="95" t="s">
        <v>969</v>
      </c>
      <c r="C686" s="95" t="s">
        <v>1336</v>
      </c>
      <c r="D686" t="s">
        <v>369</v>
      </c>
      <c r="E686" t="s">
        <v>55</v>
      </c>
      <c r="F686" t="s">
        <v>422</v>
      </c>
      <c r="G686" t="s">
        <v>1158</v>
      </c>
      <c r="H686" t="s">
        <v>1243</v>
      </c>
      <c r="I686" t="s">
        <v>139</v>
      </c>
      <c r="J686" t="s">
        <v>287</v>
      </c>
      <c r="K686" s="22">
        <f t="shared" si="152"/>
        <v>15.353527292296844</v>
      </c>
      <c r="L686" s="22">
        <f t="shared" si="151"/>
        <v>15.220371053361493</v>
      </c>
      <c r="M686" s="22">
        <f t="shared" si="151"/>
        <v>15.169682504177887</v>
      </c>
      <c r="N686" s="22">
        <f t="shared" si="151"/>
        <v>14.967111251021189</v>
      </c>
      <c r="O686" s="22">
        <f t="shared" si="151"/>
        <v>14.673074129931962</v>
      </c>
      <c r="P686" s="22">
        <f t="shared" si="151"/>
        <v>14.293651368256896</v>
      </c>
      <c r="Q686" s="22">
        <f t="shared" si="151"/>
        <v>13.994389539168758</v>
      </c>
      <c r="R686" s="22">
        <f t="shared" si="151"/>
        <v>13.711253827544139</v>
      </c>
      <c r="S686" s="22">
        <f t="shared" si="151"/>
        <v>12.169037780121926</v>
      </c>
      <c r="T686" s="22">
        <f t="shared" si="151"/>
        <v>12.401807134203059</v>
      </c>
      <c r="U686" s="22">
        <f t="shared" si="151"/>
        <v>12.526260010284002</v>
      </c>
      <c r="V686" s="22">
        <f t="shared" si="151"/>
        <v>12.622062683352066</v>
      </c>
      <c r="W686" s="22">
        <f t="shared" si="151"/>
        <v>12.760674268300837</v>
      </c>
      <c r="X686" s="22">
        <f t="shared" si="151"/>
        <v>12.873164971451276</v>
      </c>
      <c r="Y686" s="22">
        <f t="shared" si="151"/>
        <v>12.945682732607438</v>
      </c>
      <c r="Z686" s="22">
        <f t="shared" si="151"/>
        <v>13.002132383564884</v>
      </c>
      <c r="AA686" s="22">
        <f t="shared" si="151"/>
        <v>13.037118833745307</v>
      </c>
      <c r="AB686" s="22">
        <f t="shared" si="151"/>
        <v>13.140692477306542</v>
      </c>
      <c r="AC686" s="22">
        <f t="shared" si="151"/>
        <v>13.233883747502103</v>
      </c>
      <c r="AD686" s="22">
        <f t="shared" si="151"/>
        <v>13.23869020405356</v>
      </c>
      <c r="AE686" s="22">
        <f t="shared" si="151"/>
        <v>13.301119774765679</v>
      </c>
      <c r="AF686" s="22">
        <f t="shared" si="151"/>
        <v>13.383674683163292</v>
      </c>
      <c r="AG686" s="22">
        <f t="shared" si="151"/>
        <v>13.522276087147475</v>
      </c>
      <c r="AH686" s="22">
        <f t="shared" si="151"/>
        <v>13.544412944106279</v>
      </c>
      <c r="AI686" s="22">
        <f t="shared" si="151"/>
        <v>13.542089215214004</v>
      </c>
      <c r="AJ686" s="22">
        <f t="shared" si="151"/>
        <v>13.562424652219031</v>
      </c>
      <c r="AK686" s="22">
        <f t="shared" si="151"/>
        <v>13.558671299619801</v>
      </c>
      <c r="AL686" s="22">
        <f t="shared" si="151"/>
        <v>13.561543071773121</v>
      </c>
      <c r="AM686" s="22">
        <f t="shared" si="151"/>
        <v>13.555025657095664</v>
      </c>
      <c r="AN686" s="22">
        <f t="shared" si="151"/>
        <v>13.65231474834372</v>
      </c>
      <c r="AO686" s="22">
        <f t="shared" si="151"/>
        <v>13.72348724176244</v>
      </c>
      <c r="AP686" s="22">
        <f t="shared" si="151"/>
        <v>13.790553263000465</v>
      </c>
      <c r="AQ686" s="22">
        <f t="shared" si="151"/>
        <v>13.858644184626581</v>
      </c>
      <c r="AR686" s="22">
        <f t="shared" si="151"/>
        <v>13.929236621781989</v>
      </c>
      <c r="AS686" s="22">
        <f t="shared" si="151"/>
        <v>14.039863069721484</v>
      </c>
      <c r="AT686" s="22">
        <f t="shared" si="151"/>
        <v>14.008704095961466</v>
      </c>
      <c r="AU686" s="22">
        <f t="shared" si="151"/>
        <v>13.961987215392144</v>
      </c>
      <c r="AV686" s="22">
        <f t="shared" si="151"/>
        <v>13.913601198226885</v>
      </c>
      <c r="AW686" s="22">
        <f t="shared" si="151"/>
        <v>13.857756490863558</v>
      </c>
      <c r="AY686" s="79"/>
      <c r="AZ686" s="79"/>
    </row>
    <row r="687" spans="1:52" x14ac:dyDescent="0.2">
      <c r="A687" s="95" t="str">
        <f t="shared" si="149"/>
        <v>NI U&amp;D</v>
      </c>
      <c r="B687" s="95" t="s">
        <v>969</v>
      </c>
      <c r="C687" s="95" t="s">
        <v>1336</v>
      </c>
      <c r="D687" t="s">
        <v>369</v>
      </c>
      <c r="E687" t="s">
        <v>55</v>
      </c>
      <c r="F687" t="s">
        <v>422</v>
      </c>
      <c r="G687" t="s">
        <v>1160</v>
      </c>
      <c r="H687" t="s">
        <v>1244</v>
      </c>
      <c r="I687" t="s">
        <v>139</v>
      </c>
      <c r="J687" t="s">
        <v>287</v>
      </c>
      <c r="K687" s="22">
        <f t="shared" si="152"/>
        <v>9.6543103644621464</v>
      </c>
      <c r="L687" s="22">
        <f t="shared" si="151"/>
        <v>9.5705816138517683</v>
      </c>
      <c r="M687" s="22">
        <f t="shared" si="151"/>
        <v>9.5387086131773007</v>
      </c>
      <c r="N687" s="22">
        <f t="shared" si="151"/>
        <v>9.4113316455488931</v>
      </c>
      <c r="O687" s="22">
        <f t="shared" si="151"/>
        <v>9.22644086627548</v>
      </c>
      <c r="P687" s="22">
        <f t="shared" si="151"/>
        <v>8.9878595272244652</v>
      </c>
      <c r="Q687" s="22">
        <f t="shared" si="151"/>
        <v>8.7996834473406587</v>
      </c>
      <c r="R687" s="22">
        <f t="shared" si="151"/>
        <v>8.6216474831450967</v>
      </c>
      <c r="S687" s="22">
        <f t="shared" si="151"/>
        <v>7.6519007866750153</v>
      </c>
      <c r="T687" s="22">
        <f t="shared" si="151"/>
        <v>7.79826634455969</v>
      </c>
      <c r="U687" s="22">
        <f t="shared" si="151"/>
        <v>7.8765224135763656</v>
      </c>
      <c r="V687" s="22">
        <f t="shared" si="151"/>
        <v>7.9367632117940001</v>
      </c>
      <c r="W687" s="22">
        <f t="shared" si="151"/>
        <v>8.0239222883846164</v>
      </c>
      <c r="X687" s="22">
        <f t="shared" si="151"/>
        <v>8.0946565333991707</v>
      </c>
      <c r="Y687" s="22">
        <f t="shared" si="151"/>
        <v>8.1402557601963093</v>
      </c>
      <c r="Z687" s="22">
        <f t="shared" si="151"/>
        <v>8.175751346320169</v>
      </c>
      <c r="AA687" s="22">
        <f t="shared" si="151"/>
        <v>8.1977508544567819</v>
      </c>
      <c r="AB687" s="22">
        <f t="shared" si="151"/>
        <v>8.2628780451981587</v>
      </c>
      <c r="AC687" s="22">
        <f t="shared" si="151"/>
        <v>8.3214767911799861</v>
      </c>
      <c r="AD687" s="22">
        <f t="shared" si="151"/>
        <v>8.3244990949423538</v>
      </c>
      <c r="AE687" s="22">
        <f t="shared" si="151"/>
        <v>8.3637548594387177</v>
      </c>
      <c r="AF687" s="22">
        <f t="shared" si="151"/>
        <v>8.4156654525296073</v>
      </c>
      <c r="AG687" s="22">
        <f t="shared" si="151"/>
        <v>8.5028181273214702</v>
      </c>
      <c r="AH687" s="22">
        <f t="shared" si="151"/>
        <v>8.5167378008600192</v>
      </c>
      <c r="AI687" s="22">
        <f t="shared" si="151"/>
        <v>8.515276638255374</v>
      </c>
      <c r="AJ687" s="22">
        <f t="shared" si="151"/>
        <v>8.5280635774717464</v>
      </c>
      <c r="AK687" s="22">
        <f t="shared" si="151"/>
        <v>8.5257034663252735</v>
      </c>
      <c r="AL687" s="22">
        <f t="shared" si="151"/>
        <v>8.5275092389751901</v>
      </c>
      <c r="AM687" s="22">
        <f t="shared" si="151"/>
        <v>8.5234110833610295</v>
      </c>
      <c r="AN687" s="22">
        <f t="shared" si="151"/>
        <v>8.5845865425310173</v>
      </c>
      <c r="AO687" s="22">
        <f t="shared" si="151"/>
        <v>8.6293398638881058</v>
      </c>
      <c r="AP687" s="22">
        <f t="shared" si="151"/>
        <v>8.6715110322206357</v>
      </c>
      <c r="AQ687" s="22">
        <f t="shared" si="151"/>
        <v>8.7143266587451382</v>
      </c>
      <c r="AR687" s="22">
        <f t="shared" si="151"/>
        <v>8.7587152402552686</v>
      </c>
      <c r="AS687" s="22">
        <f t="shared" si="151"/>
        <v>8.8282772400871714</v>
      </c>
      <c r="AT687" s="22">
        <f t="shared" si="151"/>
        <v>8.8086844522156653</v>
      </c>
      <c r="AU687" s="22">
        <f t="shared" si="151"/>
        <v>8.7793088399743002</v>
      </c>
      <c r="AV687" s="22">
        <f t="shared" si="151"/>
        <v>8.7488836732930295</v>
      </c>
      <c r="AW687" s="22">
        <f t="shared" si="151"/>
        <v>8.7137684761898431</v>
      </c>
      <c r="AY687" s="79"/>
      <c r="AZ687" s="79"/>
    </row>
    <row r="688" spans="1:52" x14ac:dyDescent="0.2">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2">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5.9177410166742819</v>
      </c>
      <c r="T689" s="22">
        <f t="shared" si="151"/>
        <v>5.9267532558831455</v>
      </c>
      <c r="U689" s="22">
        <f t="shared" si="151"/>
        <v>5.9369392429781076</v>
      </c>
      <c r="V689" s="22">
        <f t="shared" si="151"/>
        <v>5.9484299369724756</v>
      </c>
      <c r="W689" s="22">
        <f t="shared" si="151"/>
        <v>5.9613561230675689</v>
      </c>
      <c r="X689" s="22">
        <f t="shared" si="151"/>
        <v>5.9754482628979506</v>
      </c>
      <c r="Y689" s="22">
        <f t="shared" si="151"/>
        <v>5.9840189867940028</v>
      </c>
      <c r="Z689" s="22">
        <f t="shared" si="151"/>
        <v>5.9935919924924663</v>
      </c>
      <c r="AA689" s="22">
        <f t="shared" si="151"/>
        <v>6.0040970561873648</v>
      </c>
      <c r="AB689" s="22">
        <f t="shared" si="151"/>
        <v>6.015772019922915</v>
      </c>
      <c r="AC689" s="22">
        <f t="shared" si="151"/>
        <v>6.0283300293613564</v>
      </c>
      <c r="AD689" s="22">
        <f t="shared" si="151"/>
        <v>6.0365358206617943</v>
      </c>
      <c r="AE689" s="22">
        <f t="shared" si="151"/>
        <v>6.0457468580703022</v>
      </c>
      <c r="AF689" s="22">
        <f t="shared" si="151"/>
        <v>6.0558159935957239</v>
      </c>
      <c r="AG689" s="22">
        <f t="shared" si="151"/>
        <v>6.0668477974371191</v>
      </c>
      <c r="AH689" s="22">
        <f t="shared" si="151"/>
        <v>6.0782061128825768</v>
      </c>
      <c r="AI689" s="22">
        <f t="shared" si="151"/>
        <v>6.0851673422995747</v>
      </c>
      <c r="AJ689" s="22">
        <f t="shared" si="151"/>
        <v>6.0928574061867389</v>
      </c>
      <c r="AK689" s="22">
        <f t="shared" si="151"/>
        <v>6.1010802783379781</v>
      </c>
      <c r="AL689" s="22">
        <f t="shared" si="151"/>
        <v>6.1099337878320572</v>
      </c>
      <c r="AM689" s="22">
        <f t="shared" si="151"/>
        <v>6.1193379299301505</v>
      </c>
      <c r="AN689" s="22">
        <f t="shared" si="151"/>
        <v>6.1247915653472518</v>
      </c>
      <c r="AO689" s="22">
        <f t="shared" si="151"/>
        <v>6.1306576553625556</v>
      </c>
      <c r="AP689" s="22">
        <f t="shared" si="151"/>
        <v>6.1370111691436762</v>
      </c>
      <c r="AQ689" s="22">
        <f t="shared" si="151"/>
        <v>6.1438608776263539</v>
      </c>
      <c r="AR689" s="22">
        <f t="shared" si="151"/>
        <v>6.1512019925053671</v>
      </c>
      <c r="AS689" s="22">
        <f t="shared" si="151"/>
        <v>6.1544845731259219</v>
      </c>
      <c r="AT689" s="22">
        <f t="shared" si="151"/>
        <v>6.1575398722372316</v>
      </c>
      <c r="AU689" s="22">
        <f t="shared" si="151"/>
        <v>6.1609269818317118</v>
      </c>
      <c r="AV689" s="22">
        <f t="shared" si="151"/>
        <v>6.1647001939833732</v>
      </c>
      <c r="AW689" s="22">
        <f t="shared" si="151"/>
        <v>6.1688206661186156</v>
      </c>
      <c r="AY689" s="79"/>
      <c r="AZ689" s="79"/>
    </row>
    <row r="690" spans="1:52" x14ac:dyDescent="0.2">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0.66059463009348052</v>
      </c>
      <c r="T690" s="22">
        <f t="shared" si="153"/>
        <v>0.66160066209280566</v>
      </c>
      <c r="U690" s="22">
        <f t="shared" si="153"/>
        <v>0.66273771901337264</v>
      </c>
      <c r="V690" s="22">
        <f t="shared" si="153"/>
        <v>0.66402041974788251</v>
      </c>
      <c r="W690" s="22">
        <f t="shared" si="153"/>
        <v>0.66546336378648574</v>
      </c>
      <c r="X690" s="22">
        <f t="shared" si="153"/>
        <v>0.66703646268896311</v>
      </c>
      <c r="Y690" s="22">
        <f t="shared" si="153"/>
        <v>0.66799320854279376</v>
      </c>
      <c r="Z690" s="22">
        <f t="shared" si="153"/>
        <v>0.66906183864006219</v>
      </c>
      <c r="AA690" s="22">
        <f t="shared" si="153"/>
        <v>0.67023451393053002</v>
      </c>
      <c r="AB690" s="22">
        <f t="shared" si="153"/>
        <v>0.67153778460907243</v>
      </c>
      <c r="AC690" s="22">
        <f t="shared" si="153"/>
        <v>0.67293962926167272</v>
      </c>
      <c r="AD690" s="22">
        <f t="shared" si="153"/>
        <v>0.67385563786249902</v>
      </c>
      <c r="AE690" s="22">
        <f t="shared" si="153"/>
        <v>0.67488386161080183</v>
      </c>
      <c r="AF690" s="22">
        <f t="shared" si="153"/>
        <v>0.67600787444594213</v>
      </c>
      <c r="AG690" s="22">
        <f t="shared" si="153"/>
        <v>0.67723934948976972</v>
      </c>
      <c r="AH690" s="22">
        <f t="shared" si="153"/>
        <v>0.6785072728694912</v>
      </c>
      <c r="AI690" s="22">
        <f t="shared" si="153"/>
        <v>0.67928435161605349</v>
      </c>
      <c r="AJ690" s="22">
        <f t="shared" si="153"/>
        <v>0.68014278980971932</v>
      </c>
      <c r="AK690" s="22">
        <f t="shared" si="153"/>
        <v>0.68106070513784001</v>
      </c>
      <c r="AL690" s="22">
        <f t="shared" si="153"/>
        <v>0.68204901821419661</v>
      </c>
      <c r="AM690" s="22">
        <f t="shared" si="153"/>
        <v>0.68309879814764285</v>
      </c>
      <c r="AN690" s="22">
        <f t="shared" si="153"/>
        <v>0.68370758488921768</v>
      </c>
      <c r="AO690" s="22">
        <f t="shared" si="153"/>
        <v>0.68436241374246343</v>
      </c>
      <c r="AP690" s="22">
        <f t="shared" si="153"/>
        <v>0.68507165348009424</v>
      </c>
      <c r="AQ690" s="22">
        <f t="shared" si="153"/>
        <v>0.68583628319751733</v>
      </c>
      <c r="AR690" s="22">
        <f t="shared" si="153"/>
        <v>0.68665576837848608</v>
      </c>
      <c r="AS690" s="22">
        <f t="shared" si="153"/>
        <v>0.68702220130021696</v>
      </c>
      <c r="AT690" s="22">
        <f t="shared" si="153"/>
        <v>0.68736326289459471</v>
      </c>
      <c r="AU690" s="22">
        <f t="shared" si="153"/>
        <v>0.6877413643362339</v>
      </c>
      <c r="AV690" s="22">
        <f t="shared" si="153"/>
        <v>0.68816256622367178</v>
      </c>
      <c r="AW690" s="22">
        <f t="shared" si="153"/>
        <v>0.68862253257879269</v>
      </c>
      <c r="AY690" s="79"/>
      <c r="AZ690" s="79"/>
    </row>
    <row r="691" spans="1:52" x14ac:dyDescent="0.2">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0.72463138273575967</v>
      </c>
      <c r="O691" s="22">
        <f t="shared" si="153"/>
        <v>0.72832072886952293</v>
      </c>
      <c r="P691" s="22">
        <f t="shared" si="153"/>
        <v>0.7325443847928953</v>
      </c>
      <c r="Q691" s="22">
        <f t="shared" si="153"/>
        <v>0.73708994755228407</v>
      </c>
      <c r="R691" s="22">
        <f t="shared" si="153"/>
        <v>0.74193942345928476</v>
      </c>
      <c r="S691" s="22">
        <f t="shared" si="153"/>
        <v>0.74639464232983788</v>
      </c>
      <c r="T691" s="22">
        <f t="shared" si="153"/>
        <v>0.74856351716878611</v>
      </c>
      <c r="U691" s="22">
        <f t="shared" si="153"/>
        <v>0.7508946920259173</v>
      </c>
      <c r="V691" s="22">
        <f t="shared" si="153"/>
        <v>0.75341667510432941</v>
      </c>
      <c r="W691" s="22">
        <f t="shared" si="153"/>
        <v>0.75615715708667941</v>
      </c>
      <c r="X691" s="22">
        <f t="shared" si="153"/>
        <v>0.75906737547896641</v>
      </c>
      <c r="Y691" s="22">
        <f t="shared" si="153"/>
        <v>0.76088672130758961</v>
      </c>
      <c r="Z691" s="22">
        <f t="shared" si="153"/>
        <v>0.76285477171358229</v>
      </c>
      <c r="AA691" s="22">
        <f t="shared" si="153"/>
        <v>0.76495995173574494</v>
      </c>
      <c r="AB691" s="22">
        <f t="shared" si="153"/>
        <v>0.76724835481418519</v>
      </c>
      <c r="AC691" s="22">
        <f t="shared" si="153"/>
        <v>0.76966726525164153</v>
      </c>
      <c r="AD691" s="22">
        <f t="shared" si="153"/>
        <v>0.77123981630413885</v>
      </c>
      <c r="AE691" s="22">
        <f t="shared" si="153"/>
        <v>0.7729717745117366</v>
      </c>
      <c r="AF691" s="22">
        <f t="shared" si="153"/>
        <v>0.77483635735979484</v>
      </c>
      <c r="AG691" s="22">
        <f t="shared" si="153"/>
        <v>0.77685363069924696</v>
      </c>
      <c r="AH691" s="22">
        <f t="shared" si="153"/>
        <v>0.7789061253482048</v>
      </c>
      <c r="AI691" s="22">
        <f t="shared" si="153"/>
        <v>0.78012107515728923</v>
      </c>
      <c r="AJ691" s="22">
        <f t="shared" si="153"/>
        <v>0.78145074369480261</v>
      </c>
      <c r="AK691" s="22">
        <f t="shared" si="153"/>
        <v>0.7828593435343304</v>
      </c>
      <c r="AL691" s="22">
        <f t="shared" si="153"/>
        <v>0.78436534735883467</v>
      </c>
      <c r="AM691" s="22">
        <f t="shared" si="153"/>
        <v>0.78595438278227181</v>
      </c>
      <c r="AN691" s="22">
        <f t="shared" si="153"/>
        <v>0.78680169998206073</v>
      </c>
      <c r="AO691" s="22">
        <f t="shared" si="153"/>
        <v>0.78771028208261162</v>
      </c>
      <c r="AP691" s="22">
        <f t="shared" si="153"/>
        <v>0.78869414542587013</v>
      </c>
      <c r="AQ691" s="22">
        <f t="shared" si="153"/>
        <v>0.78975510213576938</v>
      </c>
      <c r="AR691" s="22">
        <f t="shared" si="153"/>
        <v>0.79089245177101786</v>
      </c>
      <c r="AS691" s="22">
        <f t="shared" si="153"/>
        <v>0.79127935129009708</v>
      </c>
      <c r="AT691" s="22">
        <f t="shared" si="153"/>
        <v>0.7916151974997605</v>
      </c>
      <c r="AU691" s="22">
        <f t="shared" si="153"/>
        <v>0.79200195212614188</v>
      </c>
      <c r="AV691" s="22">
        <f t="shared" si="153"/>
        <v>0.79244958629193585</v>
      </c>
      <c r="AW691" s="22">
        <f t="shared" si="153"/>
        <v>0.79295116872451854</v>
      </c>
      <c r="AY691" s="79"/>
      <c r="AZ691" s="79"/>
    </row>
    <row r="692" spans="1:52" x14ac:dyDescent="0.2">
      <c r="A692" s="95" t="str">
        <f t="shared" si="149"/>
        <v>NI U&amp;D</v>
      </c>
      <c r="B692" s="95" t="s">
        <v>969</v>
      </c>
      <c r="C692" s="95" t="s">
        <v>1336</v>
      </c>
      <c r="D692" t="s">
        <v>369</v>
      </c>
      <c r="E692" t="s">
        <v>55</v>
      </c>
      <c r="F692" t="s">
        <v>422</v>
      </c>
      <c r="G692" t="s">
        <v>1170</v>
      </c>
      <c r="H692" t="s">
        <v>1249</v>
      </c>
      <c r="I692" t="s">
        <v>139</v>
      </c>
      <c r="J692" t="s">
        <v>287</v>
      </c>
      <c r="K692" s="22">
        <f t="shared" si="152"/>
        <v>1.1867254191644501</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1.2198688909683482</v>
      </c>
      <c r="R692" s="22">
        <f t="shared" si="153"/>
        <v>1.2278946750888551</v>
      </c>
      <c r="S692" s="22">
        <f t="shared" si="153"/>
        <v>1.2352679718224364</v>
      </c>
      <c r="T692" s="22">
        <f t="shared" si="153"/>
        <v>1.2388574156253576</v>
      </c>
      <c r="U692" s="22">
        <f t="shared" si="153"/>
        <v>1.2427154626616324</v>
      </c>
      <c r="V692" s="22">
        <f t="shared" si="153"/>
        <v>1.2468892934283116</v>
      </c>
      <c r="W692" s="22">
        <f t="shared" si="153"/>
        <v>1.2514247354427215</v>
      </c>
      <c r="X692" s="22">
        <f t="shared" si="153"/>
        <v>1.2562410877677852</v>
      </c>
      <c r="Y692" s="22">
        <f t="shared" si="153"/>
        <v>1.2592520681584702</v>
      </c>
      <c r="Z692" s="22">
        <f t="shared" si="153"/>
        <v>1.2625091516041205</v>
      </c>
      <c r="AA692" s="22">
        <f t="shared" si="153"/>
        <v>1.2659931817790702</v>
      </c>
      <c r="AB692" s="22">
        <f t="shared" si="153"/>
        <v>1.2697804423904187</v>
      </c>
      <c r="AC692" s="22">
        <f t="shared" si="153"/>
        <v>1.2737836900299913</v>
      </c>
      <c r="AD692" s="22">
        <f t="shared" si="153"/>
        <v>1.2763862300792366</v>
      </c>
      <c r="AE692" s="22">
        <f t="shared" si="153"/>
        <v>1.2792525857321959</v>
      </c>
      <c r="AF692" s="22">
        <f t="shared" si="153"/>
        <v>1.2823384324711629</v>
      </c>
      <c r="AG692" s="22">
        <f t="shared" si="153"/>
        <v>1.2856769788718418</v>
      </c>
      <c r="AH692" s="22">
        <f t="shared" si="153"/>
        <v>1.2890738158243156</v>
      </c>
      <c r="AI692" s="22">
        <f t="shared" si="153"/>
        <v>1.2910845330795322</v>
      </c>
      <c r="AJ692" s="22">
        <f t="shared" si="153"/>
        <v>1.2932851075000604</v>
      </c>
      <c r="AK692" s="22">
        <f t="shared" si="153"/>
        <v>1.2956163116221209</v>
      </c>
      <c r="AL692" s="22">
        <f t="shared" si="153"/>
        <v>1.2981087173607861</v>
      </c>
      <c r="AM692" s="22">
        <f t="shared" si="153"/>
        <v>1.3007385387090959</v>
      </c>
      <c r="AN692" s="22">
        <f t="shared" si="153"/>
        <v>1.3021408314635115</v>
      </c>
      <c r="AO692" s="22">
        <f t="shared" si="153"/>
        <v>1.303644516384237</v>
      </c>
      <c r="AP692" s="22">
        <f t="shared" si="153"/>
        <v>1.3052727902324839</v>
      </c>
      <c r="AQ692" s="22">
        <f t="shared" si="153"/>
        <v>1.3070286520365533</v>
      </c>
      <c r="AR692" s="22">
        <f t="shared" si="153"/>
        <v>1.308910942580334</v>
      </c>
      <c r="AS692" s="22">
        <f t="shared" si="153"/>
        <v>1.3095512534254661</v>
      </c>
      <c r="AT692" s="22">
        <f t="shared" si="153"/>
        <v>1.3101070720805417</v>
      </c>
      <c r="AU692" s="22">
        <f t="shared" si="153"/>
        <v>1.310747143131201</v>
      </c>
      <c r="AV692" s="22">
        <f t="shared" si="153"/>
        <v>1.3114879685829661</v>
      </c>
      <c r="AW692" s="22">
        <f t="shared" si="153"/>
        <v>1.312318077320435</v>
      </c>
      <c r="AY692" s="79"/>
      <c r="AZ692" s="79"/>
    </row>
    <row r="693" spans="1:52" x14ac:dyDescent="0.2">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0.19368291106027899</v>
      </c>
      <c r="P693" s="22">
        <f t="shared" si="153"/>
        <v>0.19253602379697463</v>
      </c>
      <c r="Q693" s="22">
        <f t="shared" si="153"/>
        <v>0.19190012409058904</v>
      </c>
      <c r="R693" s="22">
        <f t="shared" si="153"/>
        <v>0.19132863754616405</v>
      </c>
      <c r="S693" s="22">
        <f t="shared" si="153"/>
        <v>0.18119977029128689</v>
      </c>
      <c r="T693" s="22">
        <f t="shared" si="153"/>
        <v>0.18372263045933149</v>
      </c>
      <c r="U693" s="22">
        <f t="shared" si="153"/>
        <v>0.18542569851972082</v>
      </c>
      <c r="V693" s="22">
        <f t="shared" si="153"/>
        <v>0.18690586811212617</v>
      </c>
      <c r="W693" s="22">
        <f t="shared" si="153"/>
        <v>0.18871846813186952</v>
      </c>
      <c r="X693" s="22">
        <f t="shared" si="153"/>
        <v>0.19032856308746704</v>
      </c>
      <c r="Y693" s="22">
        <f t="shared" si="153"/>
        <v>0.19181155412665482</v>
      </c>
      <c r="Z693" s="22">
        <f t="shared" si="153"/>
        <v>0.19316694252651395</v>
      </c>
      <c r="AA693" s="22">
        <f t="shared" si="153"/>
        <v>0.19434817692528195</v>
      </c>
      <c r="AB693" s="22">
        <f t="shared" si="153"/>
        <v>0.19609130445368728</v>
      </c>
      <c r="AC693" s="22">
        <f t="shared" si="153"/>
        <v>0.19775823400143536</v>
      </c>
      <c r="AD693" s="22">
        <f t="shared" si="153"/>
        <v>0.19979376823512379</v>
      </c>
      <c r="AE693" s="22">
        <f t="shared" si="153"/>
        <v>0.2023779928594536</v>
      </c>
      <c r="AF693" s="22">
        <f t="shared" si="153"/>
        <v>0.20521413875451175</v>
      </c>
      <c r="AG693" s="22">
        <f t="shared" si="153"/>
        <v>0.20863865671050874</v>
      </c>
      <c r="AH693" s="22">
        <f t="shared" si="153"/>
        <v>0.21111219620408483</v>
      </c>
      <c r="AI693" s="22">
        <f t="shared" si="153"/>
        <v>0.21359919528074695</v>
      </c>
      <c r="AJ693" s="22">
        <f t="shared" si="153"/>
        <v>0.21637994777249434</v>
      </c>
      <c r="AK693" s="22">
        <f t="shared" si="153"/>
        <v>0.21901936705190489</v>
      </c>
      <c r="AL693" s="22">
        <f t="shared" si="153"/>
        <v>0.22181322909338433</v>
      </c>
      <c r="AM693" s="22">
        <f t="shared" si="153"/>
        <v>0.22460946011468219</v>
      </c>
      <c r="AN693" s="22">
        <f t="shared" si="153"/>
        <v>0.22803030127957039</v>
      </c>
      <c r="AO693" s="22">
        <f t="shared" si="153"/>
        <v>0.23127378160095582</v>
      </c>
      <c r="AP693" s="22">
        <f t="shared" si="153"/>
        <v>0.23456525375289961</v>
      </c>
      <c r="AQ693" s="22">
        <f t="shared" si="153"/>
        <v>0.23796293573474386</v>
      </c>
      <c r="AR693" s="22">
        <f t="shared" si="153"/>
        <v>0.24148877503172564</v>
      </c>
      <c r="AS693" s="22">
        <f t="shared" si="153"/>
        <v>0.24576012405635958</v>
      </c>
      <c r="AT693" s="22">
        <f t="shared" si="153"/>
        <v>0.24853256796744563</v>
      </c>
      <c r="AU693" s="22">
        <f t="shared" si="153"/>
        <v>0.25120157665253162</v>
      </c>
      <c r="AV693" s="22">
        <f t="shared" si="153"/>
        <v>0.25392762754999298</v>
      </c>
      <c r="AW693" s="22">
        <f t="shared" si="153"/>
        <v>0.25664306300563272</v>
      </c>
      <c r="AY693" s="79"/>
      <c r="AZ693" s="79"/>
    </row>
    <row r="694" spans="1:52" x14ac:dyDescent="0.2">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2">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2">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2">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2">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2">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2">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2">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2">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2">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2">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2">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2">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2">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2">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2">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2">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2">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0.64883189407483499</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0.63709630483047164</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0.6254053408696707</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0.61372947411194834</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0.60204387749589716</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0.590372256693528</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0.57871902377719808</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0.56707537118232654</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0.55544271779700261</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0.5437925465821597</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0.53215020208908337</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0.52050548671923336</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0.50884724881250254</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0.49718729858707988</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0.48551573762149369</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0.4738819189303447</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0.46225895108237858</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0.45063351855546463</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0.43901845927077465</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0.42740542474529553</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0.42730298938155514</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0.42718974633101564</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0.42708226105062919</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0.42697468771209462</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0.42686562218910673</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0.42675462190832508</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0.42663172254873233</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0.42654552920617234</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0.42646242236458548</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0.42637864182715696</v>
      </c>
      <c r="AY711" s="79"/>
      <c r="AZ711" s="79"/>
    </row>
    <row r="712" spans="1:52" x14ac:dyDescent="0.2">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8.5645810017878233E-3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8.4096712237622263E-3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8.2553504994796519E-3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8.1012290582777157E-3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7.9469791829458441E-3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7.7929137883545694E-3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7.6390911138590157E-3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7.4853948996067132E-3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7.3318438749204341E-3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7.1780616148845082E-3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7.0243826675759008E-3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6.8706724246938786E-3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6.7167836843250363E-3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6.5628723413494556E-3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6.4088077366037171E-3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6.2552413298805499E-3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6.101818154287399E-3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5.948362444932135E-3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5.7950436623742281E-3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5.6417516066379018E-3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5.640399459836529E-3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5.6389046515694088E-3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5.6374858458683071E-3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5.6360658777996489E-3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5.6346262128962104E-3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5.6331610091898913E-3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5.6315387376432687E-3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5.6304009855214741E-3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5.6293039752125292E-3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5.6281980721184736E-3</v>
      </c>
      <c r="AY712" s="79"/>
      <c r="AZ712" s="79"/>
    </row>
    <row r="713" spans="1:52" x14ac:dyDescent="0.2">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1.208877512288109</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1.1958435838326282</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1.0581466820913914</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1.0644730384950021</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1.0625913958421684</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1.0584552590077436</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1.0572462129711209</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1.0539668614194542</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1.0476469223124836</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1.0400616800209681</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1.0308617551266397</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1.0262779050962203</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1.0207911464294623</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1.0174648609219934</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1.0179841085221666</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1.0197810623230203</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1.0252722895914907</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1.0227769363568266</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1.0185107139945662</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1.0156708308449605</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1.0111039069787942</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1.0068693351976672</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1.0018872446279496</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1.0162036853765339</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1.0291356559340952</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1.0421612456102711</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1.055645716995689</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1.0697134307237284</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1.0870125452673416</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1.0947159869521577</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1.1016251916348152</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1.1087320470062545</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1.1156229858041626</v>
      </c>
      <c r="AY713" s="79"/>
      <c r="AZ713" s="79"/>
    </row>
    <row r="714" spans="1:52" x14ac:dyDescent="0.2">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4.3473821211305586</v>
      </c>
      <c r="O714" s="22">
        <f t="shared" si="160"/>
        <v>4.3052096453824609</v>
      </c>
      <c r="P714" s="22">
        <f t="shared" si="160"/>
        <v>4.2496956169043703</v>
      </c>
      <c r="Q714" s="22">
        <f t="shared" si="160"/>
        <v>4.2083609134426787</v>
      </c>
      <c r="R714" s="22">
        <f t="shared" si="160"/>
        <v>4.1703852155628214</v>
      </c>
      <c r="S714" s="22">
        <f t="shared" si="160"/>
        <v>3.918985241839104</v>
      </c>
      <c r="T714" s="22">
        <f t="shared" si="160"/>
        <v>3.962647023266995</v>
      </c>
      <c r="U714" s="22">
        <f t="shared" si="160"/>
        <v>3.988397466462279</v>
      </c>
      <c r="V714" s="22">
        <f t="shared" si="160"/>
        <v>4.0097420759989726</v>
      </c>
      <c r="W714" s="22">
        <f t="shared" si="160"/>
        <v>4.0388232265836717</v>
      </c>
      <c r="X714" s="22">
        <f t="shared" si="160"/>
        <v>4.063881936096621</v>
      </c>
      <c r="Y714" s="22">
        <f t="shared" si="160"/>
        <v>4.0803176241982966</v>
      </c>
      <c r="Z714" s="22">
        <f t="shared" si="160"/>
        <v>4.0943719762440898</v>
      </c>
      <c r="AA714" s="22">
        <f t="shared" si="160"/>
        <v>4.1051027315234014</v>
      </c>
      <c r="AB714" s="22">
        <f t="shared" si="160"/>
        <v>4.1278786035109292</v>
      </c>
      <c r="AC714" s="22">
        <f t="shared" si="160"/>
        <v>4.149204796729399</v>
      </c>
      <c r="AD714" s="22">
        <f t="shared" si="160"/>
        <v>4.1548667718492807</v>
      </c>
      <c r="AE714" s="22">
        <f t="shared" si="160"/>
        <v>4.1707310137254909</v>
      </c>
      <c r="AF714" s="22">
        <f t="shared" si="160"/>
        <v>4.1903910179403239</v>
      </c>
      <c r="AG714" s="22">
        <f t="shared" si="160"/>
        <v>4.2200248954303605</v>
      </c>
      <c r="AH714" s="22">
        <f t="shared" si="160"/>
        <v>4.2299973767021726</v>
      </c>
      <c r="AI714" s="22">
        <f t="shared" si="160"/>
        <v>4.2344058167490939</v>
      </c>
      <c r="AJ714" s="22">
        <f t="shared" si="160"/>
        <v>4.2430165616646569</v>
      </c>
      <c r="AK714" s="22">
        <f t="shared" si="160"/>
        <v>4.2477733537700137</v>
      </c>
      <c r="AL714" s="22">
        <f t="shared" si="160"/>
        <v>4.2539691533655395</v>
      </c>
      <c r="AM714" s="22">
        <f t="shared" si="160"/>
        <v>4.2588371425380025</v>
      </c>
      <c r="AN714" s="22">
        <f t="shared" si="160"/>
        <v>4.2797220284315198</v>
      </c>
      <c r="AO714" s="22">
        <f t="shared" si="160"/>
        <v>4.2963498578029604</v>
      </c>
      <c r="AP714" s="22">
        <f t="shared" si="160"/>
        <v>4.3125285701488281</v>
      </c>
      <c r="AQ714" s="22">
        <f t="shared" si="160"/>
        <v>4.3291488784909324</v>
      </c>
      <c r="AR714" s="22">
        <f t="shared" si="160"/>
        <v>4.3464700481298193</v>
      </c>
      <c r="AS714" s="22">
        <f t="shared" si="160"/>
        <v>4.3694873280939213</v>
      </c>
      <c r="AT714" s="22">
        <f t="shared" si="160"/>
        <v>4.3680189479011426</v>
      </c>
      <c r="AU714" s="22">
        <f t="shared" si="160"/>
        <v>4.3640461344633534</v>
      </c>
      <c r="AV714" s="22">
        <f t="shared" si="160"/>
        <v>4.3599917873846739</v>
      </c>
      <c r="AW714" s="22">
        <f t="shared" si="160"/>
        <v>4.3548399908669477</v>
      </c>
      <c r="AY714" s="79"/>
      <c r="AZ714" s="79"/>
    </row>
    <row r="715" spans="1:52" x14ac:dyDescent="0.2">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2.2384700345581802E-4</v>
      </c>
      <c r="U715" s="94">
        <f>IF('Net zero activities &amp; levers'!$C$9="Off",'Activity data'!AN47*FracLEACH*MSLeachEF*NtoN2O*kgtoGg,IF('Net zero activities &amp; levers'!$C$9="On",(('Net zero supporting data'!L157*FracLEACH*'Net zero supporting data'!L185)+('Net zero supporting data'!L169*FracLEACH*MSLeachEF))*NtoN2O*kgtoGg,"ERROR"))</f>
        <v>2.1979822516651266E-4</v>
      </c>
      <c r="V715" s="94">
        <f>IF('Net zero activities &amp; levers'!$C$9="Off",'Activity data'!AO47*FracLEACH*MSLeachEF*NtoN2O*kgtoGg,IF('Net zero activities &amp; levers'!$C$9="On",(('Net zero supporting data'!M157*FracLEACH*'Net zero supporting data'!M185)+('Net zero supporting data'!M169*FracLEACH*MSLeachEF))*NtoN2O*kgtoGg,"ERROR"))</f>
        <v>2.1576484260003639E-4</v>
      </c>
      <c r="W715" s="94">
        <f>IF('Net zero activities &amp; levers'!$C$9="Off",'Activity data'!AP47*FracLEACH*MSLeachEF*NtoN2O*kgtoGg,IF('Net zero activities &amp; levers'!$C$9="On",(('Net zero supporting data'!N157*FracLEACH*'Net zero supporting data'!N185)+('Net zero supporting data'!N169*FracLEACH*MSLeachEF))*NtoN2O*kgtoGg,"ERROR"))</f>
        <v>2.1173666856862212E-4</v>
      </c>
      <c r="X715" s="94">
        <f>IF('Net zero activities &amp; levers'!$C$9="Off",'Activity data'!AQ47*FracLEACH*MSLeachEF*NtoN2O*kgtoGg,IF('Net zero activities &amp; levers'!$C$9="On",(('Net zero supporting data'!O157*FracLEACH*'Net zero supporting data'!O185)+('Net zero supporting data'!O169*FracLEACH*MSLeachEF))*NtoN2O*kgtoGg,"ERROR"))</f>
        <v>2.0770513773608448E-4</v>
      </c>
      <c r="Y715" s="94">
        <f>IF('Net zero activities &amp; levers'!$C$9="Off",'Activity data'!AR47*FracLEACH*MSLeachEF*NtoN2O*kgtoGg,IF('Net zero activities &amp; levers'!$C$9="On",(('Net zero supporting data'!P157*FracLEACH*'Net zero supporting data'!P185)+('Net zero supporting data'!P169*FracLEACH*MSLeachEF))*NtoN2O*kgtoGg,"ERROR"))</f>
        <v>2.0367842855926709E-4</v>
      </c>
      <c r="Z715" s="94">
        <f>IF('Net zero activities &amp; levers'!$C$9="Off",'Activity data'!AS47*FracLEACH*MSLeachEF*NtoN2O*kgtoGg,IF('Net zero activities &amp; levers'!$C$9="On",(('Net zero supporting data'!Q157*FracLEACH*'Net zero supporting data'!Q185)+('Net zero supporting data'!Q169*FracLEACH*MSLeachEF))*NtoN2O*kgtoGg,"ERROR"))</f>
        <v>1.9965806320313334E-4</v>
      </c>
      <c r="AA715" s="94">
        <f>IF('Net zero activities &amp; levers'!$C$9="Off",'Activity data'!AT47*FracLEACH*MSLeachEF*NtoN2O*kgtoGg,IF('Net zero activities &amp; levers'!$C$9="On",(('Net zero supporting data'!R157*FracLEACH*'Net zero supporting data'!R185)+('Net zero supporting data'!R169*FracLEACH*MSLeachEF))*NtoN2O*kgtoGg,"ERROR"))</f>
        <v>1.9564100305790268E-4</v>
      </c>
      <c r="AB715" s="94">
        <f>IF('Net zero activities &amp; levers'!$C$9="Off",'Activity data'!AU47*FracLEACH*MSLeachEF*NtoN2O*kgtoGg,IF('Net zero activities &amp; levers'!$C$9="On",(('Net zero supporting data'!S157*FracLEACH*'Net zero supporting data'!S185)+('Net zero supporting data'!S169*FracLEACH*MSLeachEF))*NtoN2O*kgtoGg,"ERROR"))</f>
        <v>1.9162773763996586E-4</v>
      </c>
      <c r="AC715" s="94">
        <f>IF('Net zero activities &amp; levers'!$C$9="Off",'Activity data'!AV47*FracLEACH*MSLeachEF*NtoN2O*kgtoGg,IF('Net zero activities &amp; levers'!$C$9="On",(('Net zero supporting data'!T157*FracLEACH*'Net zero supporting data'!T185)+('Net zero supporting data'!T169*FracLEACH*MSLeachEF))*NtoN2O*kgtoGg,"ERROR"))</f>
        <v>1.8760842857084501E-4</v>
      </c>
      <c r="AD715" s="94">
        <f>IF('Net zero activities &amp; levers'!$C$9="Off",'Activity data'!AW47*FracLEACH*MSLeachEF*NtoN2O*kgtoGg,IF('Net zero activities &amp; levers'!$C$9="On",(('Net zero supporting data'!U157*FracLEACH*'Net zero supporting data'!U185)+('Net zero supporting data'!U169*FracLEACH*MSLeachEF))*NtoN2O*kgtoGg,"ERROR"))</f>
        <v>1.8359181972073371E-4</v>
      </c>
      <c r="AE715" s="94">
        <f>IF('Net zero activities &amp; levers'!$C$9="Off",'Activity data'!AX47*FracLEACH*MSLeachEF*NtoN2O*kgtoGg,IF('Net zero activities &amp; levers'!$C$9="On",(('Net zero supporting data'!V157*FracLEACH*'Net zero supporting data'!V185)+('Net zero supporting data'!V169*FracLEACH*MSLeachEF))*NtoN2O*kgtoGg,"ERROR"))</f>
        <v>1.7957439291813545E-4</v>
      </c>
      <c r="AF715" s="94">
        <f>IF('Net zero activities &amp; levers'!$C$9="Off",'Activity data'!AY47*FracLEACH*MSLeachEF*NtoN2O*kgtoGg,IF('Net zero activities &amp; levers'!$C$9="On",(('Net zero supporting data'!W157*FracLEACH*'Net zero supporting data'!W185)+('Net zero supporting data'!W169*FracLEACH*MSLeachEF))*NtoN2O*kgtoGg,"ERROR"))</f>
        <v>1.755523008403134E-4</v>
      </c>
      <c r="AG715" s="94">
        <f>IF('Net zero activities &amp; levers'!$C$9="Off",'Activity data'!AZ47*FracLEACH*MSLeachEF*NtoN2O*kgtoGg,IF('Net zero activities &amp; levers'!$C$9="On",(('Net zero supporting data'!X157*FracLEACH*'Net zero supporting data'!X185)+('Net zero supporting data'!X169*FracLEACH*MSLeachEF))*NtoN2O*kgtoGg,"ERROR"))</f>
        <v>1.7152961801254253E-4</v>
      </c>
      <c r="AH715" s="94">
        <f>IF('Net zero activities &amp; levers'!$C$9="Off",'Activity data'!BA47*FracLEACH*MSLeachEF*NtoN2O*kgtoGg,IF('Net zero activities &amp; levers'!$C$9="On",(('Net zero supporting data'!Y157*FracLEACH*'Net zero supporting data'!Y185)+('Net zero supporting data'!Y169*FracLEACH*MSLeachEF))*NtoN2O*kgtoGg,"ERROR"))</f>
        <v>1.6750292947941527E-4</v>
      </c>
      <c r="AI715" s="94">
        <f>IF('Net zero activities &amp; levers'!$C$9="Off",'Activity data'!BB47*FracLEACH*MSLeachEF*NtoN2O*kgtoGg,IF('Net zero activities &amp; levers'!$C$9="On",(('Net zero supporting data'!Z157*FracLEACH*'Net zero supporting data'!Z185)+('Net zero supporting data'!Z169*FracLEACH*MSLeachEF))*NtoN2O*kgtoGg,"ERROR"))</f>
        <v>1.6348926203096887E-4</v>
      </c>
      <c r="AJ715" s="94">
        <f>IF('Net zero activities &amp; levers'!$C$9="Off",'Activity data'!BC47*FracLEACH*MSLeachEF*NtoN2O*kgtoGg,IF('Net zero activities &amp; levers'!$C$9="On",(('Net zero supporting data'!AA157*FracLEACH*'Net zero supporting data'!AA185)+('Net zero supporting data'!AA169*FracLEACH*MSLeachEF))*NtoN2O*kgtoGg,"ERROR"))</f>
        <v>1.5947933812342059E-4</v>
      </c>
      <c r="AK715" s="94">
        <f>IF('Net zero activities &amp; levers'!$C$9="Off",'Activity data'!BD47*FracLEACH*MSLeachEF*NtoN2O*kgtoGg,IF('Net zero activities &amp; levers'!$C$9="On",(('Net zero supporting data'!AB157*FracLEACH*'Net zero supporting data'!AB185)+('Net zero supporting data'!AB169*FracLEACH*MSLeachEF))*NtoN2O*kgtoGg,"ERROR"))</f>
        <v>1.5546856390163526E-4</v>
      </c>
      <c r="AL715" s="94">
        <f>IF('Net zero activities &amp; levers'!$C$9="Off",'Activity data'!BE47*FracLEACH*MSLeachEF*NtoN2O*kgtoGg,IF('Net zero activities &amp; levers'!$C$9="On",(('Net zero supporting data'!AC157*FracLEACH*'Net zero supporting data'!AC185)+('Net zero supporting data'!AC169*FracLEACH*MSLeachEF))*NtoN2O*kgtoGg,"ERROR"))</f>
        <v>1.5146136844841724E-4</v>
      </c>
      <c r="AM715" s="94">
        <f>IF('Net zero activities &amp; levers'!$C$9="Off",'Activity data'!BF47*FracLEACH*MSLeachEF*NtoN2O*kgtoGg,IF('Net zero activities &amp; levers'!$C$9="On",(('Net zero supporting data'!AD157*FracLEACH*'Net zero supporting data'!AD185)+('Net zero supporting data'!AD169*FracLEACH*MSLeachEF))*NtoN2O*kgtoGg,"ERROR"))</f>
        <v>1.4745487153712693E-4</v>
      </c>
      <c r="AN715" s="94">
        <f>IF('Net zero activities &amp; levers'!$C$9="Off",'Activity data'!BG47*FracLEACH*MSLeachEF*NtoN2O*kgtoGg,IF('Net zero activities &amp; levers'!$C$9="On",(('Net zero supporting data'!AE157*FracLEACH*'Net zero supporting data'!AE185)+('Net zero supporting data'!AE169*FracLEACH*MSLeachEF))*NtoN2O*kgtoGg,"ERROR"))</f>
        <v>1.4741953133663648E-4</v>
      </c>
      <c r="AO715" s="94">
        <f>IF('Net zero activities &amp; levers'!$C$9="Off",'Activity data'!BH47*FracLEACH*MSLeachEF*NtoN2O*kgtoGg,IF('Net zero activities &amp; levers'!$C$9="On",(('Net zero supporting data'!AF157*FracLEACH*'Net zero supporting data'!AF185)+('Net zero supporting data'!AF169*FracLEACH*MSLeachEF))*NtoN2O*kgtoGg,"ERROR"))</f>
        <v>1.4738046248420042E-4</v>
      </c>
      <c r="AP715" s="94">
        <f>IF('Net zero activities &amp; levers'!$C$9="Off",'Activity data'!BI47*FracLEACH*MSLeachEF*NtoN2O*kgtoGg,IF('Net zero activities &amp; levers'!$C$9="On",(('Net zero supporting data'!AG157*FracLEACH*'Net zero supporting data'!AG185)+('Net zero supporting data'!AG169*FracLEACH*MSLeachEF))*NtoN2O*kgtoGg,"ERROR"))</f>
        <v>1.4734338006246704E-4</v>
      </c>
      <c r="AQ715" s="94">
        <f>IF('Net zero activities &amp; levers'!$C$9="Off",'Activity data'!BJ47*FracLEACH*MSLeachEF*NtoN2O*kgtoGg,IF('Net zero activities &amp; levers'!$C$9="On",(('Net zero supporting data'!AH157*FracLEACH*'Net zero supporting data'!AH185)+('Net zero supporting data'!AH169*FracLEACH*MSLeachEF))*NtoN2O*kgtoGg,"ERROR"))</f>
        <v>1.4730626726067262E-4</v>
      </c>
      <c r="AR715" s="94">
        <f>IF('Net zero activities &amp; levers'!$C$9="Off",'Activity data'!BK47*FracLEACH*MSLeachEF*NtoN2O*kgtoGg,IF('Net zero activities &amp; levers'!$C$9="On",(('Net zero supporting data'!AI157*FracLEACH*'Net zero supporting data'!AI185)+('Net zero supporting data'!AI169*FracLEACH*MSLeachEF))*NtoN2O*kgtoGg,"ERROR"))</f>
        <v>1.4726863965524179E-4</v>
      </c>
      <c r="AS715" s="94">
        <f>IF('Net zero activities &amp; levers'!$C$9="Off",'Activity data'!BL47*FracLEACH*MSLeachEF*NtoN2O*kgtoGg,IF('Net zero activities &amp; levers'!$C$9="On",(('Net zero supporting data'!AJ157*FracLEACH*'Net zero supporting data'!AJ185)+('Net zero supporting data'!AJ169*FracLEACH*MSLeachEF))*NtoN2O*kgtoGg,"ERROR"))</f>
        <v>1.4723034455837211E-4</v>
      </c>
      <c r="AT715" s="94">
        <f>IF('Net zero activities &amp; levers'!$C$9="Off",'Activity data'!BM47*FracLEACH*MSLeachEF*NtoN2O*kgtoGg,IF('Net zero activities &amp; levers'!$C$9="On",(('Net zero supporting data'!AK157*FracLEACH*'Net zero supporting data'!AK185)+('Net zero supporting data'!AK169*FracLEACH*MSLeachEF))*NtoN2O*kgtoGg,"ERROR"))</f>
        <v>1.4718794427931263E-4</v>
      </c>
      <c r="AU715" s="94">
        <f>IF('Net zero activities &amp; levers'!$C$9="Off",'Activity data'!BN47*FracLEACH*MSLeachEF*NtoN2O*kgtoGg,IF('Net zero activities &amp; levers'!$C$9="On",(('Net zero supporting data'!AL157*FracLEACH*'Net zero supporting data'!AL185)+('Net zero supporting data'!AL169*FracLEACH*MSLeachEF))*NtoN2O*kgtoGg,"ERROR"))</f>
        <v>1.471582075761294E-4</v>
      </c>
      <c r="AV715" s="94">
        <f>IF('Net zero activities &amp; levers'!$C$9="Off",'Activity data'!BO47*FracLEACH*MSLeachEF*NtoN2O*kgtoGg,IF('Net zero activities &amp; levers'!$C$9="On",(('Net zero supporting data'!AM157*FracLEACH*'Net zero supporting data'!AM185)+('Net zero supporting data'!AM169*FracLEACH*MSLeachEF))*NtoN2O*kgtoGg,"ERROR"))</f>
        <v>1.4712953571578195E-4</v>
      </c>
      <c r="AW715" s="94">
        <f>IF('Net zero activities &amp; levers'!$C$9="Off",'Activity data'!BP47*FracLEACH*MSLeachEF*NtoN2O*kgtoGg,IF('Net zero activities &amp; levers'!$C$9="On",(('Net zero supporting data'!AN157*FracLEACH*'Net zero supporting data'!AN185)+('Net zero supporting data'!AN169*FracLEACH*MSLeachEF))*NtoN2O*kgtoGg,"ERROR"))</f>
        <v>1.4710063143036912E-4</v>
      </c>
      <c r="AY715" s="79"/>
      <c r="AZ715" s="79"/>
    </row>
    <row r="716" spans="1:52" x14ac:dyDescent="0.2">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1.4773902228083995E-6</v>
      </c>
      <c r="U716" s="94">
        <f>IF('Net zero activities &amp; levers'!$C$9="Off",'Activity data'!AN48*FracLEACH*MSLeachEF*NtoN2O*kgtoGg,IF('Net zero activities &amp; levers'!$C$9="On",(('Net zero supporting data'!L158*FracLEACH*'Net zero supporting data'!L185)+('Net zero supporting data'!L170*FracLEACH*MSLeachEF))*NtoN2O*kgtoGg,"ERROR"))</f>
        <v>1.4506682860989841E-6</v>
      </c>
      <c r="V716" s="94">
        <f>IF('Net zero activities &amp; levers'!$C$9="Off",'Activity data'!AO48*FracLEACH*MSLeachEF*NtoN2O*kgtoGg,IF('Net zero activities &amp; levers'!$C$9="On",(('Net zero supporting data'!M158*FracLEACH*'Net zero supporting data'!M185)+('Net zero supporting data'!M170*FracLEACH*MSLeachEF))*NtoN2O*kgtoGg,"ERROR"))</f>
        <v>1.4240479611602403E-6</v>
      </c>
      <c r="W716" s="94">
        <f>IF('Net zero activities &amp; levers'!$C$9="Off",'Activity data'!AP48*FracLEACH*MSLeachEF*NtoN2O*kgtoGg,IF('Net zero activities &amp; levers'!$C$9="On",(('Net zero supporting data'!N158*FracLEACH*'Net zero supporting data'!N185)+('Net zero supporting data'!N170*FracLEACH*MSLeachEF))*NtoN2O*kgtoGg,"ERROR"))</f>
        <v>1.3974620125529061E-6</v>
      </c>
      <c r="X716" s="94">
        <f>IF('Net zero activities &amp; levers'!$C$9="Off",'Activity data'!AQ48*FracLEACH*MSLeachEF*NtoN2O*kgtoGg,IF('Net zero activities &amp; levers'!$C$9="On",(('Net zero supporting data'!O158*FracLEACH*'Net zero supporting data'!O185)+('Net zero supporting data'!O170*FracLEACH*MSLeachEF))*NtoN2O*kgtoGg,"ERROR"))</f>
        <v>1.3708539090581582E-6</v>
      </c>
      <c r="Y716" s="94">
        <f>IF('Net zero activities &amp; levers'!$C$9="Off",'Activity data'!AR48*FracLEACH*MSLeachEF*NtoN2O*kgtoGg,IF('Net zero activities &amp; levers'!$C$9="On",(('Net zero supporting data'!P158*FracLEACH*'Net zero supporting data'!P185)+('Net zero supporting data'!P170*FracLEACH*MSLeachEF))*NtoN2O*kgtoGg,"ERROR"))</f>
        <v>1.3442776284911632E-6</v>
      </c>
      <c r="Z716" s="94">
        <f>IF('Net zero activities &amp; levers'!$C$9="Off",'Activity data'!AS48*FracLEACH*MSLeachEF*NtoN2O*kgtoGg,IF('Net zero activities &amp; levers'!$C$9="On",(('Net zero supporting data'!Q158*FracLEACH*'Net zero supporting data'!Q185)+('Net zero supporting data'!Q170*FracLEACH*MSLeachEF))*NtoN2O*kgtoGg,"ERROR"))</f>
        <v>1.3177432171406802E-6</v>
      </c>
      <c r="AA716" s="94">
        <f>IF('Net zero activities &amp; levers'!$C$9="Off",'Activity data'!AT48*FracLEACH*MSLeachEF*NtoN2O*kgtoGg,IF('Net zero activities &amp; levers'!$C$9="On",(('Net zero supporting data'!R158*FracLEACH*'Net zero supporting data'!R185)+('Net zero supporting data'!R170*FracLEACH*MSLeachEF))*NtoN2O*kgtoGg,"ERROR"))</f>
        <v>1.291230620182158E-6</v>
      </c>
      <c r="AB716" s="94">
        <f>IF('Net zero activities &amp; levers'!$C$9="Off",'Activity data'!AU48*FracLEACH*MSLeachEF*NtoN2O*kgtoGg,IF('Net zero activities &amp; levers'!$C$9="On",(('Net zero supporting data'!S158*FracLEACH*'Net zero supporting data'!S185)+('Net zero supporting data'!S170*FracLEACH*MSLeachEF))*NtoN2O*kgtoGg,"ERROR"))</f>
        <v>1.2647430684237745E-6</v>
      </c>
      <c r="AC716" s="94">
        <f>IF('Net zero activities &amp; levers'!$C$9="Off",'Activity data'!AV48*FracLEACH*MSLeachEF*NtoN2O*kgtoGg,IF('Net zero activities &amp; levers'!$C$9="On",(('Net zero supporting data'!T158*FracLEACH*'Net zero supporting data'!T185)+('Net zero supporting data'!T170*FracLEACH*MSLeachEF))*NtoN2O*kgtoGg,"ERROR"))</f>
        <v>1.2382156285675777E-6</v>
      </c>
      <c r="AD716" s="94">
        <f>IF('Net zero activities &amp; levers'!$C$9="Off",'Activity data'!AW48*FracLEACH*MSLeachEF*NtoN2O*kgtoGg,IF('Net zero activities &amp; levers'!$C$9="On",(('Net zero supporting data'!U158*FracLEACH*'Net zero supporting data'!U185)+('Net zero supporting data'!U170*FracLEACH*MSLeachEF))*NtoN2O*kgtoGg,"ERROR"))</f>
        <v>1.2117060101568427E-6</v>
      </c>
      <c r="AE716" s="94">
        <f>IF('Net zero activities &amp; levers'!$C$9="Off",'Activity data'!AX48*FracLEACH*MSLeachEF*NtoN2O*kgtoGg,IF('Net zero activities &amp; levers'!$C$9="On",(('Net zero supporting data'!V158*FracLEACH*'Net zero supporting data'!V185)+('Net zero supporting data'!V170*FracLEACH*MSLeachEF))*NtoN2O*kgtoGg,"ERROR"))</f>
        <v>1.1851909932596939E-6</v>
      </c>
      <c r="AF716" s="94">
        <f>IF('Net zero activities &amp; levers'!$C$9="Off",'Activity data'!AY48*FracLEACH*MSLeachEF*NtoN2O*kgtoGg,IF('Net zero activities &amp; levers'!$C$9="On",(('Net zero supporting data'!W158*FracLEACH*'Net zero supporting data'!W185)+('Net zero supporting data'!W170*FracLEACH*MSLeachEF))*NtoN2O*kgtoGg,"ERROR"))</f>
        <v>1.1586451855460685E-6</v>
      </c>
      <c r="AG716" s="94">
        <f>IF('Net zero activities &amp; levers'!$C$9="Off",'Activity data'!AZ48*FracLEACH*MSLeachEF*NtoN2O*kgtoGg,IF('Net zero activities &amp; levers'!$C$9="On",(('Net zero supporting data'!X158*FracLEACH*'Net zero supporting data'!X185)+('Net zero supporting data'!X170*FracLEACH*MSLeachEF))*NtoN2O*kgtoGg,"ERROR"))</f>
        <v>1.1320954788827807E-6</v>
      </c>
      <c r="AH716" s="94">
        <f>IF('Net zero activities &amp; levers'!$C$9="Off",'Activity data'!BA48*FracLEACH*MSLeachEF*NtoN2O*kgtoGg,IF('Net zero activities &amp; levers'!$C$9="On",(('Net zero supporting data'!Y158*FracLEACH*'Net zero supporting data'!Y185)+('Net zero supporting data'!Y170*FracLEACH*MSLeachEF))*NtoN2O*kgtoGg,"ERROR"))</f>
        <v>1.1055193345641412E-6</v>
      </c>
      <c r="AI716" s="94">
        <f>IF('Net zero activities &amp; levers'!$C$9="Off",'Activity data'!BB48*FracLEACH*MSLeachEF*NtoN2O*kgtoGg,IF('Net zero activities &amp; levers'!$C$9="On",(('Net zero supporting data'!Z158*FracLEACH*'Net zero supporting data'!Z185)+('Net zero supporting data'!Z170*FracLEACH*MSLeachEF))*NtoN2O*kgtoGg,"ERROR"))</f>
        <v>1.079029129404395E-6</v>
      </c>
      <c r="AJ716" s="94">
        <f>IF('Net zero activities &amp; levers'!$C$9="Off",'Activity data'!BC48*FracLEACH*MSLeachEF*NtoN2O*kgtoGg,IF('Net zero activities &amp; levers'!$C$9="On",(('Net zero supporting data'!AA158*FracLEACH*'Net zero supporting data'!AA185)+('Net zero supporting data'!AA170*FracLEACH*MSLeachEF))*NtoN2O*kgtoGg,"ERROR"))</f>
        <v>1.0525636316145764E-6</v>
      </c>
      <c r="AK716" s="94">
        <f>IF('Net zero activities &amp; levers'!$C$9="Off",'Activity data'!BD48*FracLEACH*MSLeachEF*NtoN2O*kgtoGg,IF('Net zero activities &amp; levers'!$C$9="On",(('Net zero supporting data'!AB158*FracLEACH*'Net zero supporting data'!AB185)+('Net zero supporting data'!AB170*FracLEACH*MSLeachEF))*NtoN2O*kgtoGg,"ERROR"))</f>
        <v>1.0260925217507929E-6</v>
      </c>
      <c r="AL716" s="94">
        <f>IF('Net zero activities &amp; levers'!$C$9="Off",'Activity data'!BE48*FracLEACH*MSLeachEF*NtoN2O*kgtoGg,IF('Net zero activities &amp; levers'!$C$9="On",(('Net zero supporting data'!AC158*FracLEACH*'Net zero supporting data'!AC185)+('Net zero supporting data'!AC170*FracLEACH*MSLeachEF))*NtoN2O*kgtoGg,"ERROR"))</f>
        <v>9.9964503175955383E-7</v>
      </c>
      <c r="AM716" s="94">
        <f>IF('Net zero activities &amp; levers'!$C$9="Off",'Activity data'!BF48*FracLEACH*MSLeachEF*NtoN2O*kgtoGg,IF('Net zero activities &amp; levers'!$C$9="On",(('Net zero supporting data'!AD158*FracLEACH*'Net zero supporting data'!AD185)+('Net zero supporting data'!AD170*FracLEACH*MSLeachEF))*NtoN2O*kgtoGg,"ERROR"))</f>
        <v>9.7320215214503791E-7</v>
      </c>
      <c r="AN716" s="94">
        <f>IF('Net zero activities &amp; levers'!$C$9="Off",'Activity data'!BG48*FracLEACH*MSLeachEF*NtoN2O*kgtoGg,IF('Net zero activities &amp; levers'!$C$9="On",(('Net zero supporting data'!AE158*FracLEACH*'Net zero supporting data'!AE185)+('Net zero supporting data'!AE170*FracLEACH*MSLeachEF))*NtoN2O*kgtoGg,"ERROR"))</f>
        <v>9.7296890682180101E-7</v>
      </c>
      <c r="AO716" s="94">
        <f>IF('Net zero activities &amp; levers'!$C$9="Off",'Activity data'!BH48*FracLEACH*MSLeachEF*NtoN2O*kgtoGg,IF('Net zero activities &amp; levers'!$C$9="On",(('Net zero supporting data'!AF158*FracLEACH*'Net zero supporting data'!AF185)+('Net zero supporting data'!AF170*FracLEACH*MSLeachEF))*NtoN2O*kgtoGg,"ERROR"))</f>
        <v>9.7271105239572287E-7</v>
      </c>
      <c r="AP716" s="94">
        <f>IF('Net zero activities &amp; levers'!$C$9="Off",'Activity data'!BI48*FracLEACH*MSLeachEF*NtoN2O*kgtoGg,IF('Net zero activities &amp; levers'!$C$9="On",(('Net zero supporting data'!AG158*FracLEACH*'Net zero supporting data'!AG185)+('Net zero supporting data'!AG170*FracLEACH*MSLeachEF))*NtoN2O*kgtoGg,"ERROR"))</f>
        <v>9.7246630841228288E-7</v>
      </c>
      <c r="AQ716" s="94">
        <f>IF('Net zero activities &amp; levers'!$C$9="Off",'Activity data'!BJ48*FracLEACH*MSLeachEF*NtoN2O*kgtoGg,IF('Net zero activities &amp; levers'!$C$9="On",(('Net zero supporting data'!AH158*FracLEACH*'Net zero supporting data'!AH185)+('Net zero supporting data'!AH170*FracLEACH*MSLeachEF))*NtoN2O*kgtoGg,"ERROR"))</f>
        <v>9.7222136392043923E-7</v>
      </c>
      <c r="AR716" s="94">
        <f>IF('Net zero activities &amp; levers'!$C$9="Off",'Activity data'!BK48*FracLEACH*MSLeachEF*NtoN2O*kgtoGg,IF('Net zero activities &amp; levers'!$C$9="On",(('Net zero supporting data'!AI158*FracLEACH*'Net zero supporting data'!AI185)+('Net zero supporting data'!AI170*FracLEACH*MSLeachEF))*NtoN2O*kgtoGg,"ERROR"))</f>
        <v>9.7197302172459607E-7</v>
      </c>
      <c r="AS716" s="94">
        <f>IF('Net zero activities &amp; levers'!$C$9="Off",'Activity data'!BL48*FracLEACH*MSLeachEF*NtoN2O*kgtoGg,IF('Net zero activities &amp; levers'!$C$9="On",(('Net zero supporting data'!AJ158*FracLEACH*'Net zero supporting data'!AJ185)+('Net zero supporting data'!AJ170*FracLEACH*MSLeachEF))*NtoN2O*kgtoGg,"ERROR"))</f>
        <v>9.7172027408525621E-7</v>
      </c>
      <c r="AT716" s="94">
        <f>IF('Net zero activities &amp; levers'!$C$9="Off",'Activity data'!BM48*FracLEACH*MSLeachEF*NtoN2O*kgtoGg,IF('Net zero activities &amp; levers'!$C$9="On",(('Net zero supporting data'!AK158*FracLEACH*'Net zero supporting data'!AK185)+('Net zero supporting data'!AK170*FracLEACH*MSLeachEF))*NtoN2O*kgtoGg,"ERROR"))</f>
        <v>9.7144043224346358E-7</v>
      </c>
      <c r="AU716" s="94">
        <f>IF('Net zero activities &amp; levers'!$C$9="Off",'Activity data'!BN48*FracLEACH*MSLeachEF*NtoN2O*kgtoGg,IF('Net zero activities &amp; levers'!$C$9="On",(('Net zero supporting data'!AL158*FracLEACH*'Net zero supporting data'!AL185)+('Net zero supporting data'!AL170*FracLEACH*MSLeachEF))*NtoN2O*kgtoGg,"ERROR"))</f>
        <v>9.7124417000245432E-7</v>
      </c>
      <c r="AV716" s="94">
        <f>IF('Net zero activities &amp; levers'!$C$9="Off",'Activity data'!BO48*FracLEACH*MSLeachEF*NtoN2O*kgtoGg,IF('Net zero activities &amp; levers'!$C$9="On",(('Net zero supporting data'!AM158*FracLEACH*'Net zero supporting data'!AM185)+('Net zero supporting data'!AM170*FracLEACH*MSLeachEF))*NtoN2O*kgtoGg,"ERROR"))</f>
        <v>9.7105493572416109E-7</v>
      </c>
      <c r="AW716" s="94">
        <f>IF('Net zero activities &amp; levers'!$C$9="Off",'Activity data'!BP48*FracLEACH*MSLeachEF*NtoN2O*kgtoGg,IF('Net zero activities &amp; levers'!$C$9="On",(('Net zero supporting data'!AN158*FracLEACH*'Net zero supporting data'!AN185)+('Net zero supporting data'!AN170*FracLEACH*MSLeachEF))*NtoN2O*kgtoGg,"ERROR"))</f>
        <v>9.7086416744043641E-7</v>
      </c>
      <c r="AY716" s="79"/>
      <c r="AZ716" s="79"/>
    </row>
    <row r="717" spans="1:52" x14ac:dyDescent="0.2">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0.20732835560623103</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0.20853137086969881</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0.20628301821112838</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0.182530302660765</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0.18362159914038781</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0.18329701578277399</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0.18258353217883574</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0.18237497173751829</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0.18180928359485585</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0.18071909409890338</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0.17941063980361693</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0.17782365275934536</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0.17703293862909802</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0.17608647275908224</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0.17551268850904378</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0.17560225872007373</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0.17591223325072095</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0.17685946995453214</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0.1764290215215526</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0.17569309816406262</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0.17520321832075564</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0.17441542395384199</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0.17368496032159758</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0.17282554969832128</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0.17529513572745209</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0.17752590064863141</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0.17977281486777175</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0.18209888618175635</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0.18452556679984311</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0.18750966405861641</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0.18883850774924718</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0.1900303455570056</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0.1912562781085789</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0.19244496505121805</v>
      </c>
      <c r="AY717" s="79"/>
      <c r="AZ717" s="79"/>
    </row>
    <row r="718" spans="1:52" x14ac:dyDescent="0.2">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2">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0.10241934435921343</v>
      </c>
      <c r="U719" s="22">
        <f t="shared" si="167"/>
        <v>0.10289653491421205</v>
      </c>
      <c r="V719" s="22">
        <f t="shared" si="167"/>
        <v>0.10327004584650011</v>
      </c>
      <c r="W719" s="22">
        <f t="shared" si="167"/>
        <v>0.10361580205805489</v>
      </c>
      <c r="X719" s="22">
        <f t="shared" si="167"/>
        <v>0.10400228370418145</v>
      </c>
      <c r="Y719" s="22">
        <f t="shared" si="167"/>
        <v>0.10436365961419813</v>
      </c>
      <c r="Z719" s="22">
        <f t="shared" si="167"/>
        <v>0.10468547747303018</v>
      </c>
      <c r="AA719" s="22">
        <f t="shared" si="165"/>
        <v>0.10499170031407964</v>
      </c>
      <c r="AB719" s="22">
        <f t="shared" si="165"/>
        <v>0.10527701862309623</v>
      </c>
      <c r="AC719" s="22">
        <f t="shared" si="165"/>
        <v>0.1056291315333171</v>
      </c>
      <c r="AD719" s="22">
        <f t="shared" si="165"/>
        <v>0.10597154194356044</v>
      </c>
      <c r="AE719" s="22">
        <f t="shared" si="165"/>
        <v>0.10633685217660206</v>
      </c>
      <c r="AF719" s="22">
        <f t="shared" si="165"/>
        <v>0.10676379979132655</v>
      </c>
      <c r="AG719" s="22">
        <f t="shared" si="165"/>
        <v>0.10721638113028523</v>
      </c>
      <c r="AH719" s="22">
        <f t="shared" si="165"/>
        <v>0.10773098998066055</v>
      </c>
      <c r="AI719" s="22">
        <f t="shared" si="165"/>
        <v>0.10813560058948724</v>
      </c>
      <c r="AJ719" s="22">
        <f t="shared" si="165"/>
        <v>0.10852058648676627</v>
      </c>
      <c r="AK719" s="22">
        <f t="shared" si="165"/>
        <v>0.10893451048846137</v>
      </c>
      <c r="AL719" s="22">
        <f t="shared" si="165"/>
        <v>0.10933011198993048</v>
      </c>
      <c r="AM719" s="22">
        <f t="shared" si="165"/>
        <v>0.10973899199424218</v>
      </c>
      <c r="AN719" s="22">
        <f t="shared" si="165"/>
        <v>0.11014489253259981</v>
      </c>
      <c r="AO719" s="22">
        <f t="shared" si="165"/>
        <v>0.11059361857310758</v>
      </c>
      <c r="AP719" s="22">
        <f t="shared" si="165"/>
        <v>0.11101952942636521</v>
      </c>
      <c r="AQ719" s="22">
        <f t="shared" si="165"/>
        <v>0.11144578921038648</v>
      </c>
      <c r="AR719" s="22">
        <f t="shared" si="165"/>
        <v>0.11187796178126933</v>
      </c>
      <c r="AS719" s="22">
        <f t="shared" si="165"/>
        <v>0.11231780083764567</v>
      </c>
      <c r="AT719" s="22">
        <f t="shared" si="165"/>
        <v>0.1128047900413833</v>
      </c>
      <c r="AU719" s="22">
        <f t="shared" si="165"/>
        <v>0.11314633150587833</v>
      </c>
      <c r="AV719" s="22">
        <f t="shared" si="165"/>
        <v>0.11347564269792666</v>
      </c>
      <c r="AW719" s="22">
        <f t="shared" si="165"/>
        <v>0.1138076234124414</v>
      </c>
      <c r="AY719" s="79"/>
      <c r="AZ719" s="79"/>
    </row>
    <row r="720" spans="1:52" x14ac:dyDescent="0.2">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2">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2">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2">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2">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2">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2">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2">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2">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2">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2">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2">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2">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0.39831175345583053</v>
      </c>
      <c r="M732" s="22">
        <f t="shared" si="177"/>
        <v>0.40145358914715529</v>
      </c>
      <c r="N732" s="22">
        <f t="shared" si="177"/>
        <v>0.40347255325329029</v>
      </c>
      <c r="O732" s="22">
        <f t="shared" si="177"/>
        <v>0.40481416413578281</v>
      </c>
      <c r="P732" s="22">
        <f t="shared" si="177"/>
        <v>0.40546521734783814</v>
      </c>
      <c r="Q732" s="22">
        <f t="shared" si="177"/>
        <v>0.40690363619044922</v>
      </c>
      <c r="R732" s="22">
        <f t="shared" si="177"/>
        <v>0.40855374420631185</v>
      </c>
      <c r="S732" s="22">
        <f t="shared" si="177"/>
        <v>0.39736949652274572</v>
      </c>
      <c r="T732" s="22">
        <f t="shared" si="177"/>
        <v>0.40193613647411602</v>
      </c>
      <c r="U732" s="22">
        <f t="shared" si="177"/>
        <v>0.40551458062818502</v>
      </c>
      <c r="V732" s="22">
        <f t="shared" si="177"/>
        <v>0.40890476326282849</v>
      </c>
      <c r="W732" s="22">
        <f t="shared" si="177"/>
        <v>0.41286821795762335</v>
      </c>
      <c r="X732" s="22">
        <f t="shared" si="177"/>
        <v>0.4166639118790918</v>
      </c>
      <c r="Y732" s="22">
        <f t="shared" si="177"/>
        <v>0.4198473343142145</v>
      </c>
      <c r="Z732" s="22">
        <f t="shared" si="177"/>
        <v>0.42294233840413964</v>
      </c>
      <c r="AA732" s="22">
        <f t="shared" si="177"/>
        <v>0.42587799118724151</v>
      </c>
      <c r="AB732" s="22">
        <f t="shared" si="177"/>
        <v>0.42969675362549747</v>
      </c>
      <c r="AC732" s="22">
        <f t="shared" si="177"/>
        <v>0.43349587939767537</v>
      </c>
      <c r="AD732" s="22">
        <f t="shared" si="177"/>
        <v>0.43745946625570531</v>
      </c>
      <c r="AE732" s="22">
        <f t="shared" si="177"/>
        <v>0.44229495321809359</v>
      </c>
      <c r="AF732" s="22">
        <f t="shared" si="177"/>
        <v>0.44758124575636155</v>
      </c>
      <c r="AG732" s="22">
        <f t="shared" si="177"/>
        <v>0.45381269752253439</v>
      </c>
      <c r="AH732" s="22">
        <f t="shared" si="177"/>
        <v>0.45874802300299961</v>
      </c>
      <c r="AI732" s="22">
        <f t="shared" si="177"/>
        <v>0.46333288688967006</v>
      </c>
      <c r="AJ732" s="22">
        <f t="shared" si="177"/>
        <v>0.46842040791737738</v>
      </c>
      <c r="AK732" s="22">
        <f t="shared" si="177"/>
        <v>0.47337132456140918</v>
      </c>
      <c r="AL732" s="22">
        <f t="shared" si="177"/>
        <v>0.47862201153126527</v>
      </c>
      <c r="AM732" s="22">
        <f t="shared" si="177"/>
        <v>0.48394817784516875</v>
      </c>
      <c r="AN732" s="22">
        <f t="shared" si="177"/>
        <v>0.48983437623076936</v>
      </c>
      <c r="AO732" s="22">
        <f t="shared" si="177"/>
        <v>0.49551952889490208</v>
      </c>
      <c r="AP732" s="22">
        <f t="shared" si="177"/>
        <v>0.50133983118096659</v>
      </c>
      <c r="AQ732" s="22">
        <f t="shared" si="177"/>
        <v>0.50738353443884876</v>
      </c>
      <c r="AR732" s="22">
        <f t="shared" si="177"/>
        <v>0.51368519045610384</v>
      </c>
      <c r="AS732" s="22">
        <f t="shared" si="177"/>
        <v>0.52070203752488053</v>
      </c>
      <c r="AT732" s="22">
        <f t="shared" si="177"/>
        <v>0.52550112442398844</v>
      </c>
      <c r="AU732" s="22">
        <f t="shared" si="177"/>
        <v>0.53018983852857582</v>
      </c>
      <c r="AV732" s="22">
        <f t="shared" si="177"/>
        <v>0.53501141383334805</v>
      </c>
      <c r="AW732" s="22">
        <f t="shared" si="177"/>
        <v>0.53986293449927925</v>
      </c>
      <c r="AY732" s="79"/>
      <c r="AZ732" s="79"/>
    </row>
    <row r="733" spans="1:52" x14ac:dyDescent="0.2">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3.1424516095088999E-2</v>
      </c>
      <c r="M733" s="22">
        <f t="shared" si="178"/>
        <v>3.1672388936885787E-2</v>
      </c>
      <c r="N733" s="22">
        <f t="shared" si="178"/>
        <v>3.1831673641638247E-2</v>
      </c>
      <c r="O733" s="22">
        <f t="shared" si="178"/>
        <v>3.1937519056453263E-2</v>
      </c>
      <c r="P733" s="22">
        <f t="shared" si="178"/>
        <v>3.198888342610464E-2</v>
      </c>
      <c r="Q733" s="22">
        <f t="shared" si="178"/>
        <v>3.2102366434524382E-2</v>
      </c>
      <c r="R733" s="22">
        <f t="shared" si="178"/>
        <v>3.2232550506305392E-2</v>
      </c>
      <c r="S733" s="22">
        <f t="shared" si="178"/>
        <v>3.1350177419660695E-2</v>
      </c>
      <c r="T733" s="22">
        <f t="shared" si="178"/>
        <v>3.1710459157287665E-2</v>
      </c>
      <c r="U733" s="22">
        <f t="shared" si="178"/>
        <v>3.19927779062055E-2</v>
      </c>
      <c r="V733" s="22">
        <f t="shared" si="178"/>
        <v>3.2260243899471644E-2</v>
      </c>
      <c r="W733" s="22">
        <f t="shared" si="178"/>
        <v>3.2572937774980257E-2</v>
      </c>
      <c r="X733" s="22">
        <f t="shared" si="178"/>
        <v>3.2872396286290406E-2</v>
      </c>
      <c r="Y733" s="22">
        <f t="shared" si="178"/>
        <v>3.3123550083992911E-2</v>
      </c>
      <c r="Z733" s="22">
        <f t="shared" si="178"/>
        <v>3.336772818065812E-2</v>
      </c>
      <c r="AA733" s="22">
        <f t="shared" si="178"/>
        <v>3.3599334371868343E-2</v>
      </c>
      <c r="AB733" s="22">
        <f t="shared" si="178"/>
        <v>3.3900612857032622E-2</v>
      </c>
      <c r="AC733" s="22">
        <f t="shared" si="178"/>
        <v>3.4200342121708499E-2</v>
      </c>
      <c r="AD733" s="22">
        <f t="shared" si="178"/>
        <v>3.4513046424139431E-2</v>
      </c>
      <c r="AE733" s="22">
        <f t="shared" si="178"/>
        <v>3.4894538651167102E-2</v>
      </c>
      <c r="AF733" s="22">
        <f t="shared" si="178"/>
        <v>3.5311596856231003E-2</v>
      </c>
      <c r="AG733" s="22">
        <f t="shared" si="178"/>
        <v>3.5803222711162215E-2</v>
      </c>
      <c r="AH733" s="22">
        <f t="shared" si="178"/>
        <v>3.6192591625460596E-2</v>
      </c>
      <c r="AI733" s="22">
        <f t="shared" si="178"/>
        <v>3.6554311127208743E-2</v>
      </c>
      <c r="AJ733" s="22">
        <f t="shared" si="178"/>
        <v>3.6955687398514313E-2</v>
      </c>
      <c r="AK733" s="22">
        <f t="shared" si="178"/>
        <v>3.7346286366322763E-2</v>
      </c>
      <c r="AL733" s="22">
        <f t="shared" si="178"/>
        <v>3.7760535495962914E-2</v>
      </c>
      <c r="AM733" s="22">
        <f t="shared" si="178"/>
        <v>3.8180739513555217E-2</v>
      </c>
      <c r="AN733" s="22">
        <f t="shared" si="178"/>
        <v>3.8645126854130414E-2</v>
      </c>
      <c r="AO733" s="22">
        <f t="shared" si="178"/>
        <v>3.9093652838731792E-2</v>
      </c>
      <c r="AP733" s="22">
        <f t="shared" si="178"/>
        <v>3.9552841354460577E-2</v>
      </c>
      <c r="AQ733" s="22">
        <f t="shared" si="178"/>
        <v>4.0029654927380476E-2</v>
      </c>
      <c r="AR733" s="22">
        <f t="shared" si="178"/>
        <v>4.0526819495640978E-2</v>
      </c>
      <c r="AS733" s="22">
        <f t="shared" si="178"/>
        <v>4.1080408541749817E-2</v>
      </c>
      <c r="AT733" s="22">
        <f t="shared" si="178"/>
        <v>4.145902901225889E-2</v>
      </c>
      <c r="AU733" s="22">
        <f t="shared" si="178"/>
        <v>4.1828941701418883E-2</v>
      </c>
      <c r="AV733" s="22">
        <f t="shared" si="178"/>
        <v>4.2209336378336959E-2</v>
      </c>
      <c r="AW733" s="22">
        <f t="shared" si="178"/>
        <v>4.2592093572744245E-2</v>
      </c>
      <c r="AY733" s="79"/>
      <c r="AZ733" s="79"/>
    </row>
    <row r="734" spans="1:52" x14ac:dyDescent="0.2">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2.9129279224209421E-4</v>
      </c>
      <c r="M734" s="22">
        <f t="shared" si="179"/>
        <v>2.9359047510821973E-4</v>
      </c>
      <c r="N734" s="22">
        <f t="shared" si="179"/>
        <v>2.9506698110336069E-4</v>
      </c>
      <c r="O734" s="22">
        <f t="shared" si="179"/>
        <v>2.960481260901027E-4</v>
      </c>
      <c r="P734" s="22">
        <f t="shared" si="179"/>
        <v>2.9652425341095714E-4</v>
      </c>
      <c r="Q734" s="22">
        <f t="shared" si="179"/>
        <v>2.9757619585915883E-4</v>
      </c>
      <c r="R734" s="22">
        <f t="shared" si="179"/>
        <v>2.9878295053629647E-4</v>
      </c>
      <c r="S734" s="22">
        <f t="shared" si="179"/>
        <v>2.906037022248744E-4</v>
      </c>
      <c r="T734" s="22">
        <f t="shared" si="179"/>
        <v>2.9394337094179688E-4</v>
      </c>
      <c r="U734" s="22">
        <f t="shared" si="179"/>
        <v>2.9656035369582628E-4</v>
      </c>
      <c r="V734" s="22">
        <f t="shared" si="179"/>
        <v>2.9903965729981968E-4</v>
      </c>
      <c r="W734" s="22">
        <f t="shared" si="179"/>
        <v>3.0193820542187468E-4</v>
      </c>
      <c r="X734" s="22">
        <f t="shared" si="179"/>
        <v>3.0471406697074431E-4</v>
      </c>
      <c r="Y734" s="22">
        <f t="shared" si="179"/>
        <v>3.0704216299594947E-4</v>
      </c>
      <c r="Z734" s="22">
        <f t="shared" si="179"/>
        <v>3.093055970410988E-4</v>
      </c>
      <c r="AA734" s="22">
        <f t="shared" si="179"/>
        <v>3.1145249451229731E-4</v>
      </c>
      <c r="AB734" s="22">
        <f t="shared" si="179"/>
        <v>3.1424522649647207E-4</v>
      </c>
      <c r="AC734" s="22">
        <f t="shared" si="179"/>
        <v>3.1702359782158373E-4</v>
      </c>
      <c r="AD734" s="22">
        <f t="shared" si="179"/>
        <v>3.1992224259707024E-4</v>
      </c>
      <c r="AE734" s="22">
        <f t="shared" si="179"/>
        <v>3.2345852413258482E-4</v>
      </c>
      <c r="AF734" s="22">
        <f t="shared" si="179"/>
        <v>3.2732448816884659E-4</v>
      </c>
      <c r="AG734" s="22">
        <f t="shared" si="179"/>
        <v>3.3188166472450077E-4</v>
      </c>
      <c r="AH734" s="22">
        <f t="shared" si="179"/>
        <v>3.3549096002486584E-4</v>
      </c>
      <c r="AI734" s="22">
        <f t="shared" si="179"/>
        <v>3.3884395624456256E-4</v>
      </c>
      <c r="AJ734" s="22">
        <f t="shared" si="179"/>
        <v>3.4256455497882901E-4</v>
      </c>
      <c r="AK734" s="22">
        <f t="shared" si="179"/>
        <v>3.4618525238704095E-4</v>
      </c>
      <c r="AL734" s="22">
        <f t="shared" si="179"/>
        <v>3.5002517740900785E-4</v>
      </c>
      <c r="AM734" s="22">
        <f t="shared" si="179"/>
        <v>3.539203018788781E-4</v>
      </c>
      <c r="AN734" s="22">
        <f t="shared" si="179"/>
        <v>3.5822498821704474E-4</v>
      </c>
      <c r="AO734" s="22">
        <f t="shared" si="179"/>
        <v>3.6238264608048877E-4</v>
      </c>
      <c r="AP734" s="22">
        <f t="shared" si="179"/>
        <v>3.6663914137567152E-4</v>
      </c>
      <c r="AQ734" s="22">
        <f t="shared" si="179"/>
        <v>3.7105901395587245E-4</v>
      </c>
      <c r="AR734" s="22">
        <f t="shared" si="179"/>
        <v>3.756675321858498E-4</v>
      </c>
      <c r="AS734" s="22">
        <f t="shared" si="179"/>
        <v>3.8079908293137994E-4</v>
      </c>
      <c r="AT734" s="22">
        <f t="shared" si="179"/>
        <v>3.8430874442372815E-4</v>
      </c>
      <c r="AU734" s="22">
        <f t="shared" si="179"/>
        <v>3.877376882389691E-4</v>
      </c>
      <c r="AV734" s="22">
        <f t="shared" si="179"/>
        <v>3.9126379592057032E-4</v>
      </c>
      <c r="AW734" s="22">
        <f t="shared" si="179"/>
        <v>3.9481180320164583E-4</v>
      </c>
      <c r="AY734" s="79"/>
      <c r="AZ734" s="79"/>
    </row>
    <row r="735" spans="1:52" x14ac:dyDescent="0.2">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3.2323215352203891E-3</v>
      </c>
      <c r="L735" s="22">
        <f t="shared" si="180"/>
        <v>3.2042886428129457E-3</v>
      </c>
      <c r="M735" s="22">
        <f t="shared" si="180"/>
        <v>3.193617369300608E-3</v>
      </c>
      <c r="N735" s="22">
        <f t="shared" si="180"/>
        <v>3.150970789688672E-3</v>
      </c>
      <c r="O735" s="22">
        <f t="shared" si="180"/>
        <v>3.0890682378804132E-3</v>
      </c>
      <c r="P735" s="22">
        <f t="shared" si="180"/>
        <v>3.0091897617382942E-3</v>
      </c>
      <c r="Q735" s="22">
        <f t="shared" si="180"/>
        <v>2.9461872714039495E-3</v>
      </c>
      <c r="R735" s="22">
        <f t="shared" si="180"/>
        <v>2.8865797531671877E-3</v>
      </c>
      <c r="S735" s="22">
        <f t="shared" si="180"/>
        <v>2.561902690551985E-3</v>
      </c>
      <c r="T735" s="22">
        <f t="shared" si="180"/>
        <v>2.6109067650953812E-3</v>
      </c>
      <c r="U735" s="22">
        <f t="shared" si="180"/>
        <v>2.6371073705861066E-3</v>
      </c>
      <c r="V735" s="22">
        <f t="shared" si="180"/>
        <v>2.6572763543899086E-3</v>
      </c>
      <c r="W735" s="22">
        <f t="shared" si="180"/>
        <v>2.6864577406949136E-3</v>
      </c>
      <c r="X735" s="22">
        <f t="shared" si="180"/>
        <v>2.7101399939897432E-3</v>
      </c>
      <c r="Y735" s="22">
        <f t="shared" si="180"/>
        <v>2.7254068910752506E-3</v>
      </c>
      <c r="Z735" s="22">
        <f t="shared" si="180"/>
        <v>2.7372910281189241E-3</v>
      </c>
      <c r="AA735" s="22">
        <f t="shared" si="180"/>
        <v>2.7446565965779596E-3</v>
      </c>
      <c r="AB735" s="22">
        <f t="shared" si="180"/>
        <v>2.766461574169799E-3</v>
      </c>
      <c r="AC735" s="22">
        <f t="shared" si="180"/>
        <v>2.7860807889478114E-3</v>
      </c>
      <c r="AD735" s="22">
        <f t="shared" si="180"/>
        <v>2.7870926745375917E-3</v>
      </c>
      <c r="AE735" s="22">
        <f t="shared" si="180"/>
        <v>2.8002357420559331E-3</v>
      </c>
      <c r="AF735" s="22">
        <f t="shared" si="180"/>
        <v>2.8176157227712195E-3</v>
      </c>
      <c r="AG735" s="22">
        <f t="shared" si="180"/>
        <v>2.8467949657152583E-3</v>
      </c>
      <c r="AH735" s="22">
        <f t="shared" si="180"/>
        <v>2.8514553566539535E-3</v>
      </c>
      <c r="AI735" s="22">
        <f t="shared" si="180"/>
        <v>2.8509661505713695E-3</v>
      </c>
      <c r="AJ735" s="22">
        <f t="shared" si="180"/>
        <v>2.8552472952040066E-3</v>
      </c>
      <c r="AK735" s="22">
        <f t="shared" si="180"/>
        <v>2.8544571157094324E-3</v>
      </c>
      <c r="AL735" s="22">
        <f t="shared" si="180"/>
        <v>2.8550616993206577E-3</v>
      </c>
      <c r="AM735" s="22">
        <f t="shared" si="180"/>
        <v>2.8536896120201398E-3</v>
      </c>
      <c r="AN735" s="22">
        <f t="shared" si="180"/>
        <v>2.8741715259670993E-3</v>
      </c>
      <c r="AO735" s="22">
        <f t="shared" si="180"/>
        <v>2.8891552087920934E-3</v>
      </c>
      <c r="AP735" s="22">
        <f t="shared" si="180"/>
        <v>2.9032743711579932E-3</v>
      </c>
      <c r="AQ735" s="22">
        <f t="shared" si="180"/>
        <v>2.9176093020266492E-3</v>
      </c>
      <c r="AR735" s="22">
        <f t="shared" si="180"/>
        <v>2.9324708677435766E-3</v>
      </c>
      <c r="AS735" s="22">
        <f t="shared" si="180"/>
        <v>2.955760646257155E-3</v>
      </c>
      <c r="AT735" s="22">
        <f t="shared" si="180"/>
        <v>2.949200862307677E-3</v>
      </c>
      <c r="AU735" s="22">
        <f t="shared" si="180"/>
        <v>2.9393657295562411E-3</v>
      </c>
      <c r="AV735" s="22">
        <f t="shared" si="180"/>
        <v>2.9291791996267137E-3</v>
      </c>
      <c r="AW735" s="22">
        <f t="shared" si="180"/>
        <v>2.9174224191291709E-3</v>
      </c>
      <c r="AY735" s="79"/>
      <c r="AZ735" s="79"/>
    </row>
    <row r="736" spans="1:52" x14ac:dyDescent="0.2">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1.6090517274103575E-2</v>
      </c>
      <c r="L736" s="22">
        <f t="shared" si="181"/>
        <v>1.5950969356419611E-2</v>
      </c>
      <c r="M736" s="22">
        <f t="shared" si="181"/>
        <v>1.5897847688628834E-2</v>
      </c>
      <c r="N736" s="22">
        <f t="shared" si="181"/>
        <v>1.5685552742581484E-2</v>
      </c>
      <c r="O736" s="22">
        <f t="shared" si="181"/>
        <v>1.5377401443792467E-2</v>
      </c>
      <c r="P736" s="22">
        <f t="shared" si="181"/>
        <v>1.4979765878707444E-2</v>
      </c>
      <c r="Q736" s="22">
        <f t="shared" si="181"/>
        <v>1.4666139078901097E-2</v>
      </c>
      <c r="R736" s="22">
        <f t="shared" si="181"/>
        <v>1.4369412471908495E-2</v>
      </c>
      <c r="S736" s="22">
        <f t="shared" si="181"/>
        <v>1.2753167977791692E-2</v>
      </c>
      <c r="T736" s="22">
        <f t="shared" si="181"/>
        <v>1.2997110574266151E-2</v>
      </c>
      <c r="U736" s="22">
        <f t="shared" si="181"/>
        <v>1.312753735596061E-2</v>
      </c>
      <c r="V736" s="22">
        <f t="shared" si="181"/>
        <v>1.3227938686323331E-2</v>
      </c>
      <c r="W736" s="22">
        <f t="shared" si="181"/>
        <v>1.337320381397436E-2</v>
      </c>
      <c r="X736" s="22">
        <f t="shared" si="181"/>
        <v>1.349109422233195E-2</v>
      </c>
      <c r="Y736" s="22">
        <f t="shared" si="181"/>
        <v>1.3567092933660515E-2</v>
      </c>
      <c r="Z736" s="22">
        <f t="shared" si="181"/>
        <v>1.3626252243866949E-2</v>
      </c>
      <c r="AA736" s="22">
        <f t="shared" si="181"/>
        <v>1.3662918090761304E-2</v>
      </c>
      <c r="AB736" s="22">
        <f t="shared" si="181"/>
        <v>1.3771463408663595E-2</v>
      </c>
      <c r="AC736" s="22">
        <f t="shared" si="181"/>
        <v>1.3869127985299977E-2</v>
      </c>
      <c r="AD736" s="22">
        <f t="shared" si="181"/>
        <v>1.3874165158237254E-2</v>
      </c>
      <c r="AE736" s="22">
        <f t="shared" si="181"/>
        <v>1.3939591432397862E-2</v>
      </c>
      <c r="AF736" s="22">
        <f t="shared" si="181"/>
        <v>1.4026109087549346E-2</v>
      </c>
      <c r="AG736" s="22">
        <f t="shared" si="181"/>
        <v>1.4171363545535784E-2</v>
      </c>
      <c r="AH736" s="22">
        <f t="shared" si="181"/>
        <v>1.4194563001433364E-2</v>
      </c>
      <c r="AI736" s="22">
        <f t="shared" si="181"/>
        <v>1.4192127730425623E-2</v>
      </c>
      <c r="AJ736" s="22">
        <f t="shared" si="181"/>
        <v>1.4213439295786241E-2</v>
      </c>
      <c r="AK736" s="22">
        <f t="shared" si="181"/>
        <v>1.4209505777208791E-2</v>
      </c>
      <c r="AL736" s="22">
        <f t="shared" si="181"/>
        <v>1.4212515398291981E-2</v>
      </c>
      <c r="AM736" s="22">
        <f t="shared" si="181"/>
        <v>1.4205685138935052E-2</v>
      </c>
      <c r="AN736" s="22">
        <f t="shared" si="181"/>
        <v>1.4307644237551697E-2</v>
      </c>
      <c r="AO736" s="22">
        <f t="shared" si="181"/>
        <v>1.4382233106480177E-2</v>
      </c>
      <c r="AP736" s="22">
        <f t="shared" si="181"/>
        <v>1.4452518387034392E-2</v>
      </c>
      <c r="AQ736" s="22">
        <f t="shared" si="181"/>
        <v>1.4523877764575229E-2</v>
      </c>
      <c r="AR736" s="22">
        <f t="shared" si="181"/>
        <v>1.4597858733758781E-2</v>
      </c>
      <c r="AS736" s="22">
        <f t="shared" si="181"/>
        <v>1.4713795400145288E-2</v>
      </c>
      <c r="AT736" s="22">
        <f t="shared" si="181"/>
        <v>1.4681140753692774E-2</v>
      </c>
      <c r="AU736" s="22">
        <f t="shared" si="181"/>
        <v>1.4632181399957167E-2</v>
      </c>
      <c r="AV736" s="22">
        <f t="shared" si="181"/>
        <v>1.4581472788821714E-2</v>
      </c>
      <c r="AW736" s="22">
        <f t="shared" si="181"/>
        <v>1.4522947460316408E-2</v>
      </c>
      <c r="AY736" s="79"/>
      <c r="AZ736" s="79"/>
    </row>
    <row r="737" spans="1:52" x14ac:dyDescent="0.2">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0.15836052531214873</v>
      </c>
      <c r="L737" s="22">
        <f t="shared" si="182"/>
        <v>0.16370016056893644</v>
      </c>
      <c r="M737" s="22">
        <f t="shared" si="182"/>
        <v>0.17003774892948584</v>
      </c>
      <c r="N737" s="22">
        <f t="shared" si="182"/>
        <v>0.17476418316081974</v>
      </c>
      <c r="O737" s="22">
        <f t="shared" si="182"/>
        <v>0.17840915017095665</v>
      </c>
      <c r="P737" s="22">
        <f t="shared" si="182"/>
        <v>0.18092055691117107</v>
      </c>
      <c r="Q737" s="22">
        <f t="shared" si="182"/>
        <v>0.18434967364231716</v>
      </c>
      <c r="R737" s="22">
        <f t="shared" si="182"/>
        <v>0.18794438918293385</v>
      </c>
      <c r="S737" s="22">
        <f t="shared" si="182"/>
        <v>0.17354626936315642</v>
      </c>
      <c r="T737" s="22">
        <f t="shared" si="182"/>
        <v>0.18112703744691877</v>
      </c>
      <c r="U737" s="22">
        <f t="shared" si="182"/>
        <v>0.18729176246517146</v>
      </c>
      <c r="V737" s="22">
        <f t="shared" si="182"/>
        <v>0.19315163846975197</v>
      </c>
      <c r="W737" s="22">
        <f t="shared" si="182"/>
        <v>0.1997999174777515</v>
      </c>
      <c r="X737" s="22">
        <f t="shared" si="182"/>
        <v>0.20618321754826516</v>
      </c>
      <c r="Y737" s="22">
        <f t="shared" si="182"/>
        <v>0.21205125968323466</v>
      </c>
      <c r="Z737" s="22">
        <f t="shared" si="182"/>
        <v>0.21776504311044109</v>
      </c>
      <c r="AA737" s="22">
        <f t="shared" si="182"/>
        <v>0.22321845446592189</v>
      </c>
      <c r="AB737" s="22">
        <f t="shared" si="182"/>
        <v>0.22996706841629874</v>
      </c>
      <c r="AC737" s="22">
        <f t="shared" si="182"/>
        <v>0.23668130693108949</v>
      </c>
      <c r="AD737" s="22">
        <f t="shared" si="182"/>
        <v>0.24461911204797512</v>
      </c>
      <c r="AE737" s="22">
        <f t="shared" si="182"/>
        <v>0.25393877237777696</v>
      </c>
      <c r="AF737" s="22">
        <f t="shared" si="182"/>
        <v>0.26402636464996099</v>
      </c>
      <c r="AG737" s="22">
        <f t="shared" si="182"/>
        <v>0.27567496604841074</v>
      </c>
      <c r="AH737" s="22">
        <f t="shared" si="182"/>
        <v>0.28538857228327053</v>
      </c>
      <c r="AI737" s="22">
        <f t="shared" si="182"/>
        <v>0.29495307266242238</v>
      </c>
      <c r="AJ737" s="22">
        <f t="shared" si="182"/>
        <v>0.3053980286161922</v>
      </c>
      <c r="AK737" s="22">
        <f t="shared" si="182"/>
        <v>0.3157092357133186</v>
      </c>
      <c r="AL737" s="22">
        <f t="shared" si="182"/>
        <v>0.32659469477462816</v>
      </c>
      <c r="AM737" s="22">
        <f t="shared" si="182"/>
        <v>0.33769759276940581</v>
      </c>
      <c r="AN737" s="22">
        <f t="shared" si="182"/>
        <v>0.34971796912079089</v>
      </c>
      <c r="AO737" s="22">
        <f t="shared" si="182"/>
        <v>0.36149422928557057</v>
      </c>
      <c r="AP737" s="22">
        <f t="shared" si="182"/>
        <v>0.3735858155993782</v>
      </c>
      <c r="AQ737" s="22">
        <f t="shared" si="182"/>
        <v>0.38614747590772142</v>
      </c>
      <c r="AR737" s="22">
        <f t="shared" si="182"/>
        <v>0.3992463303443215</v>
      </c>
      <c r="AS737" s="22">
        <f t="shared" si="182"/>
        <v>0.41401924594323458</v>
      </c>
      <c r="AT737" s="22">
        <f t="shared" si="182"/>
        <v>0.42507748495703629</v>
      </c>
      <c r="AU737" s="22">
        <f t="shared" si="182"/>
        <v>0.43601753921735037</v>
      </c>
      <c r="AV737" s="22">
        <f t="shared" si="182"/>
        <v>0.44726275396189152</v>
      </c>
      <c r="AW737" s="22">
        <f t="shared" si="182"/>
        <v>0.45863622701416706</v>
      </c>
      <c r="AY737" s="79"/>
      <c r="AZ737" s="79"/>
    </row>
    <row r="738" spans="1:52" x14ac:dyDescent="0.2">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1.195503235691774E-4</v>
      </c>
      <c r="T738" s="22">
        <f t="shared" si="183"/>
        <v>1.1973238900774034E-4</v>
      </c>
      <c r="U738" s="22">
        <f t="shared" si="183"/>
        <v>1.1993816652481025E-4</v>
      </c>
      <c r="V738" s="22">
        <f t="shared" si="183"/>
        <v>1.2017030175701969E-4</v>
      </c>
      <c r="W738" s="22">
        <f t="shared" si="183"/>
        <v>1.2043143682964787E-4</v>
      </c>
      <c r="X738" s="22">
        <f t="shared" si="183"/>
        <v>1.2071612652319093E-4</v>
      </c>
      <c r="Y738" s="22">
        <f t="shared" si="183"/>
        <v>1.2088927246048491E-4</v>
      </c>
      <c r="Z738" s="22">
        <f t="shared" si="183"/>
        <v>1.2108266651499932E-4</v>
      </c>
      <c r="AA738" s="22">
        <f t="shared" si="183"/>
        <v>1.2129489002398719E-4</v>
      </c>
      <c r="AB738" s="22">
        <f t="shared" si="183"/>
        <v>1.2153074787723059E-4</v>
      </c>
      <c r="AC738" s="22">
        <f t="shared" si="183"/>
        <v>1.2178444503760319E-4</v>
      </c>
      <c r="AD738" s="22">
        <f t="shared" si="183"/>
        <v>1.2195021859922819E-4</v>
      </c>
      <c r="AE738" s="22">
        <f t="shared" si="183"/>
        <v>1.2213630016303642E-4</v>
      </c>
      <c r="AF738" s="22">
        <f t="shared" si="183"/>
        <v>1.2233971704233787E-4</v>
      </c>
      <c r="AG738" s="22">
        <f t="shared" si="183"/>
        <v>1.2256258176640642E-4</v>
      </c>
      <c r="AH738" s="22">
        <f t="shared" si="183"/>
        <v>1.2279204268449652E-4</v>
      </c>
      <c r="AI738" s="22">
        <f t="shared" si="183"/>
        <v>1.2293267358180957E-4</v>
      </c>
      <c r="AJ738" s="22">
        <f t="shared" si="183"/>
        <v>1.230880284078129E-4</v>
      </c>
      <c r="AK738" s="22">
        <f t="shared" si="183"/>
        <v>1.2325414703713089E-4</v>
      </c>
      <c r="AL738" s="22">
        <f t="shared" si="183"/>
        <v>1.2343300581478905E-4</v>
      </c>
      <c r="AM738" s="22">
        <f t="shared" si="183"/>
        <v>1.2362298848343737E-4</v>
      </c>
      <c r="AN738" s="22">
        <f t="shared" si="183"/>
        <v>1.2373316293630814E-4</v>
      </c>
      <c r="AO738" s="22">
        <f t="shared" si="183"/>
        <v>1.2385166980530415E-4</v>
      </c>
      <c r="AP738" s="22">
        <f t="shared" si="183"/>
        <v>1.2398002361906419E-4</v>
      </c>
      <c r="AQ738" s="22">
        <f t="shared" si="183"/>
        <v>1.2411840156820918E-4</v>
      </c>
      <c r="AR738" s="22">
        <f t="shared" si="183"/>
        <v>1.2426670691930035E-4</v>
      </c>
      <c r="AS738" s="22">
        <f t="shared" si="183"/>
        <v>1.2433302167931155E-4</v>
      </c>
      <c r="AT738" s="22">
        <f t="shared" si="183"/>
        <v>1.2439474489368146E-4</v>
      </c>
      <c r="AU738" s="22">
        <f t="shared" si="183"/>
        <v>1.2446317135013558E-4</v>
      </c>
      <c r="AV738" s="22">
        <f t="shared" si="183"/>
        <v>1.2453939785824996E-4</v>
      </c>
      <c r="AW738" s="22">
        <f t="shared" si="183"/>
        <v>1.24622639719568E-4</v>
      </c>
      <c r="AY738" s="79"/>
      <c r="AZ738" s="79"/>
    </row>
    <row r="739" spans="1:52" x14ac:dyDescent="0.2">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8.2041591156770978E-4</v>
      </c>
      <c r="T739" s="22">
        <f t="shared" si="184"/>
        <v>8.216653384055813E-4</v>
      </c>
      <c r="U739" s="22">
        <f t="shared" si="184"/>
        <v>8.2307748974241456E-4</v>
      </c>
      <c r="V739" s="22">
        <f t="shared" si="184"/>
        <v>8.246705212997898E-4</v>
      </c>
      <c r="W739" s="22">
        <f t="shared" si="184"/>
        <v>8.2646256470257108E-4</v>
      </c>
      <c r="X739" s="22">
        <f t="shared" si="184"/>
        <v>8.284162520491963E-4</v>
      </c>
      <c r="Y739" s="22">
        <f t="shared" si="184"/>
        <v>8.2960446867411488E-4</v>
      </c>
      <c r="Z739" s="22">
        <f t="shared" si="184"/>
        <v>8.3093163831104511E-4</v>
      </c>
      <c r="AA739" s="22">
        <f t="shared" si="184"/>
        <v>8.323880253653359E-4</v>
      </c>
      <c r="AB739" s="22">
        <f t="shared" si="184"/>
        <v>8.3400660346610628E-4</v>
      </c>
      <c r="AC739" s="22">
        <f t="shared" si="184"/>
        <v>8.3574760408304538E-4</v>
      </c>
      <c r="AD739" s="22">
        <f t="shared" si="184"/>
        <v>8.3688522766794265E-4</v>
      </c>
      <c r="AE739" s="22">
        <f t="shared" si="184"/>
        <v>8.3816221522631858E-4</v>
      </c>
      <c r="AF739" s="22">
        <f t="shared" si="184"/>
        <v>8.3955816665060555E-4</v>
      </c>
      <c r="AG739" s="22">
        <f t="shared" si="184"/>
        <v>8.4108757920503671E-4</v>
      </c>
      <c r="AH739" s="22">
        <f t="shared" si="184"/>
        <v>8.4266225824114254E-4</v>
      </c>
      <c r="AI739" s="22">
        <f t="shared" si="184"/>
        <v>8.436273399102601E-4</v>
      </c>
      <c r="AJ739" s="22">
        <f t="shared" si="184"/>
        <v>8.4469346476368369E-4</v>
      </c>
      <c r="AK739" s="22">
        <f t="shared" si="184"/>
        <v>8.4583345638086619E-4</v>
      </c>
      <c r="AL739" s="22">
        <f t="shared" si="184"/>
        <v>8.4706087745956699E-4</v>
      </c>
      <c r="AM739" s="22">
        <f t="shared" si="184"/>
        <v>8.483646364091695E-4</v>
      </c>
      <c r="AN739" s="22">
        <f t="shared" si="184"/>
        <v>8.4912071026564152E-4</v>
      </c>
      <c r="AO739" s="22">
        <f t="shared" si="184"/>
        <v>8.4993396545434991E-4</v>
      </c>
      <c r="AP739" s="22">
        <f t="shared" si="184"/>
        <v>8.5081479545108508E-4</v>
      </c>
      <c r="AQ739" s="22">
        <f t="shared" si="184"/>
        <v>8.5176441622917501E-4</v>
      </c>
      <c r="AR739" s="22">
        <f t="shared" si="184"/>
        <v>8.5278216395392656E-4</v>
      </c>
      <c r="AS739" s="22">
        <f t="shared" si="184"/>
        <v>8.5323725000188266E-4</v>
      </c>
      <c r="AT739" s="22">
        <f t="shared" si="184"/>
        <v>8.5366082649812602E-4</v>
      </c>
      <c r="AU739" s="22">
        <f t="shared" si="184"/>
        <v>8.5413040409500023E-4</v>
      </c>
      <c r="AV739" s="22">
        <f t="shared" si="184"/>
        <v>8.546535096648827E-4</v>
      </c>
      <c r="AW739" s="22">
        <f t="shared" si="184"/>
        <v>8.5522475820269445E-4</v>
      </c>
      <c r="AY739" s="79"/>
      <c r="AZ739" s="79"/>
    </row>
    <row r="740" spans="1:52" x14ac:dyDescent="0.2">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1.4486129996083081E-5</v>
      </c>
      <c r="L740" s="22">
        <f t="shared" si="185"/>
        <v>1.4523786941695515E-5</v>
      </c>
      <c r="M740" s="22">
        <f t="shared" si="185"/>
        <v>1.4575733367418309E-5</v>
      </c>
      <c r="N740" s="22">
        <f t="shared" si="185"/>
        <v>1.4639017833045651E-5</v>
      </c>
      <c r="O740" s="22">
        <f t="shared" si="185"/>
        <v>1.471355007817218E-5</v>
      </c>
      <c r="P740" s="22">
        <f t="shared" si="185"/>
        <v>1.4798876460462532E-5</v>
      </c>
      <c r="Q740" s="22">
        <f t="shared" si="185"/>
        <v>1.4890706011157255E-5</v>
      </c>
      <c r="R740" s="22">
        <f t="shared" si="185"/>
        <v>1.4988675221399694E-5</v>
      </c>
      <c r="S740" s="22">
        <f t="shared" si="185"/>
        <v>1.5078679643027028E-5</v>
      </c>
      <c r="T740" s="22">
        <f t="shared" si="185"/>
        <v>1.5122495296339113E-5</v>
      </c>
      <c r="U740" s="22">
        <f t="shared" si="185"/>
        <v>1.516958973789732E-5</v>
      </c>
      <c r="V740" s="22">
        <f t="shared" si="185"/>
        <v>1.5220538890996556E-5</v>
      </c>
      <c r="W740" s="22">
        <f t="shared" si="185"/>
        <v>1.5275902163367261E-5</v>
      </c>
      <c r="X740" s="22">
        <f t="shared" si="185"/>
        <v>1.5334694454120534E-5</v>
      </c>
      <c r="Y740" s="22">
        <f t="shared" si="185"/>
        <v>1.5371448915304841E-5</v>
      </c>
      <c r="Z740" s="22">
        <f t="shared" si="185"/>
        <v>1.5411207509365297E-5</v>
      </c>
      <c r="AA740" s="22">
        <f t="shared" si="185"/>
        <v>1.5453736398701918E-5</v>
      </c>
      <c r="AB740" s="22">
        <f t="shared" si="185"/>
        <v>1.5499966763922933E-5</v>
      </c>
      <c r="AC740" s="22">
        <f t="shared" si="185"/>
        <v>1.5548833641447303E-5</v>
      </c>
      <c r="AD740" s="22">
        <f t="shared" si="185"/>
        <v>1.5580602349578564E-5</v>
      </c>
      <c r="AE740" s="22">
        <f t="shared" si="185"/>
        <v>1.5615591404277508E-5</v>
      </c>
      <c r="AF740" s="22">
        <f t="shared" si="185"/>
        <v>1.5653259744642323E-5</v>
      </c>
      <c r="AG740" s="22">
        <f t="shared" si="185"/>
        <v>1.5694012741398928E-5</v>
      </c>
      <c r="AH740" s="22">
        <f t="shared" si="185"/>
        <v>1.5735477279761714E-5</v>
      </c>
      <c r="AI740" s="22">
        <f t="shared" si="185"/>
        <v>1.5760021720349279E-5</v>
      </c>
      <c r="AJ740" s="22">
        <f t="shared" si="185"/>
        <v>1.5786883711006113E-5</v>
      </c>
      <c r="AK740" s="22">
        <f t="shared" si="185"/>
        <v>1.5815340273420816E-5</v>
      </c>
      <c r="AL740" s="22">
        <f t="shared" si="185"/>
        <v>1.5845764593107772E-5</v>
      </c>
      <c r="AM740" s="22">
        <f t="shared" si="185"/>
        <v>1.5877866318833775E-5</v>
      </c>
      <c r="AN740" s="22">
        <f t="shared" si="185"/>
        <v>1.5894983838021428E-5</v>
      </c>
      <c r="AO740" s="22">
        <f t="shared" si="185"/>
        <v>1.5913339031971955E-5</v>
      </c>
      <c r="AP740" s="22">
        <f t="shared" si="185"/>
        <v>1.593321505910849E-5</v>
      </c>
      <c r="AQ740" s="22">
        <f t="shared" si="185"/>
        <v>1.5954648527995344E-5</v>
      </c>
      <c r="AR740" s="22">
        <f t="shared" si="185"/>
        <v>1.5977625288303394E-5</v>
      </c>
      <c r="AS740" s="22">
        <f t="shared" si="185"/>
        <v>1.5985441440203981E-5</v>
      </c>
      <c r="AT740" s="22">
        <f t="shared" si="185"/>
        <v>1.5992226212116376E-5</v>
      </c>
      <c r="AU740" s="22">
        <f t="shared" si="185"/>
        <v>1.6000039436891757E-5</v>
      </c>
      <c r="AV740" s="22">
        <f t="shared" si="185"/>
        <v>1.6009082551352237E-5</v>
      </c>
      <c r="AW740" s="22">
        <f t="shared" si="185"/>
        <v>1.6019215529788255E-5</v>
      </c>
      <c r="AY740" s="79"/>
      <c r="AZ740" s="79"/>
    </row>
    <row r="741" spans="1:52" x14ac:dyDescent="0.2">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1.4738364076719785E-3</v>
      </c>
      <c r="L741" s="22">
        <f t="shared" si="186"/>
        <v>1.4776676709189833E-3</v>
      </c>
      <c r="M741" s="22">
        <f t="shared" si="186"/>
        <v>1.4829527631761549E-3</v>
      </c>
      <c r="N741" s="22">
        <f t="shared" si="186"/>
        <v>1.4893914013429299E-3</v>
      </c>
      <c r="O741" s="22">
        <f t="shared" si="186"/>
        <v>1.4969744022163664E-3</v>
      </c>
      <c r="P741" s="22">
        <f t="shared" si="186"/>
        <v>1.5056556116759296E-3</v>
      </c>
      <c r="Q741" s="22">
        <f t="shared" si="186"/>
        <v>1.5149984613639165E-3</v>
      </c>
      <c r="R741" s="22">
        <f t="shared" si="186"/>
        <v>1.5249659674490626E-3</v>
      </c>
      <c r="S741" s="22">
        <f t="shared" si="186"/>
        <v>1.5341231262956069E-3</v>
      </c>
      <c r="T741" s="22">
        <f t="shared" si="186"/>
        <v>1.5385809839218152E-3</v>
      </c>
      <c r="U741" s="22">
        <f t="shared" si="186"/>
        <v>1.5433724294346084E-3</v>
      </c>
      <c r="V741" s="22">
        <f t="shared" si="186"/>
        <v>1.5485560579674195E-3</v>
      </c>
      <c r="W741" s="22">
        <f t="shared" si="186"/>
        <v>1.5541887843401544E-3</v>
      </c>
      <c r="X741" s="22">
        <f t="shared" si="186"/>
        <v>1.5601703831954754E-3</v>
      </c>
      <c r="Y741" s="22">
        <f t="shared" si="186"/>
        <v>1.5639098265839071E-3</v>
      </c>
      <c r="Z741" s="22">
        <f t="shared" si="186"/>
        <v>1.5679549140889886E-3</v>
      </c>
      <c r="AA741" s="22">
        <f t="shared" si="186"/>
        <v>1.5722818547901358E-3</v>
      </c>
      <c r="AB741" s="22">
        <f t="shared" si="186"/>
        <v>1.5769853881300361E-3</v>
      </c>
      <c r="AC741" s="22">
        <f t="shared" si="186"/>
        <v>1.5819571634243445E-3</v>
      </c>
      <c r="AD741" s="22">
        <f t="shared" si="186"/>
        <v>1.5851893502596976E-3</v>
      </c>
      <c r="AE741" s="22">
        <f t="shared" si="186"/>
        <v>1.5887491790545015E-3</v>
      </c>
      <c r="AF741" s="22">
        <f t="shared" si="186"/>
        <v>1.5925816016174124E-3</v>
      </c>
      <c r="AG741" s="22">
        <f t="shared" si="186"/>
        <v>1.5967278608569652E-3</v>
      </c>
      <c r="AH741" s="22">
        <f t="shared" si="186"/>
        <v>1.6009465132011667E-3</v>
      </c>
      <c r="AI741" s="22">
        <f t="shared" si="186"/>
        <v>1.6034436943084516E-3</v>
      </c>
      <c r="AJ741" s="22">
        <f t="shared" si="186"/>
        <v>1.6061766657662043E-3</v>
      </c>
      <c r="AK741" s="22">
        <f t="shared" si="186"/>
        <v>1.6090718708855374E-3</v>
      </c>
      <c r="AL741" s="22">
        <f t="shared" si="186"/>
        <v>1.6121672780125896E-3</v>
      </c>
      <c r="AM741" s="22">
        <f t="shared" si="186"/>
        <v>1.6154333464612968E-3</v>
      </c>
      <c r="AN741" s="22">
        <f t="shared" si="186"/>
        <v>1.6171749035917807E-3</v>
      </c>
      <c r="AO741" s="22">
        <f t="shared" si="186"/>
        <v>1.6190423832513916E-3</v>
      </c>
      <c r="AP741" s="22">
        <f t="shared" si="186"/>
        <v>1.6210645943209887E-3</v>
      </c>
      <c r="AQ741" s="22">
        <f t="shared" si="186"/>
        <v>1.6232452614002358E-3</v>
      </c>
      <c r="AR741" s="22">
        <f t="shared" si="186"/>
        <v>1.6255829448175118E-3</v>
      </c>
      <c r="AS741" s="22">
        <f t="shared" si="186"/>
        <v>1.6263781695767885E-3</v>
      </c>
      <c r="AT741" s="22">
        <f t="shared" si="186"/>
        <v>1.6270684604871241E-3</v>
      </c>
      <c r="AU741" s="22">
        <f t="shared" si="186"/>
        <v>1.6278633874371373E-3</v>
      </c>
      <c r="AV741" s="22">
        <f t="shared" si="186"/>
        <v>1.6287834448530387E-3</v>
      </c>
      <c r="AW741" s="22">
        <f t="shared" si="186"/>
        <v>1.6298143863495728E-3</v>
      </c>
      <c r="AY741" s="79"/>
      <c r="AZ741" s="79"/>
    </row>
    <row r="742" spans="1:52" x14ac:dyDescent="0.2">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2">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2">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0.13004550543955873</v>
      </c>
      <c r="M744" s="22">
        <f t="shared" si="189"/>
        <v>0.13010384136507713</v>
      </c>
      <c r="N744" s="22">
        <f t="shared" si="189"/>
        <v>0.1289093884029483</v>
      </c>
      <c r="O744" s="22">
        <f t="shared" si="189"/>
        <v>0.12695857121838477</v>
      </c>
      <c r="P744" s="22">
        <f t="shared" si="189"/>
        <v>0.12428257569245395</v>
      </c>
      <c r="Q744" s="22">
        <f t="shared" si="189"/>
        <v>0.12233950618032065</v>
      </c>
      <c r="R744" s="22">
        <f t="shared" si="189"/>
        <v>0.12056837226162823</v>
      </c>
      <c r="S744" s="22">
        <f t="shared" si="189"/>
        <v>0.10742568641023791</v>
      </c>
      <c r="T744" s="22">
        <f t="shared" si="189"/>
        <v>0.1091029492210569</v>
      </c>
      <c r="U744" s="22">
        <f t="shared" si="189"/>
        <v>0.1098152981393777</v>
      </c>
      <c r="V744" s="22">
        <f t="shared" si="189"/>
        <v>0.11028443328369632</v>
      </c>
      <c r="W744" s="22">
        <f t="shared" si="189"/>
        <v>0.11115311990923482</v>
      </c>
      <c r="X744" s="22">
        <f t="shared" si="189"/>
        <v>0.11180012354863146</v>
      </c>
      <c r="Y744" s="22">
        <f t="shared" si="189"/>
        <v>0.11213950095917391</v>
      </c>
      <c r="Z744" s="22">
        <f t="shared" si="189"/>
        <v>0.11234743559515332</v>
      </c>
      <c r="AA744" s="22">
        <f t="shared" si="189"/>
        <v>0.11237564219545433</v>
      </c>
      <c r="AB744" s="22">
        <f t="shared" si="189"/>
        <v>0.1130282053559263</v>
      </c>
      <c r="AC744" s="22">
        <f t="shared" si="189"/>
        <v>0.11359821524900583</v>
      </c>
      <c r="AD744" s="22">
        <f t="shared" si="189"/>
        <v>0.11441835566605747</v>
      </c>
      <c r="AE744" s="22">
        <f t="shared" si="189"/>
        <v>0.11580372782809943</v>
      </c>
      <c r="AF744" s="22">
        <f t="shared" si="189"/>
        <v>0.11742607569995514</v>
      </c>
      <c r="AG744" s="22">
        <f t="shared" si="189"/>
        <v>0.11962260335271972</v>
      </c>
      <c r="AH744" s="22">
        <f t="shared" si="189"/>
        <v>0.12080838440395283</v>
      </c>
      <c r="AI744" s="22">
        <f t="shared" si="189"/>
        <v>0.12184404408189208</v>
      </c>
      <c r="AJ744" s="22">
        <f t="shared" si="189"/>
        <v>0.12314557152083414</v>
      </c>
      <c r="AK744" s="22">
        <f t="shared" si="189"/>
        <v>0.12427557755093979</v>
      </c>
      <c r="AL744" s="22">
        <f t="shared" si="189"/>
        <v>0.1255259175330139</v>
      </c>
      <c r="AM744" s="22">
        <f t="shared" si="189"/>
        <v>0.12674552603750175</v>
      </c>
      <c r="AN744" s="22">
        <f t="shared" si="189"/>
        <v>0.12838752833674963</v>
      </c>
      <c r="AO744" s="22">
        <f t="shared" si="189"/>
        <v>0.12981338825169941</v>
      </c>
      <c r="AP744" s="22">
        <f t="shared" si="189"/>
        <v>0.13123798099286382</v>
      </c>
      <c r="AQ744" s="22">
        <f t="shared" si="189"/>
        <v>0.13271316927423235</v>
      </c>
      <c r="AR744" s="22">
        <f t="shared" si="189"/>
        <v>0.13425553565091783</v>
      </c>
      <c r="AS744" s="22">
        <f t="shared" si="189"/>
        <v>0.1362655431555625</v>
      </c>
      <c r="AT744" s="22">
        <f t="shared" si="189"/>
        <v>0.1368880254632967</v>
      </c>
      <c r="AU744" s="22">
        <f t="shared" si="189"/>
        <v>0.13738521125796219</v>
      </c>
      <c r="AV744" s="22">
        <f t="shared" si="189"/>
        <v>0.13789795385940914</v>
      </c>
      <c r="AW744" s="22">
        <f t="shared" si="189"/>
        <v>0.13836722215964953</v>
      </c>
      <c r="AY744" s="79"/>
      <c r="AZ744" s="79"/>
    </row>
    <row r="745" spans="1:52" x14ac:dyDescent="0.2">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1.2724633182830881E-2</v>
      </c>
      <c r="L745" s="22">
        <f t="shared" si="190"/>
        <v>1.2655466337890216E-2</v>
      </c>
      <c r="M745" s="22">
        <f t="shared" si="190"/>
        <v>1.266114333794641E-2</v>
      </c>
      <c r="N745" s="22">
        <f t="shared" si="190"/>
        <v>1.2544904339887072E-2</v>
      </c>
      <c r="O745" s="22">
        <f t="shared" si="190"/>
        <v>1.2355059245839619E-2</v>
      </c>
      <c r="P745" s="22">
        <f t="shared" si="190"/>
        <v>1.209464293091744E-2</v>
      </c>
      <c r="Q745" s="22">
        <f t="shared" si="190"/>
        <v>1.1905551806853851E-2</v>
      </c>
      <c r="R745" s="22">
        <f t="shared" si="190"/>
        <v>1.1733192711380727E-2</v>
      </c>
      <c r="S745" s="22">
        <f t="shared" si="190"/>
        <v>1.0454203346699911E-2</v>
      </c>
      <c r="T745" s="22">
        <f t="shared" si="190"/>
        <v>1.0617427311806347E-2</v>
      </c>
      <c r="U745" s="22">
        <f t="shared" si="190"/>
        <v>1.0686750028698176E-2</v>
      </c>
      <c r="V745" s="22">
        <f t="shared" si="190"/>
        <v>1.0732404232638389E-2</v>
      </c>
      <c r="W745" s="22">
        <f t="shared" si="190"/>
        <v>1.0816941059270873E-2</v>
      </c>
      <c r="X745" s="22">
        <f t="shared" si="190"/>
        <v>1.087990465613799E-2</v>
      </c>
      <c r="Y745" s="22">
        <f t="shared" si="190"/>
        <v>1.0912931398434408E-2</v>
      </c>
      <c r="Z745" s="22">
        <f t="shared" si="190"/>
        <v>1.0933166698202938E-2</v>
      </c>
      <c r="AA745" s="22">
        <f t="shared" si="190"/>
        <v>1.0935911642593046E-2</v>
      </c>
      <c r="AB745" s="22">
        <f t="shared" si="190"/>
        <v>1.0999416268014638E-2</v>
      </c>
      <c r="AC745" s="22">
        <f t="shared" si="190"/>
        <v>1.1054887166372485E-2</v>
      </c>
      <c r="AD745" s="22">
        <f t="shared" si="190"/>
        <v>1.1134699685884465E-2</v>
      </c>
      <c r="AE745" s="22">
        <f t="shared" si="190"/>
        <v>1.1269518115040561E-2</v>
      </c>
      <c r="AF745" s="22">
        <f t="shared" si="190"/>
        <v>1.1427397995711722E-2</v>
      </c>
      <c r="AG745" s="22">
        <f t="shared" si="190"/>
        <v>1.1641154570195772E-2</v>
      </c>
      <c r="AH745" s="22">
        <f t="shared" si="190"/>
        <v>1.1756549655379731E-2</v>
      </c>
      <c r="AI745" s="22">
        <f t="shared" si="190"/>
        <v>1.1857335577564188E-2</v>
      </c>
      <c r="AJ745" s="22">
        <f t="shared" si="190"/>
        <v>1.1983994600770704E-2</v>
      </c>
      <c r="AK745" s="22">
        <f t="shared" si="190"/>
        <v>1.209396190204173E-2</v>
      </c>
      <c r="AL745" s="22">
        <f t="shared" si="190"/>
        <v>1.2215639583254724E-2</v>
      </c>
      <c r="AM745" s="22">
        <f t="shared" si="190"/>
        <v>1.2334326609936505E-2</v>
      </c>
      <c r="AN745" s="22">
        <f t="shared" si="190"/>
        <v>1.2494119174505589E-2</v>
      </c>
      <c r="AO745" s="22">
        <f t="shared" si="190"/>
        <v>1.2632877696725955E-2</v>
      </c>
      <c r="AP745" s="22">
        <f t="shared" si="190"/>
        <v>1.2771512903072156E-2</v>
      </c>
      <c r="AQ745" s="22">
        <f t="shared" si="190"/>
        <v>1.2915071848641296E-2</v>
      </c>
      <c r="AR745" s="22">
        <f t="shared" si="190"/>
        <v>1.3065168276002324E-2</v>
      </c>
      <c r="AS745" s="22">
        <f t="shared" si="190"/>
        <v>1.3260773516090847E-2</v>
      </c>
      <c r="AT745" s="22">
        <f t="shared" si="190"/>
        <v>1.3321350802978501E-2</v>
      </c>
      <c r="AU745" s="22">
        <f t="shared" si="190"/>
        <v>1.3369734774933539E-2</v>
      </c>
      <c r="AV745" s="22">
        <f t="shared" si="190"/>
        <v>1.3419632668064721E-2</v>
      </c>
      <c r="AW745" s="22">
        <f t="shared" si="190"/>
        <v>1.3465299830163544E-2</v>
      </c>
      <c r="AY745" s="79"/>
      <c r="AZ745" s="79"/>
    </row>
    <row r="746" spans="1:52" x14ac:dyDescent="0.2">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6.4453339767617107E-2</v>
      </c>
      <c r="L746" s="22">
        <f t="shared" si="191"/>
        <v>6.5763803942104557E-2</v>
      </c>
      <c r="M746" s="22">
        <f t="shared" si="191"/>
        <v>6.7295612361813625E-2</v>
      </c>
      <c r="N746" s="22">
        <f t="shared" si="191"/>
        <v>6.8471619369899747E-2</v>
      </c>
      <c r="O746" s="22">
        <f t="shared" si="191"/>
        <v>6.9415657765503513E-2</v>
      </c>
      <c r="P746" s="22">
        <f t="shared" si="191"/>
        <v>7.0122113289878343E-2</v>
      </c>
      <c r="Q746" s="22">
        <f t="shared" si="191"/>
        <v>7.1027984276732931E-2</v>
      </c>
      <c r="R746" s="22">
        <f t="shared" si="191"/>
        <v>7.1969839340941838E-2</v>
      </c>
      <c r="S746" s="22">
        <f t="shared" si="191"/>
        <v>6.9091020117855437E-2</v>
      </c>
      <c r="T746" s="22">
        <f t="shared" si="191"/>
        <v>7.0923520025616846E-2</v>
      </c>
      <c r="U746" s="22">
        <f t="shared" si="191"/>
        <v>7.2452558917721649E-2</v>
      </c>
      <c r="V746" s="22">
        <f t="shared" si="191"/>
        <v>7.3914725789307509E-2</v>
      </c>
      <c r="W746" s="22">
        <f t="shared" si="191"/>
        <v>7.5540335927502686E-2</v>
      </c>
      <c r="X746" s="22">
        <f t="shared" si="191"/>
        <v>7.710742274610026E-2</v>
      </c>
      <c r="Y746" s="22">
        <f t="shared" si="191"/>
        <v>7.8514475152186416E-2</v>
      </c>
      <c r="Z746" s="22">
        <f t="shared" si="191"/>
        <v>7.9886368180485237E-2</v>
      </c>
      <c r="AA746" s="22">
        <f t="shared" si="191"/>
        <v>8.1201368710931643E-2</v>
      </c>
      <c r="AB746" s="22">
        <f t="shared" si="191"/>
        <v>8.2782551319957556E-2</v>
      </c>
      <c r="AC746" s="22">
        <f t="shared" si="191"/>
        <v>8.4352893309328145E-2</v>
      </c>
      <c r="AD746" s="22">
        <f t="shared" si="191"/>
        <v>8.5998825916539595E-2</v>
      </c>
      <c r="AE746" s="22">
        <f t="shared" si="191"/>
        <v>8.791554994164491E-2</v>
      </c>
      <c r="AF746" s="22">
        <f t="shared" si="191"/>
        <v>8.9973918009766785E-2</v>
      </c>
      <c r="AG746" s="22">
        <f t="shared" si="191"/>
        <v>9.2332462068458354E-2</v>
      </c>
      <c r="AH746" s="22">
        <f t="shared" si="191"/>
        <v>9.4282044413809288E-2</v>
      </c>
      <c r="AI746" s="22">
        <f t="shared" si="191"/>
        <v>9.6147404966029248E-2</v>
      </c>
      <c r="AJ746" s="22">
        <f t="shared" si="191"/>
        <v>9.8173701325843382E-2</v>
      </c>
      <c r="AK746" s="22">
        <f t="shared" si="191"/>
        <v>0.1001572245577764</v>
      </c>
      <c r="AL746" s="22">
        <f t="shared" si="191"/>
        <v>0.10223848995104871</v>
      </c>
      <c r="AM746" s="22">
        <f t="shared" si="191"/>
        <v>0.10434595485218236</v>
      </c>
      <c r="AN746" s="22">
        <f t="shared" si="191"/>
        <v>0.10666367827206967</v>
      </c>
      <c r="AO746" s="22">
        <f t="shared" si="191"/>
        <v>0.10891945161625204</v>
      </c>
      <c r="AP746" s="22">
        <f t="shared" si="191"/>
        <v>0.11122270700738313</v>
      </c>
      <c r="AQ746" s="22">
        <f t="shared" si="191"/>
        <v>0.11360290610560657</v>
      </c>
      <c r="AR746" s="22">
        <f t="shared" si="191"/>
        <v>0.11607217368997393</v>
      </c>
      <c r="AS746" s="22">
        <f t="shared" si="191"/>
        <v>0.11880939144121157</v>
      </c>
      <c r="AT746" s="22">
        <f t="shared" si="191"/>
        <v>0.12081746755875615</v>
      </c>
      <c r="AU746" s="22">
        <f t="shared" si="191"/>
        <v>0.12279062605907758</v>
      </c>
      <c r="AV746" s="22">
        <f t="shared" si="191"/>
        <v>0.12480975001742217</v>
      </c>
      <c r="AW746" s="22">
        <f t="shared" si="191"/>
        <v>0.1268408444448812</v>
      </c>
      <c r="AY746" s="79"/>
      <c r="AZ746" s="79"/>
    </row>
    <row r="747" spans="1:52" x14ac:dyDescent="0.2">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0.31034319165291718</v>
      </c>
      <c r="L747" s="22">
        <f t="shared" si="192"/>
        <v>0.31442985679016988</v>
      </c>
      <c r="M747" s="22">
        <f t="shared" si="192"/>
        <v>0.32099421325528477</v>
      </c>
      <c r="N747" s="22">
        <f t="shared" si="192"/>
        <v>0.3228790317815291</v>
      </c>
      <c r="O747" s="22">
        <f t="shared" si="192"/>
        <v>0.32172327535887091</v>
      </c>
      <c r="P747" s="22">
        <f t="shared" si="192"/>
        <v>0.31753924052538912</v>
      </c>
      <c r="Q747" s="22">
        <f t="shared" si="192"/>
        <v>0.31577785743754239</v>
      </c>
      <c r="R747" s="22">
        <f t="shared" si="192"/>
        <v>0.31441607582114922</v>
      </c>
      <c r="S747" s="22">
        <f t="shared" si="192"/>
        <v>0.26879192155029241</v>
      </c>
      <c r="T747" s="22">
        <f t="shared" si="192"/>
        <v>0.28063901740950847</v>
      </c>
      <c r="U747" s="22">
        <f t="shared" si="192"/>
        <v>0.28880309945041127</v>
      </c>
      <c r="V747" s="22">
        <f t="shared" si="192"/>
        <v>0.29604855006817871</v>
      </c>
      <c r="W747" s="22">
        <f t="shared" si="192"/>
        <v>0.30496938447162802</v>
      </c>
      <c r="X747" s="22">
        <f t="shared" si="192"/>
        <v>0.31306661968905752</v>
      </c>
      <c r="Y747" s="22">
        <f t="shared" si="192"/>
        <v>0.32021357019479407</v>
      </c>
      <c r="Z747" s="22">
        <f t="shared" si="192"/>
        <v>0.32685390014438859</v>
      </c>
      <c r="AA747" s="22">
        <f t="shared" si="192"/>
        <v>0.33276450713212152</v>
      </c>
      <c r="AB747" s="22">
        <f t="shared" si="192"/>
        <v>0.34142456701129209</v>
      </c>
      <c r="AC747" s="22">
        <f t="shared" si="192"/>
        <v>0.34982483105719137</v>
      </c>
      <c r="AD747" s="22">
        <f t="shared" si="192"/>
        <v>0.35965297279223607</v>
      </c>
      <c r="AE747" s="22">
        <f t="shared" si="192"/>
        <v>0.37217634319205956</v>
      </c>
      <c r="AF747" s="22">
        <f t="shared" si="192"/>
        <v>0.3859945703932357</v>
      </c>
      <c r="AG747" s="22">
        <f t="shared" si="192"/>
        <v>0.40272226665089866</v>
      </c>
      <c r="AH747" s="22">
        <f t="shared" si="192"/>
        <v>0.41501766533472662</v>
      </c>
      <c r="AI747" s="22">
        <f t="shared" si="192"/>
        <v>0.42700130219026528</v>
      </c>
      <c r="AJ747" s="22">
        <f t="shared" si="192"/>
        <v>0.44046546100421546</v>
      </c>
      <c r="AK747" s="22">
        <f t="shared" si="192"/>
        <v>0.45333055520989524</v>
      </c>
      <c r="AL747" s="22">
        <f t="shared" si="192"/>
        <v>0.46701619271583805</v>
      </c>
      <c r="AM747" s="22">
        <f t="shared" si="192"/>
        <v>0.48079646315959662</v>
      </c>
      <c r="AN747" s="22">
        <f t="shared" si="192"/>
        <v>0.49715144699339536</v>
      </c>
      <c r="AO747" s="22">
        <f t="shared" si="192"/>
        <v>0.51271284356388047</v>
      </c>
      <c r="AP747" s="22">
        <f t="shared" si="192"/>
        <v>0.52856616956956437</v>
      </c>
      <c r="AQ747" s="22">
        <f t="shared" si="192"/>
        <v>0.54499431888614669</v>
      </c>
      <c r="AR747" s="22">
        <f t="shared" si="192"/>
        <v>0.56210625186052299</v>
      </c>
      <c r="AS747" s="22">
        <f t="shared" si="192"/>
        <v>0.58227066272581418</v>
      </c>
      <c r="AT747" s="22">
        <f t="shared" si="192"/>
        <v>0.59525693388734258</v>
      </c>
      <c r="AU747" s="22">
        <f t="shared" si="192"/>
        <v>0.60778527419801665</v>
      </c>
      <c r="AV747" s="22">
        <f t="shared" si="192"/>
        <v>0.62062894178535877</v>
      </c>
      <c r="AW747" s="22">
        <f t="shared" si="192"/>
        <v>0.63346374044156473</v>
      </c>
      <c r="AY747" s="79"/>
      <c r="AZ747" s="79"/>
    </row>
    <row r="748" spans="1:52" x14ac:dyDescent="0.2">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8.9709854381943815E-2</v>
      </c>
      <c r="M748" s="22">
        <f t="shared" si="193"/>
        <v>9.0417475033143083E-2</v>
      </c>
      <c r="N748" s="22">
        <f t="shared" si="193"/>
        <v>9.0872196678668984E-2</v>
      </c>
      <c r="O748" s="22">
        <f t="shared" si="193"/>
        <v>9.1174361291842948E-2</v>
      </c>
      <c r="P748" s="22">
        <f t="shared" si="193"/>
        <v>9.1320994898161728E-2</v>
      </c>
      <c r="Q748" s="22">
        <f t="shared" si="193"/>
        <v>9.1644963105957017E-2</v>
      </c>
      <c r="R748" s="22">
        <f t="shared" si="193"/>
        <v>9.2016609055475651E-2</v>
      </c>
      <c r="S748" s="22">
        <f t="shared" si="193"/>
        <v>8.9497634351969751E-2</v>
      </c>
      <c r="T748" s="22">
        <f t="shared" si="193"/>
        <v>9.0526156863539653E-2</v>
      </c>
      <c r="U748" s="22">
        <f t="shared" si="193"/>
        <v>9.133211275409571E-2</v>
      </c>
      <c r="V748" s="22">
        <f t="shared" si="193"/>
        <v>9.2095667401537948E-2</v>
      </c>
      <c r="W748" s="22">
        <f t="shared" si="193"/>
        <v>9.2988337377843094E-2</v>
      </c>
      <c r="X748" s="22">
        <f t="shared" si="193"/>
        <v>9.3843223396191833E-2</v>
      </c>
      <c r="Y748" s="22">
        <f t="shared" si="193"/>
        <v>9.4560210431129388E-2</v>
      </c>
      <c r="Z748" s="22">
        <f t="shared" si="193"/>
        <v>9.5257283424355771E-2</v>
      </c>
      <c r="AA748" s="22">
        <f t="shared" si="193"/>
        <v>9.5918466483612935E-2</v>
      </c>
      <c r="AB748" s="22">
        <f t="shared" si="193"/>
        <v>9.6778548113850782E-2</v>
      </c>
      <c r="AC748" s="22">
        <f t="shared" si="193"/>
        <v>9.7634207071548518E-2</v>
      </c>
      <c r="AD748" s="22">
        <f t="shared" si="193"/>
        <v>9.8526906814348045E-2</v>
      </c>
      <c r="AE748" s="22">
        <f t="shared" si="193"/>
        <v>9.9615980454525591E-2</v>
      </c>
      <c r="AF748" s="22">
        <f t="shared" si="193"/>
        <v>0.1008065868820634</v>
      </c>
      <c r="AG748" s="22">
        <f t="shared" si="193"/>
        <v>0.10221006700957981</v>
      </c>
      <c r="AH748" s="22">
        <f t="shared" si="193"/>
        <v>0.10332162680247739</v>
      </c>
      <c r="AI748" s="22">
        <f t="shared" si="193"/>
        <v>0.10435425380397972</v>
      </c>
      <c r="AJ748" s="22">
        <f t="shared" si="193"/>
        <v>0.10550009187328319</v>
      </c>
      <c r="AK748" s="22">
        <f t="shared" si="193"/>
        <v>0.10661516318950658</v>
      </c>
      <c r="AL748" s="22">
        <f t="shared" si="193"/>
        <v>0.10779775034487957</v>
      </c>
      <c r="AM748" s="22">
        <f t="shared" si="193"/>
        <v>0.10899733735251546</v>
      </c>
      <c r="AN748" s="22">
        <f t="shared" si="193"/>
        <v>0.11032305770963274</v>
      </c>
      <c r="AO748" s="22">
        <f t="shared" si="193"/>
        <v>0.1116034974988518</v>
      </c>
      <c r="AP748" s="22">
        <f t="shared" si="193"/>
        <v>0.11291437639210956</v>
      </c>
      <c r="AQ748" s="22">
        <f t="shared" si="193"/>
        <v>0.11427557081956052</v>
      </c>
      <c r="AR748" s="22">
        <f t="shared" si="193"/>
        <v>0.11569486271533871</v>
      </c>
      <c r="AS748" s="22">
        <f t="shared" si="193"/>
        <v>0.11727523367677491</v>
      </c>
      <c r="AT748" s="22">
        <f t="shared" si="193"/>
        <v>0.11835610910450192</v>
      </c>
      <c r="AU748" s="22">
        <f t="shared" si="193"/>
        <v>0.11941212579472428</v>
      </c>
      <c r="AV748" s="22">
        <f t="shared" si="193"/>
        <v>0.120498066178682</v>
      </c>
      <c r="AW748" s="22">
        <f t="shared" si="193"/>
        <v>0.12159075101335114</v>
      </c>
      <c r="AY748" s="79"/>
      <c r="AZ748" s="79"/>
    </row>
    <row r="749" spans="1:52" x14ac:dyDescent="0.2">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2.7090100081973278E-2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2.7786681470952927E-2</v>
      </c>
      <c r="S749" s="22">
        <f t="shared" si="194"/>
        <v>2.7026015016948877E-2</v>
      </c>
      <c r="T749" s="22">
        <f t="shared" si="194"/>
        <v>2.7336602721799708E-2</v>
      </c>
      <c r="U749" s="22">
        <f t="shared" si="194"/>
        <v>2.7579980953625429E-2</v>
      </c>
      <c r="V749" s="22">
        <f t="shared" si="194"/>
        <v>2.7810555085751417E-2</v>
      </c>
      <c r="W749" s="22">
        <f t="shared" si="194"/>
        <v>2.8080118771534705E-2</v>
      </c>
      <c r="X749" s="22">
        <f t="shared" si="194"/>
        <v>2.8338272660595177E-2</v>
      </c>
      <c r="Y749" s="22">
        <f t="shared" si="194"/>
        <v>2.8554784555166308E-2</v>
      </c>
      <c r="Z749" s="22">
        <f t="shared" si="194"/>
        <v>2.8765282914360448E-2</v>
      </c>
      <c r="AA749" s="22">
        <f t="shared" si="194"/>
        <v>2.8964943424024437E-2</v>
      </c>
      <c r="AB749" s="22">
        <f t="shared" si="194"/>
        <v>2.9224666256062608E-2</v>
      </c>
      <c r="AC749" s="22">
        <f t="shared" si="194"/>
        <v>2.9483053553196983E-2</v>
      </c>
      <c r="AD749" s="22">
        <f t="shared" si="194"/>
        <v>2.9752626227706403E-2</v>
      </c>
      <c r="AE749" s="22">
        <f t="shared" si="194"/>
        <v>3.0081498837213019E-2</v>
      </c>
      <c r="AF749" s="22">
        <f t="shared" si="194"/>
        <v>3.0441031772612943E-2</v>
      </c>
      <c r="AG749" s="22">
        <f t="shared" si="194"/>
        <v>3.0864847164795019E-2</v>
      </c>
      <c r="AH749" s="22">
        <f t="shared" si="194"/>
        <v>3.1200510021948794E-2</v>
      </c>
      <c r="AI749" s="22">
        <f t="shared" si="194"/>
        <v>3.1512337178628218E-2</v>
      </c>
      <c r="AJ749" s="22">
        <f t="shared" si="194"/>
        <v>3.1858351205615788E-2</v>
      </c>
      <c r="AK749" s="22">
        <f t="shared" si="194"/>
        <v>3.2195074453726519E-2</v>
      </c>
      <c r="AL749" s="22">
        <f t="shared" si="194"/>
        <v>3.2552185772381829E-2</v>
      </c>
      <c r="AM749" s="22">
        <f t="shared" si="194"/>
        <v>3.2914430615133806E-2</v>
      </c>
      <c r="AN749" s="22">
        <f t="shared" si="194"/>
        <v>3.331476452942278E-2</v>
      </c>
      <c r="AO749" s="22">
        <f t="shared" si="194"/>
        <v>3.370142486097568E-2</v>
      </c>
      <c r="AP749" s="22">
        <f t="shared" si="194"/>
        <v>3.4097277029707398E-2</v>
      </c>
      <c r="AQ749" s="22">
        <f t="shared" si="194"/>
        <v>3.4508323213259036E-2</v>
      </c>
      <c r="AR749" s="22">
        <f t="shared" si="194"/>
        <v>3.4936913358311179E-2</v>
      </c>
      <c r="AS749" s="22">
        <f t="shared" si="194"/>
        <v>3.5414145294611905E-2</v>
      </c>
      <c r="AT749" s="22">
        <f t="shared" si="194"/>
        <v>3.5740542251947324E-2</v>
      </c>
      <c r="AU749" s="22">
        <f t="shared" si="194"/>
        <v>3.6059432501223176E-2</v>
      </c>
      <c r="AV749" s="22">
        <f t="shared" si="194"/>
        <v>3.638735894684221E-2</v>
      </c>
      <c r="AW749" s="22">
        <f t="shared" si="194"/>
        <v>3.6717322045469181E-2</v>
      </c>
      <c r="AY749" s="79"/>
      <c r="AZ749" s="79"/>
    </row>
    <row r="750" spans="1:52" x14ac:dyDescent="0.2">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1.4564639612104711E-3</v>
      </c>
      <c r="M750" s="22">
        <f t="shared" si="195"/>
        <v>1.4679523755410987E-3</v>
      </c>
      <c r="N750" s="22">
        <f t="shared" si="195"/>
        <v>1.4753349055168039E-3</v>
      </c>
      <c r="O750" s="22">
        <f t="shared" si="195"/>
        <v>1.4802406304505133E-3</v>
      </c>
      <c r="P750" s="22">
        <f t="shared" si="195"/>
        <v>1.4826212670547858E-3</v>
      </c>
      <c r="Q750" s="22">
        <f t="shared" si="195"/>
        <v>1.4878809792957942E-3</v>
      </c>
      <c r="R750" s="22">
        <f t="shared" si="195"/>
        <v>1.4939147526814823E-3</v>
      </c>
      <c r="S750" s="22">
        <f t="shared" si="195"/>
        <v>1.4530185111243717E-3</v>
      </c>
      <c r="T750" s="22">
        <f t="shared" si="195"/>
        <v>1.4697168547089842E-3</v>
      </c>
      <c r="U750" s="22">
        <f t="shared" si="195"/>
        <v>1.4828017684791316E-3</v>
      </c>
      <c r="V750" s="22">
        <f t="shared" si="195"/>
        <v>1.4951982864990986E-3</v>
      </c>
      <c r="W750" s="22">
        <f t="shared" si="195"/>
        <v>1.5096910271093734E-3</v>
      </c>
      <c r="X750" s="22">
        <f t="shared" si="195"/>
        <v>1.5235703348537217E-3</v>
      </c>
      <c r="Y750" s="22">
        <f t="shared" si="195"/>
        <v>1.5352108149797475E-3</v>
      </c>
      <c r="Z750" s="22">
        <f t="shared" si="195"/>
        <v>1.5465279852054938E-3</v>
      </c>
      <c r="AA750" s="22">
        <f t="shared" si="195"/>
        <v>1.5572624725614869E-3</v>
      </c>
      <c r="AB750" s="22">
        <f t="shared" si="195"/>
        <v>1.5712261324823602E-3</v>
      </c>
      <c r="AC750" s="22">
        <f t="shared" si="195"/>
        <v>1.5851179891079189E-3</v>
      </c>
      <c r="AD750" s="22">
        <f t="shared" si="195"/>
        <v>1.5996112129853511E-3</v>
      </c>
      <c r="AE750" s="22">
        <f t="shared" si="195"/>
        <v>1.6172926206629243E-3</v>
      </c>
      <c r="AF750" s="22">
        <f t="shared" si="195"/>
        <v>1.636622440844233E-3</v>
      </c>
      <c r="AG750" s="22">
        <f t="shared" si="195"/>
        <v>1.6594083236225038E-3</v>
      </c>
      <c r="AH750" s="22">
        <f t="shared" si="195"/>
        <v>1.6774548001243291E-3</v>
      </c>
      <c r="AI750" s="22">
        <f t="shared" si="195"/>
        <v>1.6942197812228126E-3</v>
      </c>
      <c r="AJ750" s="22">
        <f t="shared" si="195"/>
        <v>1.7128227748941451E-3</v>
      </c>
      <c r="AK750" s="22">
        <f t="shared" si="195"/>
        <v>1.7309262619352049E-3</v>
      </c>
      <c r="AL750" s="22">
        <f t="shared" si="195"/>
        <v>1.7501258870450394E-3</v>
      </c>
      <c r="AM750" s="22">
        <f t="shared" si="195"/>
        <v>1.7696015093943904E-3</v>
      </c>
      <c r="AN750" s="22">
        <f t="shared" si="195"/>
        <v>1.7911249410852239E-3</v>
      </c>
      <c r="AO750" s="22">
        <f t="shared" si="195"/>
        <v>1.8119132304024437E-3</v>
      </c>
      <c r="AP750" s="22">
        <f t="shared" si="195"/>
        <v>1.8331957068783579E-3</v>
      </c>
      <c r="AQ750" s="22">
        <f t="shared" si="195"/>
        <v>1.8552950697793623E-3</v>
      </c>
      <c r="AR750" s="22">
        <f t="shared" si="195"/>
        <v>1.8783376609292489E-3</v>
      </c>
      <c r="AS750" s="22">
        <f t="shared" si="195"/>
        <v>1.9039954146569001E-3</v>
      </c>
      <c r="AT750" s="22">
        <f t="shared" si="195"/>
        <v>1.9215437221186409E-3</v>
      </c>
      <c r="AU750" s="22">
        <f t="shared" si="195"/>
        <v>1.938688441194845E-3</v>
      </c>
      <c r="AV750" s="22">
        <f t="shared" si="195"/>
        <v>1.9563189796028518E-3</v>
      </c>
      <c r="AW750" s="22">
        <f t="shared" si="195"/>
        <v>1.9740590160082297E-3</v>
      </c>
      <c r="AY750" s="79"/>
      <c r="AZ750" s="79"/>
    </row>
    <row r="751" spans="1:52" x14ac:dyDescent="0.2">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3.030301439269115E-2</v>
      </c>
      <c r="L751" s="22">
        <f t="shared" si="196"/>
        <v>3.0040206026371367E-2</v>
      </c>
      <c r="M751" s="22">
        <f t="shared" si="196"/>
        <v>2.99401628371932E-2</v>
      </c>
      <c r="N751" s="22">
        <f t="shared" si="196"/>
        <v>2.9540351153331298E-2</v>
      </c>
      <c r="O751" s="22">
        <f t="shared" si="196"/>
        <v>2.896001473012887E-2</v>
      </c>
      <c r="P751" s="22">
        <f t="shared" si="196"/>
        <v>2.8211154016296501E-2</v>
      </c>
      <c r="Q751" s="22">
        <f t="shared" si="196"/>
        <v>2.7620505669412022E-2</v>
      </c>
      <c r="R751" s="22">
        <f t="shared" si="196"/>
        <v>2.7061685185942385E-2</v>
      </c>
      <c r="S751" s="22">
        <f t="shared" si="196"/>
        <v>2.4017837723924858E-2</v>
      </c>
      <c r="T751" s="22">
        <f t="shared" si="196"/>
        <v>2.4477250922769193E-2</v>
      </c>
      <c r="U751" s="22">
        <f t="shared" si="196"/>
        <v>2.4722881599244746E-2</v>
      </c>
      <c r="V751" s="22">
        <f t="shared" si="196"/>
        <v>2.4911965822405392E-2</v>
      </c>
      <c r="W751" s="22">
        <f t="shared" si="196"/>
        <v>2.5185541319014813E-2</v>
      </c>
      <c r="X751" s="22">
        <f t="shared" si="196"/>
        <v>2.5407562443653844E-2</v>
      </c>
      <c r="Y751" s="22">
        <f t="shared" si="196"/>
        <v>2.5550689603830473E-2</v>
      </c>
      <c r="Z751" s="22">
        <f t="shared" si="196"/>
        <v>2.5662103388614917E-2</v>
      </c>
      <c r="AA751" s="22">
        <f t="shared" si="196"/>
        <v>2.5731155592918373E-2</v>
      </c>
      <c r="AB751" s="22">
        <f t="shared" si="196"/>
        <v>2.593557725784186E-2</v>
      </c>
      <c r="AC751" s="22">
        <f t="shared" si="196"/>
        <v>2.611950739638573E-2</v>
      </c>
      <c r="AD751" s="22">
        <f t="shared" si="196"/>
        <v>2.6128993823789925E-2</v>
      </c>
      <c r="AE751" s="22">
        <f t="shared" si="196"/>
        <v>2.6252210081774377E-2</v>
      </c>
      <c r="AF751" s="22">
        <f t="shared" si="196"/>
        <v>2.641514740098018E-2</v>
      </c>
      <c r="AG751" s="22">
        <f t="shared" si="196"/>
        <v>2.6688702803580544E-2</v>
      </c>
      <c r="AH751" s="22">
        <f t="shared" si="196"/>
        <v>2.6732393968630815E-2</v>
      </c>
      <c r="AI751" s="22">
        <f t="shared" si="196"/>
        <v>2.6727807661606592E-2</v>
      </c>
      <c r="AJ751" s="22">
        <f t="shared" si="196"/>
        <v>2.6767943392537564E-2</v>
      </c>
      <c r="AK751" s="22">
        <f t="shared" si="196"/>
        <v>2.6760535459775924E-2</v>
      </c>
      <c r="AL751" s="22">
        <f t="shared" si="196"/>
        <v>2.6766203431131164E-2</v>
      </c>
      <c r="AM751" s="22">
        <f t="shared" si="196"/>
        <v>2.675334011268881E-2</v>
      </c>
      <c r="AN751" s="22">
        <f t="shared" si="196"/>
        <v>2.694535805594156E-2</v>
      </c>
      <c r="AO751" s="22">
        <f t="shared" si="196"/>
        <v>2.7085830082425877E-2</v>
      </c>
      <c r="AP751" s="22">
        <f t="shared" si="196"/>
        <v>2.7218197229606188E-2</v>
      </c>
      <c r="AQ751" s="22">
        <f t="shared" si="196"/>
        <v>2.7352587206499832E-2</v>
      </c>
      <c r="AR751" s="22">
        <f t="shared" si="196"/>
        <v>2.7491914385096024E-2</v>
      </c>
      <c r="AS751" s="22">
        <f t="shared" si="196"/>
        <v>2.7710256058660829E-2</v>
      </c>
      <c r="AT751" s="22">
        <f t="shared" si="196"/>
        <v>2.7648758084134469E-2</v>
      </c>
      <c r="AU751" s="22">
        <f t="shared" si="196"/>
        <v>2.7556553714589756E-2</v>
      </c>
      <c r="AV751" s="22">
        <f t="shared" si="196"/>
        <v>2.7461054996500443E-2</v>
      </c>
      <c r="AW751" s="22">
        <f t="shared" si="196"/>
        <v>2.7350835179335974E-2</v>
      </c>
      <c r="AY751" s="79"/>
      <c r="AZ751" s="79"/>
    </row>
    <row r="752" spans="1:52" x14ac:dyDescent="0.2">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4.0226293185258936E-2</v>
      </c>
      <c r="L752" s="22">
        <f t="shared" si="197"/>
        <v>3.9877423391049029E-2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3.1882919944479234E-2</v>
      </c>
      <c r="T752" s="22">
        <f t="shared" si="197"/>
        <v>3.2492776435665373E-2</v>
      </c>
      <c r="U752" s="22">
        <f t="shared" si="197"/>
        <v>3.2818843389901528E-2</v>
      </c>
      <c r="V752" s="22">
        <f t="shared" si="197"/>
        <v>3.3069846715808329E-2</v>
      </c>
      <c r="W752" s="22">
        <f t="shared" si="197"/>
        <v>3.3433009534935908E-2</v>
      </c>
      <c r="X752" s="22">
        <f t="shared" si="197"/>
        <v>3.372773555582987E-2</v>
      </c>
      <c r="Y752" s="22">
        <f t="shared" si="197"/>
        <v>3.3917732334151289E-2</v>
      </c>
      <c r="Z752" s="22">
        <f t="shared" si="197"/>
        <v>3.4065630609667365E-2</v>
      </c>
      <c r="AA752" s="22">
        <f t="shared" si="197"/>
        <v>3.4157295226903257E-2</v>
      </c>
      <c r="AB752" s="22">
        <f t="shared" si="197"/>
        <v>3.4428658521658995E-2</v>
      </c>
      <c r="AC752" s="22">
        <f t="shared" si="197"/>
        <v>3.4672819963249946E-2</v>
      </c>
      <c r="AD752" s="22">
        <f t="shared" si="197"/>
        <v>3.4685412895593133E-2</v>
      </c>
      <c r="AE752" s="22">
        <f t="shared" si="197"/>
        <v>3.4848978580994651E-2</v>
      </c>
      <c r="AF752" s="22">
        <f t="shared" si="197"/>
        <v>3.5065272718873365E-2</v>
      </c>
      <c r="AG752" s="22">
        <f t="shared" si="197"/>
        <v>3.542840886383946E-2</v>
      </c>
      <c r="AH752" s="22">
        <f t="shared" si="197"/>
        <v>3.5486407503583416E-2</v>
      </c>
      <c r="AI752" s="22">
        <f t="shared" si="197"/>
        <v>3.5480319326064061E-2</v>
      </c>
      <c r="AJ752" s="22">
        <f t="shared" si="197"/>
        <v>3.5533598239465607E-2</v>
      </c>
      <c r="AK752" s="22">
        <f t="shared" si="197"/>
        <v>3.5523764443021973E-2</v>
      </c>
      <c r="AL752" s="22">
        <f t="shared" si="197"/>
        <v>3.5531288495729951E-2</v>
      </c>
      <c r="AM752" s="22">
        <f t="shared" si="197"/>
        <v>3.5514212847337627E-2</v>
      </c>
      <c r="AN752" s="22">
        <f t="shared" si="197"/>
        <v>3.5769110593879244E-2</v>
      </c>
      <c r="AO752" s="22">
        <f t="shared" si="197"/>
        <v>3.5955582766200436E-2</v>
      </c>
      <c r="AP752" s="22">
        <f t="shared" si="197"/>
        <v>3.6131295967585977E-2</v>
      </c>
      <c r="AQ752" s="22">
        <f t="shared" si="197"/>
        <v>3.6309694411438075E-2</v>
      </c>
      <c r="AR752" s="22">
        <f t="shared" si="197"/>
        <v>3.6494646834396953E-2</v>
      </c>
      <c r="AS752" s="22">
        <f t="shared" si="197"/>
        <v>3.678448850036322E-2</v>
      </c>
      <c r="AT752" s="22">
        <f t="shared" si="197"/>
        <v>3.6702851884231939E-2</v>
      </c>
      <c r="AU752" s="22">
        <f t="shared" si="197"/>
        <v>3.6580453499892925E-2</v>
      </c>
      <c r="AV752" s="22">
        <f t="shared" si="197"/>
        <v>3.6453681972054293E-2</v>
      </c>
      <c r="AW752" s="22">
        <f t="shared" si="197"/>
        <v>3.6307368650791018E-2</v>
      </c>
      <c r="AY752" s="79"/>
      <c r="AZ752" s="79"/>
    </row>
    <row r="753" spans="1:52" x14ac:dyDescent="0.2">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4.1968337096859203E-2</v>
      </c>
      <c r="L753" s="22">
        <f t="shared" si="198"/>
        <v>4.3383434779753476E-2</v>
      </c>
      <c r="M753" s="22">
        <f t="shared" si="198"/>
        <v>4.5063007666824861E-2</v>
      </c>
      <c r="N753" s="22">
        <f t="shared" si="198"/>
        <v>4.6315596244033502E-2</v>
      </c>
      <c r="O753" s="22">
        <f t="shared" si="198"/>
        <v>4.7281576900430208E-2</v>
      </c>
      <c r="P753" s="22">
        <f t="shared" si="198"/>
        <v>4.7947144057730852E-2</v>
      </c>
      <c r="Q753" s="22">
        <f t="shared" si="198"/>
        <v>4.8855920576585825E-2</v>
      </c>
      <c r="R753" s="22">
        <f t="shared" si="198"/>
        <v>4.9808583705724517E-2</v>
      </c>
      <c r="S753" s="22">
        <f t="shared" si="198"/>
        <v>4.5992827569741108E-2</v>
      </c>
      <c r="T753" s="22">
        <f t="shared" si="198"/>
        <v>4.8001865047769987E-2</v>
      </c>
      <c r="U753" s="22">
        <f t="shared" si="198"/>
        <v>4.9635626095010099E-2</v>
      </c>
      <c r="V753" s="22">
        <f t="shared" si="198"/>
        <v>5.1188596767602117E-2</v>
      </c>
      <c r="W753" s="22">
        <f t="shared" si="198"/>
        <v>5.2950508165481844E-2</v>
      </c>
      <c r="X753" s="22">
        <f t="shared" si="198"/>
        <v>5.4642195463321171E-2</v>
      </c>
      <c r="Y753" s="22">
        <f t="shared" si="198"/>
        <v>5.6197330304744171E-2</v>
      </c>
      <c r="Z753" s="22">
        <f t="shared" si="198"/>
        <v>5.7711583863191099E-2</v>
      </c>
      <c r="AA753" s="22">
        <f t="shared" si="198"/>
        <v>5.9156834222417472E-2</v>
      </c>
      <c r="AB753" s="22">
        <f t="shared" si="198"/>
        <v>6.0945336152729353E-2</v>
      </c>
      <c r="AC753" s="22">
        <f t="shared" si="198"/>
        <v>6.2724727985271067E-2</v>
      </c>
      <c r="AD753" s="22">
        <f t="shared" si="198"/>
        <v>6.4828386585152428E-2</v>
      </c>
      <c r="AE753" s="22">
        <f t="shared" si="198"/>
        <v>6.7298261230859621E-2</v>
      </c>
      <c r="AF753" s="22">
        <f t="shared" si="198"/>
        <v>6.9971651409000274E-2</v>
      </c>
      <c r="AG753" s="22">
        <f t="shared" si="198"/>
        <v>7.3058736585267875E-2</v>
      </c>
      <c r="AH753" s="22">
        <f t="shared" si="198"/>
        <v>7.563301385599043E-2</v>
      </c>
      <c r="AI753" s="22">
        <f t="shared" si="198"/>
        <v>7.8167775440571283E-2</v>
      </c>
      <c r="AJ753" s="22">
        <f t="shared" si="198"/>
        <v>8.0935873308178169E-2</v>
      </c>
      <c r="AK753" s="22">
        <f t="shared" si="198"/>
        <v>8.3668525365720503E-2</v>
      </c>
      <c r="AL753" s="22">
        <f t="shared" si="198"/>
        <v>8.6553364339565772E-2</v>
      </c>
      <c r="AM753" s="22">
        <f t="shared" si="198"/>
        <v>8.9495828472457392E-2</v>
      </c>
      <c r="AN753" s="22">
        <f t="shared" si="198"/>
        <v>9.2681440579714905E-2</v>
      </c>
      <c r="AO753" s="22">
        <f t="shared" si="198"/>
        <v>9.5802357584515191E-2</v>
      </c>
      <c r="AP753" s="22">
        <f t="shared" si="198"/>
        <v>9.9006841589941233E-2</v>
      </c>
      <c r="AQ753" s="22">
        <f t="shared" si="198"/>
        <v>0.10233590350911345</v>
      </c>
      <c r="AR753" s="22">
        <f t="shared" si="198"/>
        <v>0.10580733136333606</v>
      </c>
      <c r="AS753" s="22">
        <f t="shared" si="198"/>
        <v>0.10972241500262403</v>
      </c>
      <c r="AT753" s="22">
        <f t="shared" si="198"/>
        <v>0.11265304371652905</v>
      </c>
      <c r="AU753" s="22">
        <f t="shared" si="198"/>
        <v>0.11555235138269004</v>
      </c>
      <c r="AV753" s="22">
        <f t="shared" si="198"/>
        <v>0.11853253196869915</v>
      </c>
      <c r="AW753" s="22">
        <f t="shared" si="198"/>
        <v>0.12154670327230575</v>
      </c>
      <c r="AY753" s="79"/>
      <c r="AZ753" s="79"/>
    </row>
    <row r="754" spans="1:52" x14ac:dyDescent="0.2">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4.4831371338441527E-3</v>
      </c>
      <c r="T754" s="22">
        <f t="shared" si="199"/>
        <v>4.4899645877902617E-3</v>
      </c>
      <c r="U754" s="22">
        <f t="shared" si="199"/>
        <v>4.4976812446803844E-3</v>
      </c>
      <c r="V754" s="22">
        <f t="shared" si="199"/>
        <v>4.5063863158882386E-3</v>
      </c>
      <c r="W754" s="22">
        <f t="shared" si="199"/>
        <v>4.5161788811117947E-3</v>
      </c>
      <c r="X754" s="22">
        <f t="shared" si="199"/>
        <v>4.5268547446196596E-3</v>
      </c>
      <c r="Y754" s="22">
        <f t="shared" si="199"/>
        <v>4.5333477172681842E-3</v>
      </c>
      <c r="Z754" s="22">
        <f t="shared" si="199"/>
        <v>4.5405999943124754E-3</v>
      </c>
      <c r="AA754" s="22">
        <f t="shared" si="199"/>
        <v>4.5485583758995193E-3</v>
      </c>
      <c r="AB754" s="22">
        <f t="shared" si="199"/>
        <v>4.5574030453961476E-3</v>
      </c>
      <c r="AC754" s="22">
        <f t="shared" si="199"/>
        <v>4.5669166889101189E-3</v>
      </c>
      <c r="AD754" s="22">
        <f t="shared" si="199"/>
        <v>4.5731331974710569E-3</v>
      </c>
      <c r="AE754" s="22">
        <f t="shared" si="199"/>
        <v>4.5801112561138658E-3</v>
      </c>
      <c r="AF754" s="22">
        <f t="shared" si="199"/>
        <v>4.5877393890876687E-3</v>
      </c>
      <c r="AG754" s="22">
        <f t="shared" si="199"/>
        <v>4.5960968162402412E-3</v>
      </c>
      <c r="AH754" s="22">
        <f t="shared" si="199"/>
        <v>4.60470160066862E-3</v>
      </c>
      <c r="AI754" s="22">
        <f t="shared" si="199"/>
        <v>4.6099752593178585E-3</v>
      </c>
      <c r="AJ754" s="22">
        <f t="shared" si="199"/>
        <v>4.6158010652929838E-3</v>
      </c>
      <c r="AK754" s="22">
        <f t="shared" si="199"/>
        <v>4.6220305138924079E-3</v>
      </c>
      <c r="AL754" s="22">
        <f t="shared" si="199"/>
        <v>4.6287377180545888E-3</v>
      </c>
      <c r="AM754" s="22">
        <f t="shared" si="199"/>
        <v>4.635862068128902E-3</v>
      </c>
      <c r="AN754" s="22">
        <f t="shared" si="199"/>
        <v>4.6399936101115553E-3</v>
      </c>
      <c r="AO754" s="22">
        <f t="shared" si="199"/>
        <v>4.6444376176989054E-3</v>
      </c>
      <c r="AP754" s="22">
        <f t="shared" si="199"/>
        <v>4.6492508857149065E-3</v>
      </c>
      <c r="AQ754" s="22">
        <f t="shared" si="199"/>
        <v>4.6544400588078442E-3</v>
      </c>
      <c r="AR754" s="22">
        <f t="shared" si="199"/>
        <v>4.6600015094737631E-3</v>
      </c>
      <c r="AS754" s="22">
        <f t="shared" si="199"/>
        <v>4.6624883129741824E-3</v>
      </c>
      <c r="AT754" s="22">
        <f t="shared" si="199"/>
        <v>4.6648029335130551E-3</v>
      </c>
      <c r="AU754" s="22">
        <f t="shared" si="199"/>
        <v>4.6673689256300846E-3</v>
      </c>
      <c r="AV754" s="22">
        <f t="shared" si="199"/>
        <v>4.6702274196843731E-3</v>
      </c>
      <c r="AW754" s="22">
        <f t="shared" si="199"/>
        <v>4.6733489894838004E-3</v>
      </c>
      <c r="AY754" s="79"/>
      <c r="AZ754" s="79"/>
    </row>
    <row r="755" spans="1:52" x14ac:dyDescent="0.2">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3.7291632343986812E-3</v>
      </c>
      <c r="T755" s="22">
        <f t="shared" si="200"/>
        <v>3.7348424472980965E-3</v>
      </c>
      <c r="U755" s="22">
        <f t="shared" si="200"/>
        <v>3.7412613170109757E-3</v>
      </c>
      <c r="V755" s="22">
        <f t="shared" si="200"/>
        <v>3.7485023695444986E-3</v>
      </c>
      <c r="W755" s="22">
        <f t="shared" si="200"/>
        <v>3.7566480213753234E-3</v>
      </c>
      <c r="X755" s="22">
        <f t="shared" si="200"/>
        <v>3.7655284184054385E-3</v>
      </c>
      <c r="Y755" s="22">
        <f t="shared" si="200"/>
        <v>3.770929403064159E-3</v>
      </c>
      <c r="Z755" s="22">
        <f t="shared" si="200"/>
        <v>3.7769619923229323E-3</v>
      </c>
      <c r="AA755" s="22">
        <f t="shared" si="200"/>
        <v>3.7835819334787997E-3</v>
      </c>
      <c r="AB755" s="22">
        <f t="shared" si="200"/>
        <v>3.7909391066641191E-3</v>
      </c>
      <c r="AC755" s="22">
        <f t="shared" si="200"/>
        <v>3.7988527458320239E-3</v>
      </c>
      <c r="AD755" s="22">
        <f t="shared" si="200"/>
        <v>3.8040237621270109E-3</v>
      </c>
      <c r="AE755" s="22">
        <f t="shared" si="200"/>
        <v>3.8098282510287203E-3</v>
      </c>
      <c r="AF755" s="22">
        <f t="shared" si="200"/>
        <v>3.8161734847754797E-3</v>
      </c>
      <c r="AG755" s="22">
        <f t="shared" si="200"/>
        <v>3.823125360022894E-3</v>
      </c>
      <c r="AH755" s="22">
        <f t="shared" si="200"/>
        <v>3.8302829920051928E-3</v>
      </c>
      <c r="AI755" s="22">
        <f t="shared" si="200"/>
        <v>3.834669726864819E-3</v>
      </c>
      <c r="AJ755" s="22">
        <f t="shared" si="200"/>
        <v>3.8395157489258354E-3</v>
      </c>
      <c r="AK755" s="22">
        <f t="shared" si="200"/>
        <v>3.8446975290039364E-3</v>
      </c>
      <c r="AL755" s="22">
        <f t="shared" si="200"/>
        <v>3.8502767157253038E-3</v>
      </c>
      <c r="AM755" s="22">
        <f t="shared" si="200"/>
        <v>3.8562028927689521E-3</v>
      </c>
      <c r="AN755" s="22">
        <f t="shared" si="200"/>
        <v>3.8596395921165526E-3</v>
      </c>
      <c r="AO755" s="22">
        <f t="shared" si="200"/>
        <v>3.8633362066106815E-3</v>
      </c>
      <c r="AP755" s="22">
        <f t="shared" si="200"/>
        <v>3.8673399793231139E-3</v>
      </c>
      <c r="AQ755" s="22">
        <f t="shared" si="200"/>
        <v>3.8716564374053405E-3</v>
      </c>
      <c r="AR755" s="22">
        <f t="shared" si="200"/>
        <v>3.8762825634269383E-3</v>
      </c>
      <c r="AS755" s="22">
        <f t="shared" si="200"/>
        <v>3.8783511363721934E-3</v>
      </c>
      <c r="AT755" s="22">
        <f t="shared" si="200"/>
        <v>3.8802764840823911E-3</v>
      </c>
      <c r="AU755" s="22">
        <f t="shared" si="200"/>
        <v>3.8824109277045466E-3</v>
      </c>
      <c r="AV755" s="22">
        <f t="shared" si="200"/>
        <v>3.8847886802949221E-3</v>
      </c>
      <c r="AW755" s="22">
        <f t="shared" si="200"/>
        <v>3.8873852645577018E-3</v>
      </c>
      <c r="AY755" s="79"/>
      <c r="AZ755" s="79"/>
    </row>
    <row r="756" spans="1:52" x14ac:dyDescent="0.2">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5.4322987485311551E-4</v>
      </c>
      <c r="L756" s="22">
        <f t="shared" si="201"/>
        <v>5.4464201031358182E-4</v>
      </c>
      <c r="M756" s="22">
        <f t="shared" si="201"/>
        <v>5.4659000127818655E-4</v>
      </c>
      <c r="N756" s="22">
        <f t="shared" si="201"/>
        <v>5.4896316873921192E-4</v>
      </c>
      <c r="O756" s="22">
        <f t="shared" si="201"/>
        <v>5.5175812793145673E-4</v>
      </c>
      <c r="P756" s="22">
        <f t="shared" si="201"/>
        <v>5.5495786726734487E-4</v>
      </c>
      <c r="Q756" s="22">
        <f t="shared" si="201"/>
        <v>5.5840147541839707E-4</v>
      </c>
      <c r="R756" s="22">
        <f t="shared" si="201"/>
        <v>5.620753208024884E-4</v>
      </c>
      <c r="S756" s="22">
        <f t="shared" si="201"/>
        <v>5.6545048661351359E-4</v>
      </c>
      <c r="T756" s="22">
        <f t="shared" si="201"/>
        <v>5.6709357361271675E-4</v>
      </c>
      <c r="U756" s="22">
        <f t="shared" si="201"/>
        <v>5.688596151711496E-4</v>
      </c>
      <c r="V756" s="22">
        <f t="shared" si="201"/>
        <v>5.7077020841237065E-4</v>
      </c>
      <c r="W756" s="22">
        <f t="shared" si="201"/>
        <v>5.7284633112627235E-4</v>
      </c>
      <c r="X756" s="22">
        <f t="shared" si="201"/>
        <v>5.7505104202951998E-4</v>
      </c>
      <c r="Y756" s="22">
        <f t="shared" si="201"/>
        <v>5.7642933432393154E-4</v>
      </c>
      <c r="Z756" s="22">
        <f t="shared" si="201"/>
        <v>5.7792028160119863E-4</v>
      </c>
      <c r="AA756" s="22">
        <f t="shared" si="201"/>
        <v>5.7951511495132196E-4</v>
      </c>
      <c r="AB756" s="22">
        <f t="shared" si="201"/>
        <v>5.8124875364710992E-4</v>
      </c>
      <c r="AC756" s="22">
        <f t="shared" si="201"/>
        <v>5.8308126155427384E-4</v>
      </c>
      <c r="AD756" s="22">
        <f t="shared" si="201"/>
        <v>5.8427258810919626E-4</v>
      </c>
      <c r="AE756" s="22">
        <f t="shared" si="201"/>
        <v>5.8558467766040652E-4</v>
      </c>
      <c r="AF756" s="22">
        <f t="shared" si="201"/>
        <v>5.8699724042408691E-4</v>
      </c>
      <c r="AG756" s="22">
        <f t="shared" si="201"/>
        <v>5.8852547780245982E-4</v>
      </c>
      <c r="AH756" s="22">
        <f t="shared" si="201"/>
        <v>5.9008039799106414E-4</v>
      </c>
      <c r="AI756" s="22">
        <f t="shared" si="201"/>
        <v>5.9100081451309786E-4</v>
      </c>
      <c r="AJ756" s="22">
        <f t="shared" si="201"/>
        <v>5.9200813916272929E-4</v>
      </c>
      <c r="AK756" s="22">
        <f t="shared" si="201"/>
        <v>5.9307526025328071E-4</v>
      </c>
      <c r="AL756" s="22">
        <f t="shared" si="201"/>
        <v>5.942161722415414E-4</v>
      </c>
      <c r="AM756" s="22">
        <f t="shared" si="201"/>
        <v>5.9541998695626641E-4</v>
      </c>
      <c r="AN756" s="22">
        <f t="shared" si="201"/>
        <v>5.9606189392580344E-4</v>
      </c>
      <c r="AO756" s="22">
        <f t="shared" si="201"/>
        <v>5.9675021369894824E-4</v>
      </c>
      <c r="AP756" s="22">
        <f t="shared" si="201"/>
        <v>5.9749556471656829E-4</v>
      </c>
      <c r="AQ756" s="22">
        <f t="shared" si="201"/>
        <v>5.9829931979982535E-4</v>
      </c>
      <c r="AR756" s="22">
        <f t="shared" si="201"/>
        <v>5.9916094831137718E-4</v>
      </c>
      <c r="AS756" s="22">
        <f t="shared" si="201"/>
        <v>5.9945405400764929E-4</v>
      </c>
      <c r="AT756" s="22">
        <f t="shared" si="201"/>
        <v>5.9970848295436412E-4</v>
      </c>
      <c r="AU756" s="22">
        <f t="shared" si="201"/>
        <v>6.00001478883441E-4</v>
      </c>
      <c r="AV756" s="22">
        <f t="shared" si="201"/>
        <v>6.0034059567570894E-4</v>
      </c>
      <c r="AW756" s="22">
        <f t="shared" si="201"/>
        <v>6.0072058236705953E-4</v>
      </c>
      <c r="AY756" s="79"/>
      <c r="AZ756" s="79"/>
    </row>
    <row r="757" spans="1:52" x14ac:dyDescent="0.2">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6.6992563985089938E-3</v>
      </c>
      <c r="L757" s="22">
        <f t="shared" si="202"/>
        <v>6.716671231449923E-3</v>
      </c>
      <c r="M757" s="22">
        <f t="shared" si="202"/>
        <v>6.7406943780734313E-3</v>
      </c>
      <c r="N757" s="22">
        <f t="shared" si="202"/>
        <v>6.769960915195136E-3</v>
      </c>
      <c r="O757" s="22">
        <f t="shared" si="202"/>
        <v>6.8044291009834836E-3</v>
      </c>
      <c r="P757" s="22">
        <f t="shared" si="202"/>
        <v>6.8438891439814974E-3</v>
      </c>
      <c r="Q757" s="22">
        <f t="shared" si="202"/>
        <v>6.8863566425632549E-3</v>
      </c>
      <c r="R757" s="22">
        <f t="shared" si="202"/>
        <v>6.9316634884048298E-3</v>
      </c>
      <c r="S757" s="22">
        <f t="shared" si="202"/>
        <v>6.973286937707302E-3</v>
      </c>
      <c r="T757" s="22">
        <f t="shared" si="202"/>
        <v>6.9935499269173423E-3</v>
      </c>
      <c r="U757" s="22">
        <f t="shared" si="202"/>
        <v>7.0153292247027649E-3</v>
      </c>
      <c r="V757" s="22">
        <f t="shared" si="202"/>
        <v>7.0388911725791786E-3</v>
      </c>
      <c r="W757" s="22">
        <f t="shared" si="202"/>
        <v>7.0644944742734297E-3</v>
      </c>
      <c r="X757" s="22">
        <f t="shared" si="202"/>
        <v>7.0916835599794349E-3</v>
      </c>
      <c r="Y757" s="22">
        <f t="shared" si="202"/>
        <v>7.1086810299268487E-3</v>
      </c>
      <c r="Z757" s="22">
        <f t="shared" si="202"/>
        <v>7.1270677913135832E-3</v>
      </c>
      <c r="AA757" s="22">
        <f t="shared" si="202"/>
        <v>7.1467357035915266E-3</v>
      </c>
      <c r="AB757" s="22">
        <f t="shared" si="202"/>
        <v>7.1681154005910717E-3</v>
      </c>
      <c r="AC757" s="22">
        <f t="shared" si="202"/>
        <v>7.1907143792015659E-3</v>
      </c>
      <c r="AD757" s="22">
        <f t="shared" si="202"/>
        <v>7.2054061375440787E-3</v>
      </c>
      <c r="AE757" s="22">
        <f t="shared" si="202"/>
        <v>7.2215871775204617E-3</v>
      </c>
      <c r="AF757" s="22">
        <f t="shared" si="202"/>
        <v>7.2390072800791469E-3</v>
      </c>
      <c r="AG757" s="22">
        <f t="shared" si="202"/>
        <v>7.2578539129862047E-3</v>
      </c>
      <c r="AH757" s="22">
        <f t="shared" si="202"/>
        <v>7.277029605459848E-3</v>
      </c>
      <c r="AI757" s="22">
        <f t="shared" si="202"/>
        <v>7.2883804286747794E-3</v>
      </c>
      <c r="AJ757" s="22">
        <f t="shared" si="202"/>
        <v>7.3008030262100192E-3</v>
      </c>
      <c r="AK757" s="22">
        <f t="shared" si="202"/>
        <v>7.3139630494797169E-3</v>
      </c>
      <c r="AL757" s="22">
        <f t="shared" si="202"/>
        <v>7.3280330818754061E-3</v>
      </c>
      <c r="AM757" s="22">
        <f t="shared" si="202"/>
        <v>7.3428788475513491E-3</v>
      </c>
      <c r="AN757" s="22">
        <f t="shared" si="202"/>
        <v>7.3507950163262765E-3</v>
      </c>
      <c r="AO757" s="22">
        <f t="shared" si="202"/>
        <v>7.3592835602335977E-3</v>
      </c>
      <c r="AP757" s="22">
        <f t="shared" si="202"/>
        <v>7.3684754287317664E-3</v>
      </c>
      <c r="AQ757" s="22">
        <f t="shared" si="202"/>
        <v>7.3783875518192519E-3</v>
      </c>
      <c r="AR757" s="22">
        <f t="shared" si="202"/>
        <v>7.3890133855341444E-3</v>
      </c>
      <c r="AS757" s="22">
        <f t="shared" si="202"/>
        <v>7.3926280435308569E-3</v>
      </c>
      <c r="AT757" s="22">
        <f t="shared" si="202"/>
        <v>7.3957657294869287E-3</v>
      </c>
      <c r="AU757" s="22">
        <f t="shared" si="202"/>
        <v>7.3993790338051698E-3</v>
      </c>
      <c r="AV757" s="22">
        <f t="shared" si="202"/>
        <v>7.4035611129683564E-3</v>
      </c>
      <c r="AW757" s="22">
        <f t="shared" si="202"/>
        <v>7.4082472106798752E-3</v>
      </c>
      <c r="AY757" s="79"/>
      <c r="AZ757" s="79"/>
    </row>
    <row r="758" spans="1:52" x14ac:dyDescent="0.2">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2">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2">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2.6729002214214585E-2</v>
      </c>
      <c r="M760" s="22">
        <f t="shared" si="205"/>
        <v>2.6740992333189322E-2</v>
      </c>
      <c r="N760" s="22">
        <f t="shared" si="205"/>
        <v>2.6495489531984443E-2</v>
      </c>
      <c r="O760" s="22">
        <f t="shared" si="205"/>
        <v>2.609452683304702E-2</v>
      </c>
      <c r="P760" s="22">
        <f t="shared" si="205"/>
        <v>2.5544514050244028E-2</v>
      </c>
      <c r="Q760" s="22">
        <f t="shared" si="205"/>
        <v>2.5145143775072754E-2</v>
      </c>
      <c r="R760" s="22">
        <f t="shared" si="205"/>
        <v>2.4781112413324518E-2</v>
      </c>
      <c r="S760" s="22">
        <f t="shared" si="205"/>
        <v>2.20798204460615E-2</v>
      </c>
      <c r="T760" s="22">
        <f t="shared" si="205"/>
        <v>2.2424557938008405E-2</v>
      </c>
      <c r="U760" s="22">
        <f t="shared" si="205"/>
        <v>2.2570971116616413E-2</v>
      </c>
      <c r="V760" s="22">
        <f t="shared" si="205"/>
        <v>2.2667395166558576E-2</v>
      </c>
      <c r="W760" s="22">
        <f t="shared" si="205"/>
        <v>2.284594133514007E-2</v>
      </c>
      <c r="X760" s="22">
        <f t="shared" si="205"/>
        <v>2.2978923721971391E-2</v>
      </c>
      <c r="Y760" s="22">
        <f t="shared" si="205"/>
        <v>2.3048677917067804E-2</v>
      </c>
      <c r="Z760" s="22">
        <f t="shared" si="205"/>
        <v>2.3091415921174294E-2</v>
      </c>
      <c r="AA760" s="22">
        <f t="shared" si="205"/>
        <v>2.3097213386295078E-2</v>
      </c>
      <c r="AB760" s="22">
        <f t="shared" si="205"/>
        <v>2.323133845353377E-2</v>
      </c>
      <c r="AC760" s="22">
        <f t="shared" si="205"/>
        <v>2.3348495871952417E-2</v>
      </c>
      <c r="AD760" s="22">
        <f t="shared" si="205"/>
        <v>2.3517064058520994E-2</v>
      </c>
      <c r="AE760" s="22">
        <f t="shared" si="205"/>
        <v>2.3801807583193908E-2</v>
      </c>
      <c r="AF760" s="22">
        <f t="shared" si="205"/>
        <v>2.4135258091248658E-2</v>
      </c>
      <c r="AG760" s="22">
        <f t="shared" si="205"/>
        <v>2.4586723078799614E-2</v>
      </c>
      <c r="AH760" s="22">
        <f t="shared" si="205"/>
        <v>2.483044349217995E-2</v>
      </c>
      <c r="AI760" s="22">
        <f t="shared" si="205"/>
        <v>2.5043308594524263E-2</v>
      </c>
      <c r="AJ760" s="22">
        <f t="shared" si="205"/>
        <v>2.531081903004264E-2</v>
      </c>
      <c r="AK760" s="22">
        <f t="shared" si="205"/>
        <v>2.5543075681886771E-2</v>
      </c>
      <c r="AL760" s="22">
        <f t="shared" si="205"/>
        <v>2.5800065264390357E-2</v>
      </c>
      <c r="AM760" s="22">
        <f t="shared" si="205"/>
        <v>2.6050738429193292E-2</v>
      </c>
      <c r="AN760" s="22">
        <f t="shared" si="205"/>
        <v>2.6388228624982798E-2</v>
      </c>
      <c r="AO760" s="22">
        <f t="shared" si="205"/>
        <v>2.6681293830850793E-2</v>
      </c>
      <c r="AP760" s="22">
        <f t="shared" si="205"/>
        <v>2.6974098587187682E-2</v>
      </c>
      <c r="AQ760" s="22">
        <f t="shared" si="205"/>
        <v>2.7277302536496094E-2</v>
      </c>
      <c r="AR760" s="22">
        <f t="shared" si="205"/>
        <v>2.759431398689733E-2</v>
      </c>
      <c r="AS760" s="22">
        <f t="shared" si="205"/>
        <v>2.800744241344803E-2</v>
      </c>
      <c r="AT760" s="22">
        <f t="shared" si="205"/>
        <v>2.8135384789660874E-2</v>
      </c>
      <c r="AU760" s="22">
        <f t="shared" si="205"/>
        <v>2.8237574251430975E-2</v>
      </c>
      <c r="AV760" s="22">
        <f t="shared" si="205"/>
        <v>2.8342961193356213E-2</v>
      </c>
      <c r="AW760" s="22">
        <f t="shared" si="205"/>
        <v>2.8439412611602398E-2</v>
      </c>
      <c r="AY760" s="79"/>
      <c r="AZ760" s="79"/>
    </row>
    <row r="761" spans="1:52" x14ac:dyDescent="0.2">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3.9947810410006996E-3</v>
      </c>
      <c r="M761" s="22">
        <f t="shared" si="206"/>
        <v>3.9965730233416704E-3</v>
      </c>
      <c r="N761" s="22">
        <f t="shared" si="206"/>
        <v>3.9598814204188995E-3</v>
      </c>
      <c r="O761" s="22">
        <f t="shared" si="206"/>
        <v>3.8999555700251322E-3</v>
      </c>
      <c r="P761" s="22">
        <f t="shared" si="206"/>
        <v>3.8177534504158584E-3</v>
      </c>
      <c r="Q761" s="22">
        <f t="shared" si="206"/>
        <v>3.7580655955978051E-3</v>
      </c>
      <c r="R761" s="22">
        <f t="shared" si="206"/>
        <v>3.7036593154610876E-3</v>
      </c>
      <c r="S761" s="22">
        <f t="shared" si="206"/>
        <v>3.2999379250946686E-3</v>
      </c>
      <c r="T761" s="22">
        <f t="shared" si="206"/>
        <v>3.3514606413530125E-3</v>
      </c>
      <c r="U761" s="22">
        <f t="shared" si="206"/>
        <v>3.3733428120890697E-3</v>
      </c>
      <c r="V761" s="22">
        <f t="shared" si="206"/>
        <v>3.3877538613126231E-3</v>
      </c>
      <c r="W761" s="22">
        <f t="shared" si="206"/>
        <v>3.4144384656789365E-3</v>
      </c>
      <c r="X761" s="22">
        <f t="shared" si="206"/>
        <v>3.4343133384273955E-3</v>
      </c>
      <c r="Y761" s="22">
        <f t="shared" si="206"/>
        <v>3.4447384464755082E-3</v>
      </c>
      <c r="Z761" s="22">
        <f t="shared" si="206"/>
        <v>3.4511258517054724E-3</v>
      </c>
      <c r="AA761" s="22">
        <f t="shared" si="206"/>
        <v>3.4519923114245724E-3</v>
      </c>
      <c r="AB761" s="22">
        <f t="shared" si="206"/>
        <v>3.4720379633884583E-3</v>
      </c>
      <c r="AC761" s="22">
        <f t="shared" si="206"/>
        <v>3.4895477166579812E-3</v>
      </c>
      <c r="AD761" s="22">
        <f t="shared" si="206"/>
        <v>3.5147410624635305E-3</v>
      </c>
      <c r="AE761" s="22">
        <f t="shared" si="206"/>
        <v>3.5572973847981574E-3</v>
      </c>
      <c r="AF761" s="22">
        <f t="shared" si="206"/>
        <v>3.6071332057170833E-3</v>
      </c>
      <c r="AG761" s="22">
        <f t="shared" si="206"/>
        <v>3.6746068719052303E-3</v>
      </c>
      <c r="AH761" s="22">
        <f t="shared" si="206"/>
        <v>3.7110320881880462E-3</v>
      </c>
      <c r="AI761" s="22">
        <f t="shared" si="206"/>
        <v>3.7428458262513211E-3</v>
      </c>
      <c r="AJ761" s="22">
        <f t="shared" si="206"/>
        <v>3.7828265785261059E-3</v>
      </c>
      <c r="AK761" s="22">
        <f t="shared" si="206"/>
        <v>3.8175384791798387E-3</v>
      </c>
      <c r="AL761" s="22">
        <f t="shared" si="206"/>
        <v>3.8559468381485868E-3</v>
      </c>
      <c r="AM761" s="22">
        <f t="shared" si="206"/>
        <v>3.8934111773789473E-3</v>
      </c>
      <c r="AN761" s="22">
        <f t="shared" si="206"/>
        <v>3.9438507495282793E-3</v>
      </c>
      <c r="AO761" s="22">
        <f t="shared" si="206"/>
        <v>3.9876507881079406E-3</v>
      </c>
      <c r="AP761" s="22">
        <f t="shared" si="206"/>
        <v>4.0314119012222708E-3</v>
      </c>
      <c r="AQ761" s="22">
        <f t="shared" si="206"/>
        <v>4.0767272249499047E-3</v>
      </c>
      <c r="AR761" s="22">
        <f t="shared" si="206"/>
        <v>4.1241061477280058E-3</v>
      </c>
      <c r="AS761" s="22">
        <f t="shared" si="206"/>
        <v>4.1858502260387767E-3</v>
      </c>
      <c r="AT761" s="22">
        <f t="shared" si="206"/>
        <v>4.2049718443745261E-3</v>
      </c>
      <c r="AU761" s="22">
        <f t="shared" si="206"/>
        <v>4.2202445627946769E-3</v>
      </c>
      <c r="AV761" s="22">
        <f t="shared" si="206"/>
        <v>4.2359951603739652E-3</v>
      </c>
      <c r="AW761" s="22">
        <f t="shared" si="206"/>
        <v>4.2504102999253611E-3</v>
      </c>
      <c r="AY761" s="79"/>
      <c r="AZ761" s="79"/>
    </row>
    <row r="762" spans="1:52" x14ac:dyDescent="0.2">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1.7066731126843742E-2</v>
      </c>
      <c r="M762" s="22">
        <f t="shared" si="207"/>
        <v>1.7464259263446445E-2</v>
      </c>
      <c r="N762" s="22">
        <f t="shared" si="207"/>
        <v>1.77694513935726E-2</v>
      </c>
      <c r="O762" s="22">
        <f t="shared" si="207"/>
        <v>1.8014444056791572E-2</v>
      </c>
      <c r="P762" s="22">
        <f t="shared" si="207"/>
        <v>1.8197780265539365E-2</v>
      </c>
      <c r="Q762" s="22">
        <f t="shared" si="207"/>
        <v>1.8432867891885713E-2</v>
      </c>
      <c r="R762" s="22">
        <f t="shared" si="207"/>
        <v>1.8677293946611207E-2</v>
      </c>
      <c r="S762" s="22">
        <f t="shared" si="207"/>
        <v>1.7930195532315427E-2</v>
      </c>
      <c r="T762" s="22">
        <f t="shared" si="207"/>
        <v>1.8405757792115097E-2</v>
      </c>
      <c r="U762" s="22">
        <f t="shared" si="207"/>
        <v>1.880256719318036E-2</v>
      </c>
      <c r="V762" s="22">
        <f t="shared" si="207"/>
        <v>1.9182022263661121E-2</v>
      </c>
      <c r="W762" s="22">
        <f t="shared" si="207"/>
        <v>1.9603893406791358E-2</v>
      </c>
      <c r="X762" s="22">
        <f t="shared" si="207"/>
        <v>2.0010576837223248E-2</v>
      </c>
      <c r="Y762" s="22">
        <f t="shared" si="207"/>
        <v>2.0375728845723119E-2</v>
      </c>
      <c r="Z762" s="22">
        <f t="shared" si="207"/>
        <v>2.0731756448222814E-2</v>
      </c>
      <c r="AA762" s="22">
        <f t="shared" si="207"/>
        <v>2.1073019561660463E-2</v>
      </c>
      <c r="AB762" s="22">
        <f t="shared" si="207"/>
        <v>2.148336106919314E-2</v>
      </c>
      <c r="AC762" s="22">
        <f t="shared" si="207"/>
        <v>2.1890889267126682E-2</v>
      </c>
      <c r="AD762" s="22">
        <f t="shared" si="207"/>
        <v>2.231803440740647E-2</v>
      </c>
      <c r="AE762" s="22">
        <f t="shared" si="207"/>
        <v>2.2815454137105083E-2</v>
      </c>
      <c r="AF762" s="22">
        <f t="shared" si="207"/>
        <v>2.3349632701496571E-2</v>
      </c>
      <c r="AG762" s="22">
        <f t="shared" si="207"/>
        <v>2.396171160946152E-2</v>
      </c>
      <c r="AH762" s="22">
        <f t="shared" si="207"/>
        <v>2.4467658584898602E-2</v>
      </c>
      <c r="AI762" s="22">
        <f t="shared" si="207"/>
        <v>2.4951748693606203E-2</v>
      </c>
      <c r="AJ762" s="22">
        <f t="shared" si="207"/>
        <v>2.5477604150305377E-2</v>
      </c>
      <c r="AK762" s="22">
        <f t="shared" si="207"/>
        <v>2.5992359314301834E-2</v>
      </c>
      <c r="AL762" s="22">
        <f t="shared" si="207"/>
        <v>2.6532480091102609E-2</v>
      </c>
      <c r="AM762" s="22">
        <f t="shared" si="207"/>
        <v>2.7079400048144214E-2</v>
      </c>
      <c r="AN762" s="22">
        <f t="shared" si="207"/>
        <v>2.7680885364723965E-2</v>
      </c>
      <c r="AO762" s="22">
        <f t="shared" si="207"/>
        <v>2.8266293672037732E-2</v>
      </c>
      <c r="AP762" s="22">
        <f t="shared" si="207"/>
        <v>2.886402430987451E-2</v>
      </c>
      <c r="AQ762" s="22">
        <f t="shared" si="207"/>
        <v>2.9481723037787178E-2</v>
      </c>
      <c r="AR762" s="22">
        <f t="shared" si="207"/>
        <v>3.0122536424733722E-2</v>
      </c>
      <c r="AS762" s="22">
        <f t="shared" si="207"/>
        <v>3.0832887052217536E-2</v>
      </c>
      <c r="AT762" s="22">
        <f t="shared" si="207"/>
        <v>3.1354014072341549E-2</v>
      </c>
      <c r="AU762" s="22">
        <f t="shared" si="207"/>
        <v>3.1866079427096267E-2</v>
      </c>
      <c r="AV762" s="22">
        <f t="shared" si="207"/>
        <v>3.2390073533933091E-2</v>
      </c>
      <c r="AW762" s="22">
        <f t="shared" si="207"/>
        <v>3.2917174163896501E-2</v>
      </c>
      <c r="AY762" s="79"/>
      <c r="AZ762" s="79"/>
    </row>
    <row r="763" spans="1:52" x14ac:dyDescent="0.2">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7.758579791322931E-2</v>
      </c>
      <c r="L763" s="22">
        <f t="shared" si="208"/>
        <v>7.860746419754247E-2</v>
      </c>
      <c r="M763" s="22">
        <f t="shared" si="208"/>
        <v>8.0248553313821205E-2</v>
      </c>
      <c r="N763" s="22">
        <f t="shared" si="208"/>
        <v>8.0719757945382262E-2</v>
      </c>
      <c r="O763" s="22">
        <f t="shared" si="208"/>
        <v>8.0430818839717741E-2</v>
      </c>
      <c r="P763" s="22">
        <f t="shared" si="208"/>
        <v>7.938481013134728E-2</v>
      </c>
      <c r="Q763" s="22">
        <f t="shared" si="208"/>
        <v>7.8944464359385597E-2</v>
      </c>
      <c r="R763" s="22">
        <f t="shared" si="208"/>
        <v>7.8604018955287305E-2</v>
      </c>
      <c r="S763" s="22">
        <f t="shared" si="208"/>
        <v>6.7197980387573103E-2</v>
      </c>
      <c r="T763" s="22">
        <f t="shared" si="208"/>
        <v>7.0159754352377118E-2</v>
      </c>
      <c r="U763" s="22">
        <f t="shared" si="208"/>
        <v>7.2200774862602818E-2</v>
      </c>
      <c r="V763" s="22">
        <f t="shared" si="208"/>
        <v>7.4012137517044677E-2</v>
      </c>
      <c r="W763" s="22">
        <f t="shared" si="208"/>
        <v>7.624234611790702E-2</v>
      </c>
      <c r="X763" s="22">
        <f t="shared" si="208"/>
        <v>7.8266654922264395E-2</v>
      </c>
      <c r="Y763" s="22">
        <f t="shared" si="208"/>
        <v>8.0053392548698518E-2</v>
      </c>
      <c r="Z763" s="22">
        <f t="shared" si="208"/>
        <v>8.1713475036097147E-2</v>
      </c>
      <c r="AA763" s="22">
        <f t="shared" si="208"/>
        <v>8.3191126783030381E-2</v>
      </c>
      <c r="AB763" s="22">
        <f t="shared" si="208"/>
        <v>8.5356141752823037E-2</v>
      </c>
      <c r="AC763" s="22">
        <f t="shared" si="208"/>
        <v>8.7456207764297841E-2</v>
      </c>
      <c r="AD763" s="22">
        <f t="shared" si="208"/>
        <v>8.9913243198059017E-2</v>
      </c>
      <c r="AE763" s="22">
        <f t="shared" si="208"/>
        <v>9.3044085798014903E-2</v>
      </c>
      <c r="AF763" s="22">
        <f t="shared" si="208"/>
        <v>9.6498642598308926E-2</v>
      </c>
      <c r="AG763" s="22">
        <f t="shared" si="208"/>
        <v>0.10068056666272467</v>
      </c>
      <c r="AH763" s="22">
        <f t="shared" si="208"/>
        <v>0.10375441633368165</v>
      </c>
      <c r="AI763" s="22">
        <f t="shared" si="208"/>
        <v>0.10675032554756632</v>
      </c>
      <c r="AJ763" s="22">
        <f t="shared" si="208"/>
        <v>0.11011636525105389</v>
      </c>
      <c r="AK763" s="22">
        <f t="shared" si="208"/>
        <v>0.11333263880247381</v>
      </c>
      <c r="AL763" s="22">
        <f t="shared" si="208"/>
        <v>0.11675404817895949</v>
      </c>
      <c r="AM763" s="22">
        <f t="shared" si="208"/>
        <v>0.12019911578989917</v>
      </c>
      <c r="AN763" s="22">
        <f t="shared" si="208"/>
        <v>0.12428786174834884</v>
      </c>
      <c r="AO763" s="22">
        <f t="shared" si="208"/>
        <v>0.12817821089097012</v>
      </c>
      <c r="AP763" s="22">
        <f t="shared" si="208"/>
        <v>0.13214154239239112</v>
      </c>
      <c r="AQ763" s="22">
        <f t="shared" si="208"/>
        <v>0.13624857972153667</v>
      </c>
      <c r="AR763" s="22">
        <f t="shared" si="208"/>
        <v>0.14052656296513075</v>
      </c>
      <c r="AS763" s="22">
        <f t="shared" si="208"/>
        <v>0.14556766568145355</v>
      </c>
      <c r="AT763" s="22">
        <f t="shared" si="208"/>
        <v>0.14881423347183564</v>
      </c>
      <c r="AU763" s="22">
        <f t="shared" si="208"/>
        <v>0.15194631854950416</v>
      </c>
      <c r="AV763" s="22">
        <f t="shared" si="208"/>
        <v>0.15515723544633972</v>
      </c>
      <c r="AW763" s="22">
        <f t="shared" si="208"/>
        <v>0.15836593511039121</v>
      </c>
      <c r="AY763" s="79"/>
      <c r="AZ763" s="79"/>
    </row>
    <row r="764" spans="1:52" x14ac:dyDescent="0.2">
      <c r="A764" s="95"/>
      <c r="B764" s="95"/>
      <c r="C764" s="95"/>
    </row>
    <row r="765" spans="1:52" x14ac:dyDescent="0.2">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72.649957574793405</v>
      </c>
      <c r="M765" s="27">
        <f t="shared" si="209"/>
        <v>73.223011790998029</v>
      </c>
      <c r="N765" s="27">
        <f t="shared" si="209"/>
        <v>73.591260167761035</v>
      </c>
      <c r="O765" s="27">
        <f t="shared" si="209"/>
        <v>73.83596289834658</v>
      </c>
      <c r="P765" s="27">
        <f t="shared" si="209"/>
        <v>73.954711561483904</v>
      </c>
      <c r="Q765" s="27">
        <f t="shared" si="209"/>
        <v>74.217071552078707</v>
      </c>
      <c r="R765" s="27">
        <f t="shared" si="209"/>
        <v>74.518042528471312</v>
      </c>
      <c r="S765" s="27">
        <f t="shared" si="209"/>
        <v>72.478094892813189</v>
      </c>
      <c r="T765" s="27">
        <f t="shared" si="209"/>
        <v>73.311025871745997</v>
      </c>
      <c r="U765" s="27">
        <f t="shared" si="209"/>
        <v>73.963715162788233</v>
      </c>
      <c r="V765" s="27">
        <f t="shared" si="209"/>
        <v>74.582066548206157</v>
      </c>
      <c r="W765" s="27">
        <f t="shared" si="209"/>
        <v>75.304979725957494</v>
      </c>
      <c r="X765" s="27">
        <f t="shared" si="209"/>
        <v>75.997294225765899</v>
      </c>
      <c r="Y765" s="27">
        <f t="shared" si="209"/>
        <v>76.577933644130326</v>
      </c>
      <c r="Z765" s="27">
        <f t="shared" si="209"/>
        <v>77.142446023883181</v>
      </c>
      <c r="AA765" s="27">
        <f t="shared" si="209"/>
        <v>77.677893567914339</v>
      </c>
      <c r="AB765" s="27">
        <f t="shared" si="209"/>
        <v>78.37441564319947</v>
      </c>
      <c r="AC765" s="27">
        <f t="shared" si="209"/>
        <v>79.067356094429798</v>
      </c>
      <c r="AD765" s="27">
        <f t="shared" si="209"/>
        <v>79.790293378056347</v>
      </c>
      <c r="AE765" s="27">
        <f t="shared" si="209"/>
        <v>80.672260630147306</v>
      </c>
      <c r="AF765" s="27">
        <f t="shared" si="209"/>
        <v>81.636452435438088</v>
      </c>
      <c r="AG765" s="27">
        <f t="shared" si="209"/>
        <v>82.773036285937067</v>
      </c>
      <c r="AH765" s="27">
        <f t="shared" si="209"/>
        <v>83.673213555783462</v>
      </c>
      <c r="AI765" s="27">
        <f t="shared" si="209"/>
        <v>84.509468484147618</v>
      </c>
      <c r="AJ765" s="27">
        <f t="shared" si="209"/>
        <v>85.437405417007412</v>
      </c>
      <c r="AK765" s="27">
        <f t="shared" si="209"/>
        <v>86.340426432642914</v>
      </c>
      <c r="AL765" s="27">
        <f t="shared" si="209"/>
        <v>87.298123970536111</v>
      </c>
      <c r="AM765" s="27">
        <f t="shared" si="209"/>
        <v>88.26958854165197</v>
      </c>
      <c r="AN765" s="27">
        <f t="shared" si="209"/>
        <v>89.343200001219728</v>
      </c>
      <c r="AO765" s="27">
        <f t="shared" si="209"/>
        <v>90.380141784312926</v>
      </c>
      <c r="AP765" s="27">
        <f t="shared" si="209"/>
        <v>91.441734143781034</v>
      </c>
      <c r="AQ765" s="27">
        <f t="shared" si="209"/>
        <v>92.544073659173904</v>
      </c>
      <c r="AR765" s="27">
        <f t="shared" si="209"/>
        <v>93.693462393833215</v>
      </c>
      <c r="AS765" s="27">
        <f t="shared" si="209"/>
        <v>94.97329819439031</v>
      </c>
      <c r="AT765" s="27">
        <f t="shared" si="209"/>
        <v>95.848626267420912</v>
      </c>
      <c r="AU765" s="27">
        <f t="shared" si="209"/>
        <v>96.703822926377612</v>
      </c>
      <c r="AV765" s="27">
        <f t="shared" si="209"/>
        <v>97.583252765683682</v>
      </c>
      <c r="AW765" s="27">
        <f t="shared" si="209"/>
        <v>98.468144480515292</v>
      </c>
      <c r="AY765" s="79"/>
      <c r="AZ765" s="79"/>
    </row>
    <row r="766" spans="1:52" x14ac:dyDescent="0.2">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58.1066387636453</v>
      </c>
      <c r="M766" s="27">
        <f t="shared" si="210"/>
        <v>58.564977012483297</v>
      </c>
      <c r="N766" s="27">
        <f t="shared" si="210"/>
        <v>58.859508160444918</v>
      </c>
      <c r="O766" s="27">
        <f t="shared" si="210"/>
        <v>59.055225455337663</v>
      </c>
      <c r="P766" s="27">
        <f t="shared" si="210"/>
        <v>59.150202601958597</v>
      </c>
      <c r="Q766" s="27">
        <f t="shared" si="210"/>
        <v>59.360042465716688</v>
      </c>
      <c r="R766" s="27">
        <f t="shared" si="210"/>
        <v>59.600764035107602</v>
      </c>
      <c r="S766" s="27">
        <f t="shared" si="210"/>
        <v>57.969180145469302</v>
      </c>
      <c r="T766" s="27">
        <f t="shared" si="210"/>
        <v>58.635372131308685</v>
      </c>
      <c r="U766" s="27">
        <f t="shared" si="210"/>
        <v>59.157403831333383</v>
      </c>
      <c r="V766" s="27">
        <f t="shared" si="210"/>
        <v>59.65197150598739</v>
      </c>
      <c r="W766" s="27">
        <f t="shared" si="210"/>
        <v>60.230169433134556</v>
      </c>
      <c r="X766" s="27">
        <f t="shared" si="210"/>
        <v>60.783894031112283</v>
      </c>
      <c r="Y766" s="27">
        <f t="shared" si="210"/>
        <v>61.248299050208132</v>
      </c>
      <c r="Z766" s="27">
        <f t="shared" si="210"/>
        <v>61.699805396844816</v>
      </c>
      <c r="AA766" s="27">
        <f t="shared" si="209"/>
        <v>62.128065206712812</v>
      </c>
      <c r="AB766" s="27">
        <f t="shared" si="209"/>
        <v>62.685155093211797</v>
      </c>
      <c r="AC766" s="27">
        <f t="shared" si="209"/>
        <v>63.239380337499199</v>
      </c>
      <c r="AD766" s="27">
        <f t="shared" si="209"/>
        <v>63.817597544924432</v>
      </c>
      <c r="AE766" s="27">
        <f t="shared" si="209"/>
        <v>64.523009553814518</v>
      </c>
      <c r="AF766" s="27">
        <f t="shared" si="209"/>
        <v>65.294186121553309</v>
      </c>
      <c r="AG766" s="27">
        <f t="shared" si="209"/>
        <v>66.203244700941269</v>
      </c>
      <c r="AH766" s="27">
        <f t="shared" si="209"/>
        <v>66.923221383492788</v>
      </c>
      <c r="AI766" s="27">
        <f t="shared" si="209"/>
        <v>67.592071919114218</v>
      </c>
      <c r="AJ766" s="27">
        <f t="shared" si="209"/>
        <v>68.334251239695618</v>
      </c>
      <c r="AK766" s="27">
        <f t="shared" si="209"/>
        <v>69.056502397206529</v>
      </c>
      <c r="AL766" s="27">
        <f t="shared" si="209"/>
        <v>69.822484742370364</v>
      </c>
      <c r="AM766" s="27">
        <f t="shared" si="209"/>
        <v>70.599478188614199</v>
      </c>
      <c r="AN766" s="27">
        <f t="shared" si="209"/>
        <v>71.458170407248886</v>
      </c>
      <c r="AO766" s="27">
        <f t="shared" si="209"/>
        <v>72.287533611585175</v>
      </c>
      <c r="AP766" s="27">
        <f t="shared" si="209"/>
        <v>73.136612754988022</v>
      </c>
      <c r="AQ766" s="27">
        <f t="shared" si="209"/>
        <v>74.018282148254812</v>
      </c>
      <c r="AR766" s="27">
        <f t="shared" si="209"/>
        <v>74.937582285974699</v>
      </c>
      <c r="AS766" s="27">
        <f t="shared" si="209"/>
        <v>75.96121614650643</v>
      </c>
      <c r="AT766" s="27">
        <f t="shared" si="209"/>
        <v>76.661318030074682</v>
      </c>
      <c r="AU766" s="27">
        <f t="shared" si="209"/>
        <v>77.345318475397917</v>
      </c>
      <c r="AV766" s="27">
        <f t="shared" si="209"/>
        <v>78.048701019536637</v>
      </c>
      <c r="AW766" s="27">
        <f t="shared" si="209"/>
        <v>78.756452062140184</v>
      </c>
      <c r="AY766" s="79"/>
      <c r="AZ766" s="79"/>
    </row>
    <row r="767" spans="1:52" x14ac:dyDescent="0.2">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26.272250579806308</v>
      </c>
      <c r="M767" s="27">
        <f t="shared" si="209"/>
        <v>26.479482964607669</v>
      </c>
      <c r="N767" s="27">
        <f t="shared" si="209"/>
        <v>26.61265184663991</v>
      </c>
      <c r="O767" s="27">
        <f t="shared" si="209"/>
        <v>26.701143177813606</v>
      </c>
      <c r="P767" s="27">
        <f t="shared" si="209"/>
        <v>26.744086005835889</v>
      </c>
      <c r="Q767" s="27">
        <f t="shared" si="209"/>
        <v>26.838962694620271</v>
      </c>
      <c r="R767" s="27">
        <f t="shared" si="209"/>
        <v>26.947802192577246</v>
      </c>
      <c r="S767" s="27">
        <f t="shared" si="209"/>
        <v>26.210100241429942</v>
      </c>
      <c r="T767" s="27">
        <f t="shared" si="209"/>
        <v>26.511311310571692</v>
      </c>
      <c r="U767" s="27">
        <f t="shared" si="209"/>
        <v>26.747341959142467</v>
      </c>
      <c r="V767" s="27">
        <f t="shared" si="209"/>
        <v>26.970955063490745</v>
      </c>
      <c r="W767" s="27">
        <f t="shared" si="209"/>
        <v>27.232380627762737</v>
      </c>
      <c r="X767" s="27">
        <f t="shared" si="209"/>
        <v>27.482740856814136</v>
      </c>
      <c r="Y767" s="27">
        <f t="shared" si="209"/>
        <v>27.692716262237859</v>
      </c>
      <c r="Z767" s="27">
        <f t="shared" si="209"/>
        <v>27.896859680780135</v>
      </c>
      <c r="AA767" s="27">
        <f t="shared" si="209"/>
        <v>28.09049244422182</v>
      </c>
      <c r="AB767" s="27">
        <f t="shared" si="209"/>
        <v>28.342374249898288</v>
      </c>
      <c r="AC767" s="27">
        <f t="shared" si="209"/>
        <v>28.592960840439176</v>
      </c>
      <c r="AD767" s="27">
        <f t="shared" si="209"/>
        <v>28.854395122067867</v>
      </c>
      <c r="AE767" s="27">
        <f t="shared" si="209"/>
        <v>29.173339075011846</v>
      </c>
      <c r="AF767" s="27">
        <f t="shared" si="209"/>
        <v>29.522017719311339</v>
      </c>
      <c r="AG767" s="27">
        <f t="shared" si="209"/>
        <v>29.9330381344923</v>
      </c>
      <c r="AH767" s="27">
        <f t="shared" si="209"/>
        <v>30.258567337662207</v>
      </c>
      <c r="AI767" s="27">
        <f t="shared" si="209"/>
        <v>30.560980439610169</v>
      </c>
      <c r="AJ767" s="27">
        <f t="shared" si="209"/>
        <v>30.896548311033232</v>
      </c>
      <c r="AK767" s="27">
        <f t="shared" si="209"/>
        <v>31.223105891981344</v>
      </c>
      <c r="AL767" s="27">
        <f t="shared" si="209"/>
        <v>31.569436028090372</v>
      </c>
      <c r="AM767" s="27">
        <f t="shared" si="209"/>
        <v>31.920744707320974</v>
      </c>
      <c r="AN767" s="27">
        <f t="shared" si="209"/>
        <v>32.308992549889602</v>
      </c>
      <c r="AO767" s="27">
        <f t="shared" si="209"/>
        <v>32.683979614872385</v>
      </c>
      <c r="AP767" s="27">
        <f t="shared" si="209"/>
        <v>33.067881015679681</v>
      </c>
      <c r="AQ767" s="27">
        <f t="shared" si="209"/>
        <v>33.466517724346836</v>
      </c>
      <c r="AR767" s="27">
        <f t="shared" si="209"/>
        <v>33.882168742717873</v>
      </c>
      <c r="AS767" s="27">
        <f t="shared" si="209"/>
        <v>34.344993057771696</v>
      </c>
      <c r="AT767" s="27">
        <f t="shared" si="209"/>
        <v>34.661536098426936</v>
      </c>
      <c r="AU767" s="27">
        <f t="shared" si="209"/>
        <v>34.970799058367312</v>
      </c>
      <c r="AV767" s="27">
        <f t="shared" si="209"/>
        <v>35.288825412089835</v>
      </c>
      <c r="AW767" s="27">
        <f t="shared" si="209"/>
        <v>35.608826932312567</v>
      </c>
      <c r="AY767" s="79"/>
      <c r="AZ767" s="79"/>
    </row>
    <row r="768" spans="1:52" x14ac:dyDescent="0.2">
      <c r="A768" s="95" t="str">
        <f t="shared" si="176"/>
        <v>BD Cattle</v>
      </c>
      <c r="B768" s="95" t="s">
        <v>1228</v>
      </c>
      <c r="C768" s="95" t="s">
        <v>1108</v>
      </c>
      <c r="D768" t="s">
        <v>15</v>
      </c>
      <c r="E768" t="s">
        <v>16</v>
      </c>
      <c r="F768" t="s">
        <v>67</v>
      </c>
      <c r="G768" t="s">
        <v>122</v>
      </c>
      <c r="H768" t="s">
        <v>1020</v>
      </c>
      <c r="I768" t="s">
        <v>121</v>
      </c>
      <c r="J768" t="s">
        <v>286</v>
      </c>
      <c r="K768" s="27">
        <f t="shared" si="210"/>
        <v>463.23498593143194</v>
      </c>
      <c r="L768" s="27">
        <f t="shared" si="209"/>
        <v>459.21749683621613</v>
      </c>
      <c r="M768" s="27">
        <f t="shared" si="209"/>
        <v>457.68816035731248</v>
      </c>
      <c r="N768" s="27">
        <f t="shared" si="209"/>
        <v>451.57633407663525</v>
      </c>
      <c r="O768" s="27">
        <f t="shared" si="209"/>
        <v>442.70486896910745</v>
      </c>
      <c r="P768" s="27">
        <f t="shared" si="209"/>
        <v>431.25721304480408</v>
      </c>
      <c r="Q768" s="27">
        <f t="shared" si="209"/>
        <v>422.22811200839215</v>
      </c>
      <c r="R768" s="27">
        <f t="shared" si="209"/>
        <v>413.68555596285586</v>
      </c>
      <c r="S768" s="27">
        <f t="shared" si="209"/>
        <v>367.15498253629937</v>
      </c>
      <c r="T768" s="27">
        <f t="shared" si="209"/>
        <v>374.17792302484366</v>
      </c>
      <c r="U768" s="27">
        <f t="shared" si="209"/>
        <v>377.93282085404854</v>
      </c>
      <c r="V768" s="27">
        <f t="shared" si="209"/>
        <v>380.82330647770999</v>
      </c>
      <c r="W768" s="27">
        <f t="shared" si="209"/>
        <v>385.00539013713677</v>
      </c>
      <c r="X768" s="27">
        <f t="shared" si="209"/>
        <v>388.39937435322344</v>
      </c>
      <c r="Y768" s="27">
        <f t="shared" si="209"/>
        <v>390.58732526700504</v>
      </c>
      <c r="Z768" s="27">
        <f t="shared" si="209"/>
        <v>392.29048134112935</v>
      </c>
      <c r="AA768" s="27">
        <f t="shared" si="209"/>
        <v>393.3460659926933</v>
      </c>
      <c r="AB768" s="27">
        <f t="shared" si="209"/>
        <v>396.4710114468906</v>
      </c>
      <c r="AC768" s="27">
        <f t="shared" si="209"/>
        <v>399.28270780279126</v>
      </c>
      <c r="AD768" s="27">
        <f t="shared" si="209"/>
        <v>399.42772456608003</v>
      </c>
      <c r="AE768" s="27">
        <f t="shared" si="209"/>
        <v>401.31130224565624</v>
      </c>
      <c r="AF768" s="27">
        <f t="shared" si="209"/>
        <v>403.80208635683084</v>
      </c>
      <c r="AG768" s="27">
        <f t="shared" si="209"/>
        <v>407.98386284391222</v>
      </c>
      <c r="AH768" s="27">
        <f t="shared" si="209"/>
        <v>408.65175931008923</v>
      </c>
      <c r="AI768" s="27">
        <f t="shared" si="209"/>
        <v>408.58164952357384</v>
      </c>
      <c r="AJ768" s="27">
        <f t="shared" si="209"/>
        <v>409.1951949125646</v>
      </c>
      <c r="AK768" s="27">
        <f t="shared" si="209"/>
        <v>409.08195160336288</v>
      </c>
      <c r="AL768" s="27">
        <f t="shared" si="209"/>
        <v>409.16859653567815</v>
      </c>
      <c r="AM768" s="27">
        <f t="shared" si="209"/>
        <v>408.97195804089159</v>
      </c>
      <c r="AN768" s="27">
        <f t="shared" si="209"/>
        <v>411.90729074702386</v>
      </c>
      <c r="AO768" s="27">
        <f t="shared" si="209"/>
        <v>414.05465326248105</v>
      </c>
      <c r="AP768" s="27">
        <f t="shared" si="209"/>
        <v>416.07811841242483</v>
      </c>
      <c r="AQ768" s="27">
        <f t="shared" si="209"/>
        <v>418.1325060798996</v>
      </c>
      <c r="AR768" s="27">
        <f t="shared" si="209"/>
        <v>420.26236757752156</v>
      </c>
      <c r="AS768" s="27">
        <f t="shared" si="209"/>
        <v>423.60010489867818</v>
      </c>
      <c r="AT768" s="27">
        <f t="shared" si="209"/>
        <v>422.65999996405498</v>
      </c>
      <c r="AU768" s="27">
        <f t="shared" si="209"/>
        <v>421.25049365965373</v>
      </c>
      <c r="AV768" s="27">
        <f t="shared" si="209"/>
        <v>419.79062743125479</v>
      </c>
      <c r="AW768" s="27">
        <f t="shared" si="209"/>
        <v>418.10572325664367</v>
      </c>
      <c r="AY768" s="79"/>
      <c r="AZ768" s="79"/>
    </row>
    <row r="769" spans="1:52" x14ac:dyDescent="0.2">
      <c r="A769" s="95" t="str">
        <f t="shared" si="176"/>
        <v>BD Cattle</v>
      </c>
      <c r="B769" s="95" t="s">
        <v>1228</v>
      </c>
      <c r="C769" s="95" t="s">
        <v>1108</v>
      </c>
      <c r="D769" t="s">
        <v>15</v>
      </c>
      <c r="E769" t="s">
        <v>16</v>
      </c>
      <c r="F769" t="s">
        <v>67</v>
      </c>
      <c r="G769" t="s">
        <v>123</v>
      </c>
      <c r="H769" t="s">
        <v>1020</v>
      </c>
      <c r="I769" t="s">
        <v>121</v>
      </c>
      <c r="J769" t="s">
        <v>286</v>
      </c>
      <c r="K769" s="27">
        <f t="shared" si="210"/>
        <v>326.20040935577742</v>
      </c>
      <c r="L769" s="27">
        <f t="shared" si="209"/>
        <v>323.37137738012325</v>
      </c>
      <c r="M769" s="27">
        <f t="shared" si="209"/>
        <v>322.29445054900748</v>
      </c>
      <c r="N769" s="27">
        <f t="shared" si="209"/>
        <v>317.99063003627219</v>
      </c>
      <c r="O769" s="27">
        <f t="shared" si="209"/>
        <v>311.74352945546798</v>
      </c>
      <c r="P769" s="27">
        <f t="shared" si="209"/>
        <v>303.68232906672063</v>
      </c>
      <c r="Q769" s="27">
        <f t="shared" si="209"/>
        <v>297.32422455466599</v>
      </c>
      <c r="R769" s="27">
        <f t="shared" si="209"/>
        <v>291.30873487096773</v>
      </c>
      <c r="S769" s="27">
        <f t="shared" si="209"/>
        <v>258.54287615936238</v>
      </c>
      <c r="T769" s="27">
        <f t="shared" si="209"/>
        <v>263.48828428227887</v>
      </c>
      <c r="U769" s="27">
        <f t="shared" si="209"/>
        <v>266.13240496870094</v>
      </c>
      <c r="V769" s="27">
        <f t="shared" si="209"/>
        <v>268.167824620305</v>
      </c>
      <c r="W769" s="27">
        <f t="shared" si="209"/>
        <v>271.11276065297989</v>
      </c>
      <c r="X769" s="27">
        <f t="shared" si="209"/>
        <v>273.50273350532916</v>
      </c>
      <c r="Y769" s="27">
        <f t="shared" si="209"/>
        <v>275.0434428761701</v>
      </c>
      <c r="Z769" s="27">
        <f t="shared" si="209"/>
        <v>276.2427698386166</v>
      </c>
      <c r="AA769" s="27">
        <f t="shared" si="209"/>
        <v>276.98609052014405</v>
      </c>
      <c r="AB769" s="27">
        <f t="shared" si="209"/>
        <v>279.18661189122298</v>
      </c>
      <c r="AC769" s="27">
        <f t="shared" si="209"/>
        <v>281.1665497848058</v>
      </c>
      <c r="AD769" s="27">
        <f t="shared" si="209"/>
        <v>281.26866756300677</v>
      </c>
      <c r="AE769" s="27">
        <f t="shared" si="209"/>
        <v>282.59504365460464</v>
      </c>
      <c r="AF769" s="27">
        <f t="shared" si="209"/>
        <v>284.34900184290586</v>
      </c>
      <c r="AG769" s="27">
        <f t="shared" si="209"/>
        <v>287.29372157122594</v>
      </c>
      <c r="AH769" s="27">
        <f t="shared" si="209"/>
        <v>287.76404032367537</v>
      </c>
      <c r="AI769" s="27">
        <f t="shared" si="209"/>
        <v>287.71467047520593</v>
      </c>
      <c r="AJ769" s="27">
        <f t="shared" si="209"/>
        <v>288.14671633341055</v>
      </c>
      <c r="AK769" s="27">
        <f t="shared" si="209"/>
        <v>288.06697275846409</v>
      </c>
      <c r="AL769" s="27">
        <f t="shared" si="209"/>
        <v>288.12798631151645</v>
      </c>
      <c r="AM769" s="27">
        <f t="shared" si="209"/>
        <v>287.98951758734296</v>
      </c>
      <c r="AN769" s="27">
        <f t="shared" si="209"/>
        <v>290.05651761846218</v>
      </c>
      <c r="AO769" s="27">
        <f t="shared" si="209"/>
        <v>291.56864548628482</v>
      </c>
      <c r="AP769" s="27">
        <f t="shared" si="209"/>
        <v>292.99352741505732</v>
      </c>
      <c r="AQ769" s="27">
        <f t="shared" si="209"/>
        <v>294.44018433532034</v>
      </c>
      <c r="AR769" s="27">
        <f t="shared" si="209"/>
        <v>295.93998835163069</v>
      </c>
      <c r="AS769" s="27">
        <f t="shared" si="209"/>
        <v>298.29035331444567</v>
      </c>
      <c r="AT769" s="27">
        <f t="shared" si="209"/>
        <v>297.62835103952062</v>
      </c>
      <c r="AU769" s="27">
        <f t="shared" si="209"/>
        <v>296.63580611642783</v>
      </c>
      <c r="AV769" s="27">
        <f t="shared" si="209"/>
        <v>295.60779878586987</v>
      </c>
      <c r="AW769" s="27">
        <f t="shared" si="209"/>
        <v>294.42132443014248</v>
      </c>
      <c r="AY769" s="79"/>
      <c r="AZ769" s="79"/>
    </row>
    <row r="770" spans="1:52" x14ac:dyDescent="0.2">
      <c r="A770" s="95" t="str">
        <f t="shared" si="176"/>
        <v>BD Cattle</v>
      </c>
      <c r="B770" s="95" t="s">
        <v>1228</v>
      </c>
      <c r="C770" s="95" t="s">
        <v>1108</v>
      </c>
      <c r="D770" t="s">
        <v>15</v>
      </c>
      <c r="E770" t="s">
        <v>16</v>
      </c>
      <c r="F770" t="s">
        <v>67</v>
      </c>
      <c r="G770" t="s">
        <v>135</v>
      </c>
      <c r="H770" t="s">
        <v>1020</v>
      </c>
      <c r="I770" t="s">
        <v>121</v>
      </c>
      <c r="J770" t="s">
        <v>286</v>
      </c>
      <c r="K770" s="27">
        <f t="shared" si="210"/>
        <v>31.891995988947272</v>
      </c>
      <c r="L770" s="27">
        <f t="shared" si="209"/>
        <v>32.967337371253549</v>
      </c>
      <c r="M770" s="27">
        <f t="shared" si="209"/>
        <v>34.243655078433662</v>
      </c>
      <c r="N770" s="27">
        <f t="shared" si="209"/>
        <v>35.19550479761466</v>
      </c>
      <c r="O770" s="27">
        <f t="shared" si="209"/>
        <v>35.929559405213347</v>
      </c>
      <c r="P770" s="27">
        <f t="shared" si="209"/>
        <v>36.435327957872907</v>
      </c>
      <c r="Q770" s="27">
        <f t="shared" si="209"/>
        <v>37.125912791560339</v>
      </c>
      <c r="R770" s="27">
        <f t="shared" si="209"/>
        <v>37.849847328761314</v>
      </c>
      <c r="S770" s="27">
        <f t="shared" si="209"/>
        <v>34.950230908345851</v>
      </c>
      <c r="T770" s="27">
        <f t="shared" si="209"/>
        <v>36.476910772812936</v>
      </c>
      <c r="U770" s="27">
        <f t="shared" si="209"/>
        <v>37.718415782773874</v>
      </c>
      <c r="V770" s="27">
        <f t="shared" si="209"/>
        <v>38.898527693020689</v>
      </c>
      <c r="W770" s="27">
        <f t="shared" si="209"/>
        <v>40.237414938049668</v>
      </c>
      <c r="X770" s="27">
        <f t="shared" si="209"/>
        <v>41.522938460049829</v>
      </c>
      <c r="Y770" s="27">
        <f t="shared" si="209"/>
        <v>42.70469493542484</v>
      </c>
      <c r="Z770" s="27">
        <f t="shared" si="209"/>
        <v>43.855385473884439</v>
      </c>
      <c r="AA770" s="27">
        <f t="shared" si="209"/>
        <v>44.953640059313827</v>
      </c>
      <c r="AB770" s="27">
        <f t="shared" si="209"/>
        <v>46.312733612534437</v>
      </c>
      <c r="AC770" s="27">
        <f t="shared" si="209"/>
        <v>47.664904346752849</v>
      </c>
      <c r="AD770" s="27">
        <f t="shared" si="209"/>
        <v>49.26348738030724</v>
      </c>
      <c r="AE770" s="27">
        <f t="shared" si="209"/>
        <v>51.140360226431802</v>
      </c>
      <c r="AF770" s="27">
        <f t="shared" si="209"/>
        <v>53.171885770114415</v>
      </c>
      <c r="AG770" s="27">
        <f t="shared" si="209"/>
        <v>55.517780672546301</v>
      </c>
      <c r="AH770" s="27">
        <f t="shared" si="209"/>
        <v>57.473989711823819</v>
      </c>
      <c r="AI770" s="27">
        <f t="shared" si="209"/>
        <v>59.400170539570745</v>
      </c>
      <c r="AJ770" s="27">
        <f t="shared" si="209"/>
        <v>61.503665035599717</v>
      </c>
      <c r="AK770" s="27">
        <f t="shared" si="209"/>
        <v>63.580224043815704</v>
      </c>
      <c r="AL770" s="27">
        <f t="shared" si="209"/>
        <v>65.772430820326704</v>
      </c>
      <c r="AM770" s="27">
        <f t="shared" si="209"/>
        <v>68.008427307564773</v>
      </c>
      <c r="AN770" s="27">
        <f t="shared" si="209"/>
        <v>70.429193427330858</v>
      </c>
      <c r="AO770" s="27">
        <f t="shared" si="209"/>
        <v>72.800797343140431</v>
      </c>
      <c r="AP770" s="27">
        <f t="shared" si="209"/>
        <v>75.235904333723141</v>
      </c>
      <c r="AQ770" s="27">
        <f t="shared" si="209"/>
        <v>77.76567884273372</v>
      </c>
      <c r="AR770" s="27">
        <f t="shared" si="209"/>
        <v>80.403638096331917</v>
      </c>
      <c r="AS770" s="27">
        <f t="shared" si="209"/>
        <v>83.378734093878791</v>
      </c>
      <c r="AT770" s="27">
        <f t="shared" si="209"/>
        <v>85.605736773857444</v>
      </c>
      <c r="AU770" s="27">
        <f t="shared" si="209"/>
        <v>87.808938398132668</v>
      </c>
      <c r="AV770" s="27">
        <f t="shared" si="209"/>
        <v>90.073595848724253</v>
      </c>
      <c r="AW770" s="27">
        <f t="shared" si="209"/>
        <v>92.36408305346545</v>
      </c>
      <c r="AY770" s="79"/>
      <c r="AZ770" s="79"/>
    </row>
    <row r="771" spans="1:52" x14ac:dyDescent="0.2">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135.26278530113291</v>
      </c>
      <c r="T771" s="27">
        <f t="shared" si="209"/>
        <v>135.46877954348926</v>
      </c>
      <c r="U771" s="27">
        <f t="shared" si="209"/>
        <v>135.70160233543365</v>
      </c>
      <c r="V771" s="27">
        <f t="shared" si="209"/>
        <v>135.96424702879582</v>
      </c>
      <c r="W771" s="27">
        <f t="shared" si="209"/>
        <v>136.25970300255619</v>
      </c>
      <c r="X771" s="27">
        <f t="shared" si="209"/>
        <v>136.58180937371023</v>
      </c>
      <c r="Y771" s="27">
        <f t="shared" si="209"/>
        <v>136.77771182752844</v>
      </c>
      <c r="Z771" s="27">
        <f t="shared" si="209"/>
        <v>136.99652360229675</v>
      </c>
      <c r="AA771" s="27">
        <f t="shared" si="209"/>
        <v>137.23663958086595</v>
      </c>
      <c r="AB771" s="27">
        <f t="shared" si="209"/>
        <v>137.50349615818331</v>
      </c>
      <c r="AC771" s="27">
        <f t="shared" si="209"/>
        <v>137.79053665720062</v>
      </c>
      <c r="AD771" s="27">
        <f t="shared" si="209"/>
        <v>137.97809778631554</v>
      </c>
      <c r="AE771" s="27">
        <f t="shared" si="209"/>
        <v>138.18863599200537</v>
      </c>
      <c r="AF771" s="27">
        <f t="shared" si="209"/>
        <v>138.41878788829575</v>
      </c>
      <c r="AG771" s="27">
        <f t="shared" si="209"/>
        <v>138.67094365352415</v>
      </c>
      <c r="AH771" s="27">
        <f t="shared" si="209"/>
        <v>138.93056254849651</v>
      </c>
      <c r="AI771" s="27">
        <f t="shared" si="209"/>
        <v>139.08967652077243</v>
      </c>
      <c r="AJ771" s="27">
        <f t="shared" si="209"/>
        <v>139.2654495830931</v>
      </c>
      <c r="AK771" s="27">
        <f t="shared" si="209"/>
        <v>139.4534011320402</v>
      </c>
      <c r="AL771" s="27">
        <f t="shared" si="209"/>
        <v>139.65576726304948</v>
      </c>
      <c r="AM771" s="27">
        <f t="shared" si="209"/>
        <v>139.87071929457153</v>
      </c>
      <c r="AN771" s="27">
        <f t="shared" si="209"/>
        <v>139.99537394141325</v>
      </c>
      <c r="AO771" s="27">
        <f t="shared" si="209"/>
        <v>140.12945613123219</v>
      </c>
      <c r="AP771" s="27">
        <f t="shared" si="209"/>
        <v>140.27467944669363</v>
      </c>
      <c r="AQ771" s="27">
        <f t="shared" si="209"/>
        <v>140.43124436652656</v>
      </c>
      <c r="AR771" s="27">
        <f t="shared" si="209"/>
        <v>140.59904144364654</v>
      </c>
      <c r="AS771" s="27">
        <f t="shared" si="209"/>
        <v>140.67407193187856</v>
      </c>
      <c r="AT771" s="27">
        <f t="shared" si="209"/>
        <v>140.74390740905804</v>
      </c>
      <c r="AU771" s="27">
        <f t="shared" si="209"/>
        <v>140.82132713333769</v>
      </c>
      <c r="AV771" s="27">
        <f t="shared" si="209"/>
        <v>140.90757206763405</v>
      </c>
      <c r="AW771" s="27">
        <f t="shared" si="209"/>
        <v>141.00175438081712</v>
      </c>
      <c r="AY771" s="79"/>
      <c r="AZ771" s="79"/>
    </row>
    <row r="772" spans="1:52" x14ac:dyDescent="0.2">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14.658944228555331</v>
      </c>
      <c r="T772" s="27">
        <f t="shared" si="211"/>
        <v>14.681268610708063</v>
      </c>
      <c r="U772" s="27">
        <f t="shared" si="211"/>
        <v>14.706500505161891</v>
      </c>
      <c r="V772" s="27">
        <f t="shared" si="211"/>
        <v>14.734964312877745</v>
      </c>
      <c r="W772" s="27">
        <f t="shared" si="211"/>
        <v>14.766984004263698</v>
      </c>
      <c r="X772" s="27">
        <f t="shared" si="211"/>
        <v>14.801891900917591</v>
      </c>
      <c r="Y772" s="27">
        <f t="shared" si="211"/>
        <v>14.823122597434484</v>
      </c>
      <c r="Z772" s="27">
        <f t="shared" si="211"/>
        <v>14.846836064488549</v>
      </c>
      <c r="AA772" s="27">
        <f t="shared" si="211"/>
        <v>14.872858349408936</v>
      </c>
      <c r="AB772" s="27">
        <f t="shared" si="211"/>
        <v>14.901778615062266</v>
      </c>
      <c r="AC772" s="27">
        <f t="shared" si="211"/>
        <v>14.932886289335453</v>
      </c>
      <c r="AD772" s="27">
        <f t="shared" si="211"/>
        <v>14.953213004662359</v>
      </c>
      <c r="AE772" s="27">
        <f t="shared" si="211"/>
        <v>14.976029833462063</v>
      </c>
      <c r="AF772" s="27">
        <f t="shared" si="211"/>
        <v>15.000972272761286</v>
      </c>
      <c r="AG772" s="27">
        <f t="shared" si="211"/>
        <v>15.02829935530777</v>
      </c>
      <c r="AH772" s="27">
        <f t="shared" si="211"/>
        <v>15.056435245705167</v>
      </c>
      <c r="AI772" s="27">
        <f t="shared" si="211"/>
        <v>15.073679034086307</v>
      </c>
      <c r="AJ772" s="27">
        <f t="shared" si="211"/>
        <v>15.092728231629481</v>
      </c>
      <c r="AK772" s="27">
        <f t="shared" si="211"/>
        <v>15.11309725824351</v>
      </c>
      <c r="AL772" s="27">
        <f t="shared" si="211"/>
        <v>15.135028448124075</v>
      </c>
      <c r="AM772" s="27">
        <f t="shared" si="211"/>
        <v>15.158323620073121</v>
      </c>
      <c r="AN772" s="27">
        <f t="shared" si="211"/>
        <v>15.171832919854392</v>
      </c>
      <c r="AO772" s="27">
        <f t="shared" si="211"/>
        <v>15.186363918445194</v>
      </c>
      <c r="AP772" s="27">
        <f t="shared" si="211"/>
        <v>15.202102323338273</v>
      </c>
      <c r="AQ772" s="27">
        <f t="shared" si="211"/>
        <v>15.219069861178557</v>
      </c>
      <c r="AR772" s="27">
        <f t="shared" si="211"/>
        <v>15.237254670767834</v>
      </c>
      <c r="AS772" s="27">
        <f t="shared" si="211"/>
        <v>15.245386011106461</v>
      </c>
      <c r="AT772" s="27">
        <f t="shared" si="211"/>
        <v>15.252954348272294</v>
      </c>
      <c r="AU772" s="27">
        <f t="shared" si="211"/>
        <v>15.261344619239132</v>
      </c>
      <c r="AV772" s="27">
        <f t="shared" si="211"/>
        <v>15.270691311893962</v>
      </c>
      <c r="AW772" s="27">
        <f t="shared" si="211"/>
        <v>15.280898208589107</v>
      </c>
      <c r="AY772" s="79"/>
      <c r="AZ772" s="79"/>
    </row>
    <row r="773" spans="1:52" x14ac:dyDescent="0.2">
      <c r="A773" s="95" t="str">
        <f t="shared" si="176"/>
        <v>BD Goats</v>
      </c>
      <c r="B773" s="95" t="s">
        <v>1228</v>
      </c>
      <c r="C773" s="95" t="s">
        <v>153</v>
      </c>
      <c r="D773" t="s">
        <v>15</v>
      </c>
      <c r="E773" t="s">
        <v>16</v>
      </c>
      <c r="F773" t="s">
        <v>19</v>
      </c>
      <c r="G773" t="s">
        <v>122</v>
      </c>
      <c r="H773" t="s">
        <v>1020</v>
      </c>
      <c r="I773" t="s">
        <v>121</v>
      </c>
      <c r="J773" t="s">
        <v>286</v>
      </c>
      <c r="K773" s="27">
        <f t="shared" si="210"/>
        <v>15.123414197798356</v>
      </c>
      <c r="L773" s="27">
        <f t="shared" si="211"/>
        <v>15.162727774721576</v>
      </c>
      <c r="M773" s="27">
        <f t="shared" si="211"/>
        <v>15.216959464794312</v>
      </c>
      <c r="N773" s="27">
        <f t="shared" si="211"/>
        <v>15.283027985940226</v>
      </c>
      <c r="O773" s="27">
        <f t="shared" si="211"/>
        <v>15.360839106953575</v>
      </c>
      <c r="P773" s="27">
        <f t="shared" si="211"/>
        <v>15.449919228540612</v>
      </c>
      <c r="Q773" s="27">
        <f t="shared" si="211"/>
        <v>15.545788610572219</v>
      </c>
      <c r="R773" s="27">
        <f t="shared" si="211"/>
        <v>15.648067752449878</v>
      </c>
      <c r="S773" s="27">
        <f t="shared" si="211"/>
        <v>15.742031713029512</v>
      </c>
      <c r="T773" s="27">
        <f t="shared" si="211"/>
        <v>15.78777493593066</v>
      </c>
      <c r="U773" s="27">
        <f t="shared" si="211"/>
        <v>15.836941189877804</v>
      </c>
      <c r="V773" s="27">
        <f t="shared" si="211"/>
        <v>15.890131734595759</v>
      </c>
      <c r="W773" s="27">
        <f t="shared" si="211"/>
        <v>15.947930587680338</v>
      </c>
      <c r="X773" s="27">
        <f t="shared" si="211"/>
        <v>16.009309310979074</v>
      </c>
      <c r="Y773" s="27">
        <f t="shared" si="211"/>
        <v>16.047680700733103</v>
      </c>
      <c r="Z773" s="27">
        <f t="shared" si="211"/>
        <v>16.089188383327485</v>
      </c>
      <c r="AA773" s="27">
        <f t="shared" si="211"/>
        <v>16.133588234011135</v>
      </c>
      <c r="AB773" s="27">
        <f t="shared" si="211"/>
        <v>16.181852398556252</v>
      </c>
      <c r="AC773" s="27">
        <f t="shared" si="211"/>
        <v>16.232869062741507</v>
      </c>
      <c r="AD773" s="27">
        <f t="shared" si="211"/>
        <v>16.26603536262477</v>
      </c>
      <c r="AE773" s="27">
        <f t="shared" si="211"/>
        <v>16.302563680867436</v>
      </c>
      <c r="AF773" s="27">
        <f t="shared" si="211"/>
        <v>16.341889153829143</v>
      </c>
      <c r="AG773" s="27">
        <f t="shared" si="211"/>
        <v>16.384434985595004</v>
      </c>
      <c r="AH773" s="27">
        <f t="shared" si="211"/>
        <v>16.427723661614785</v>
      </c>
      <c r="AI773" s="27">
        <f t="shared" si="211"/>
        <v>16.453347878804561</v>
      </c>
      <c r="AJ773" s="27">
        <f t="shared" si="211"/>
        <v>16.481391601385443</v>
      </c>
      <c r="AK773" s="27">
        <f t="shared" si="211"/>
        <v>16.511100045266552</v>
      </c>
      <c r="AL773" s="27">
        <f t="shared" si="211"/>
        <v>16.542862813406586</v>
      </c>
      <c r="AM773" s="27">
        <f t="shared" si="211"/>
        <v>16.576376781233034</v>
      </c>
      <c r="AN773" s="27">
        <f t="shared" si="211"/>
        <v>16.594247346579589</v>
      </c>
      <c r="AO773" s="27">
        <f t="shared" si="211"/>
        <v>16.613410035363255</v>
      </c>
      <c r="AP773" s="27">
        <f t="shared" si="211"/>
        <v>16.634160462915251</v>
      </c>
      <c r="AQ773" s="27">
        <f t="shared" si="211"/>
        <v>16.656536848310051</v>
      </c>
      <c r="AR773" s="27">
        <f t="shared" si="211"/>
        <v>16.680524418707119</v>
      </c>
      <c r="AS773" s="27">
        <f t="shared" si="211"/>
        <v>16.68868442435787</v>
      </c>
      <c r="AT773" s="27">
        <f t="shared" si="211"/>
        <v>16.695767676813599</v>
      </c>
      <c r="AU773" s="27">
        <f t="shared" si="211"/>
        <v>16.703924626566948</v>
      </c>
      <c r="AV773" s="27">
        <f t="shared" si="211"/>
        <v>16.713365572192938</v>
      </c>
      <c r="AW773" s="27">
        <f t="shared" si="211"/>
        <v>16.723944327870726</v>
      </c>
      <c r="AY773" s="79"/>
      <c r="AZ773" s="79"/>
    </row>
    <row r="774" spans="1:52" x14ac:dyDescent="0.2">
      <c r="A774" s="95" t="str">
        <f t="shared" si="176"/>
        <v>BD Goats</v>
      </c>
      <c r="B774" s="95" t="s">
        <v>1228</v>
      </c>
      <c r="C774" s="95" t="s">
        <v>153</v>
      </c>
      <c r="D774" t="s">
        <v>15</v>
      </c>
      <c r="E774" t="s">
        <v>16</v>
      </c>
      <c r="F774" t="s">
        <v>19</v>
      </c>
      <c r="G774" t="s">
        <v>123</v>
      </c>
      <c r="H774" t="s">
        <v>1020</v>
      </c>
      <c r="I774" t="s">
        <v>121</v>
      </c>
      <c r="J774" t="s">
        <v>286</v>
      </c>
      <c r="K774" s="27">
        <f t="shared" si="210"/>
        <v>22.381101687842737</v>
      </c>
      <c r="L774" s="27">
        <f t="shared" si="211"/>
        <v>22.439281748993185</v>
      </c>
      <c r="M774" s="27">
        <f t="shared" si="211"/>
        <v>22.519539087339325</v>
      </c>
      <c r="N774" s="27">
        <f t="shared" si="211"/>
        <v>22.617313721478972</v>
      </c>
      <c r="O774" s="27">
        <f t="shared" si="211"/>
        <v>22.73246619889365</v>
      </c>
      <c r="P774" s="27">
        <f t="shared" si="211"/>
        <v>22.864295641209328</v>
      </c>
      <c r="Q774" s="27">
        <f t="shared" si="211"/>
        <v>23.006172492556328</v>
      </c>
      <c r="R774" s="27">
        <f t="shared" si="211"/>
        <v>23.157535130977113</v>
      </c>
      <c r="S774" s="27">
        <f t="shared" si="211"/>
        <v>23.296592154028918</v>
      </c>
      <c r="T774" s="27">
        <f t="shared" si="211"/>
        <v>23.36428743168846</v>
      </c>
      <c r="U774" s="27">
        <f t="shared" si="211"/>
        <v>23.437048444169463</v>
      </c>
      <c r="V774" s="27">
        <f t="shared" si="211"/>
        <v>23.51576499418881</v>
      </c>
      <c r="W774" s="27">
        <f t="shared" si="211"/>
        <v>23.601301367881135</v>
      </c>
      <c r="X774" s="27">
        <f t="shared" si="211"/>
        <v>23.692135582275586</v>
      </c>
      <c r="Y774" s="27">
        <f t="shared" si="211"/>
        <v>23.748921303063014</v>
      </c>
      <c r="Z774" s="27">
        <f t="shared" si="211"/>
        <v>23.810348415540492</v>
      </c>
      <c r="AA774" s="27">
        <f t="shared" si="211"/>
        <v>23.876055640118153</v>
      </c>
      <c r="AB774" s="27">
        <f t="shared" si="211"/>
        <v>23.947481652818404</v>
      </c>
      <c r="AC774" s="27">
        <f t="shared" si="211"/>
        <v>24.022981082641</v>
      </c>
      <c r="AD774" s="27">
        <f t="shared" si="211"/>
        <v>24.072063804345781</v>
      </c>
      <c r="AE774" s="27">
        <f t="shared" si="211"/>
        <v>24.126121968354415</v>
      </c>
      <c r="AF774" s="27">
        <f t="shared" si="211"/>
        <v>24.184319634421552</v>
      </c>
      <c r="AG774" s="27">
        <f t="shared" si="211"/>
        <v>24.247283101181864</v>
      </c>
      <c r="AH774" s="27">
        <f t="shared" si="211"/>
        <v>24.311345901238735</v>
      </c>
      <c r="AI774" s="27">
        <f t="shared" si="211"/>
        <v>24.34926711420659</v>
      </c>
      <c r="AJ774" s="27">
        <f t="shared" si="211"/>
        <v>24.390768946966002</v>
      </c>
      <c r="AK774" s="27">
        <f t="shared" si="211"/>
        <v>24.434734396486487</v>
      </c>
      <c r="AL774" s="27">
        <f t="shared" si="211"/>
        <v>24.481740035182341</v>
      </c>
      <c r="AM774" s="27">
        <f t="shared" si="211"/>
        <v>24.531337269780067</v>
      </c>
      <c r="AN774" s="27">
        <f t="shared" si="211"/>
        <v>24.557783873371651</v>
      </c>
      <c r="AO774" s="27">
        <f t="shared" si="211"/>
        <v>24.586142687107124</v>
      </c>
      <c r="AP774" s="27">
        <f t="shared" si="211"/>
        <v>24.616851191353145</v>
      </c>
      <c r="AQ774" s="27">
        <f t="shared" si="211"/>
        <v>24.649965946419517</v>
      </c>
      <c r="AR774" s="27">
        <f t="shared" si="211"/>
        <v>24.685465090017612</v>
      </c>
      <c r="AS774" s="27">
        <f t="shared" si="211"/>
        <v>24.697541061346186</v>
      </c>
      <c r="AT774" s="27">
        <f t="shared" si="211"/>
        <v>24.708023548396984</v>
      </c>
      <c r="AU774" s="27">
        <f t="shared" si="211"/>
        <v>24.720094997310881</v>
      </c>
      <c r="AV774" s="27">
        <f t="shared" si="211"/>
        <v>24.734066628406943</v>
      </c>
      <c r="AW774" s="27">
        <f t="shared" si="211"/>
        <v>24.749722101665743</v>
      </c>
      <c r="AY774" s="79"/>
      <c r="AZ774" s="79"/>
    </row>
    <row r="775" spans="1:52" x14ac:dyDescent="0.2">
      <c r="A775" s="95" t="str">
        <f t="shared" si="176"/>
        <v>BD Horses</v>
      </c>
      <c r="B775" s="95" t="s">
        <v>1228</v>
      </c>
      <c r="C775" s="95" t="s">
        <v>3</v>
      </c>
      <c r="D775" t="s">
        <v>15</v>
      </c>
      <c r="E775" t="s">
        <v>16</v>
      </c>
      <c r="F775" t="s">
        <v>20</v>
      </c>
      <c r="G775" t="s">
        <v>3</v>
      </c>
      <c r="H775" t="s">
        <v>1020</v>
      </c>
      <c r="I775" t="s">
        <v>121</v>
      </c>
      <c r="J775" t="s">
        <v>286</v>
      </c>
      <c r="K775" s="27">
        <f t="shared" si="210"/>
        <v>5.5526214800767892</v>
      </c>
      <c r="L775" s="27">
        <f t="shared" si="211"/>
        <v>5.579523571019652</v>
      </c>
      <c r="M775" s="27">
        <f t="shared" si="211"/>
        <v>5.6203482259438022</v>
      </c>
      <c r="N775" s="27">
        <f t="shared" si="211"/>
        <v>5.629075655008374</v>
      </c>
      <c r="O775" s="27">
        <f t="shared" si="211"/>
        <v>5.6165815405282284</v>
      </c>
      <c r="P775" s="27">
        <f t="shared" si="211"/>
        <v>5.5833231296706103</v>
      </c>
      <c r="Q775" s="27">
        <f t="shared" si="211"/>
        <v>5.5648827699457346</v>
      </c>
      <c r="R775" s="27">
        <f t="shared" si="211"/>
        <v>5.5483103177944013</v>
      </c>
      <c r="S775" s="27">
        <f t="shared" si="211"/>
        <v>5.2545848231765602</v>
      </c>
      <c r="T775" s="27">
        <f t="shared" si="211"/>
        <v>5.3277448648735932</v>
      </c>
      <c r="U775" s="27">
        <f t="shared" si="211"/>
        <v>5.3771318788227438</v>
      </c>
      <c r="V775" s="27">
        <f t="shared" si="211"/>
        <v>5.4200550937003218</v>
      </c>
      <c r="W775" s="27">
        <f t="shared" si="211"/>
        <v>5.4726184084270573</v>
      </c>
      <c r="X775" s="27">
        <f t="shared" si="211"/>
        <v>5.5193093093258572</v>
      </c>
      <c r="Y775" s="27">
        <f t="shared" si="211"/>
        <v>5.5623143429133499</v>
      </c>
      <c r="Z775" s="27">
        <f t="shared" si="211"/>
        <v>5.6016190467987945</v>
      </c>
      <c r="AA775" s="27">
        <f t="shared" si="211"/>
        <v>5.6358734850599594</v>
      </c>
      <c r="AB775" s="27">
        <f t="shared" si="211"/>
        <v>5.6864221774832213</v>
      </c>
      <c r="AC775" s="27">
        <f t="shared" si="211"/>
        <v>5.734761216152096</v>
      </c>
      <c r="AD775" s="27">
        <f t="shared" si="211"/>
        <v>5.7937893665421401</v>
      </c>
      <c r="AE775" s="27">
        <f t="shared" si="211"/>
        <v>5.868728906856421</v>
      </c>
      <c r="AF775" s="27">
        <f t="shared" si="211"/>
        <v>5.95097387412393</v>
      </c>
      <c r="AG775" s="27">
        <f t="shared" si="211"/>
        <v>6.0502809540907023</v>
      </c>
      <c r="AH775" s="27">
        <f t="shared" si="211"/>
        <v>6.1220107529838179</v>
      </c>
      <c r="AI775" s="27">
        <f t="shared" si="211"/>
        <v>6.1941308642978408</v>
      </c>
      <c r="AJ775" s="27">
        <f t="shared" si="211"/>
        <v>6.2747694866131836</v>
      </c>
      <c r="AK775" s="27">
        <f t="shared" si="211"/>
        <v>6.3513096084096698</v>
      </c>
      <c r="AL775" s="27">
        <f t="shared" si="211"/>
        <v>6.4323283925814563</v>
      </c>
      <c r="AM775" s="27">
        <f t="shared" si="211"/>
        <v>6.5134158744418782</v>
      </c>
      <c r="AN775" s="27">
        <f t="shared" si="211"/>
        <v>6.6126163316975539</v>
      </c>
      <c r="AO775" s="27">
        <f t="shared" si="211"/>
        <v>6.7066735285892829</v>
      </c>
      <c r="AP775" s="27">
        <f t="shared" si="211"/>
        <v>6.8021224333407027</v>
      </c>
      <c r="AQ775" s="27">
        <f t="shared" si="211"/>
        <v>6.9006513009384864</v>
      </c>
      <c r="AR775" s="27">
        <f t="shared" si="211"/>
        <v>7.0028965831984893</v>
      </c>
      <c r="AS775" s="27">
        <f t="shared" si="211"/>
        <v>7.1267607896665828</v>
      </c>
      <c r="AT775" s="27">
        <f t="shared" si="211"/>
        <v>7.2071584727038323</v>
      </c>
      <c r="AU775" s="27">
        <f t="shared" si="211"/>
        <v>7.2845566532149562</v>
      </c>
      <c r="AV775" s="27">
        <f t="shared" si="211"/>
        <v>7.3636089922437549</v>
      </c>
      <c r="AW775" s="27">
        <f t="shared" si="211"/>
        <v>7.4423534956754249</v>
      </c>
      <c r="AY775" s="79"/>
      <c r="AZ775" s="79"/>
    </row>
    <row r="776" spans="1:52" x14ac:dyDescent="0.2">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2">
      <c r="A777" s="95" t="str">
        <f t="shared" si="176"/>
        <v>BD Swine</v>
      </c>
      <c r="B777" s="95" t="s">
        <v>1228</v>
      </c>
      <c r="C777" s="95" t="s">
        <v>155</v>
      </c>
      <c r="D777" t="s">
        <v>15</v>
      </c>
      <c r="E777" t="s">
        <v>16</v>
      </c>
      <c r="F777" t="s">
        <v>21</v>
      </c>
      <c r="G777" t="s">
        <v>122</v>
      </c>
      <c r="H777" t="s">
        <v>1020</v>
      </c>
      <c r="I777" t="s">
        <v>121</v>
      </c>
      <c r="J777" t="s">
        <v>286</v>
      </c>
      <c r="K777" s="27">
        <f t="shared" si="210"/>
        <v>1.8400999552016304</v>
      </c>
      <c r="L777" s="27">
        <f t="shared" si="211"/>
        <v>1.8300977880312255</v>
      </c>
      <c r="M777" s="27">
        <f t="shared" si="211"/>
        <v>1.8309187348828158</v>
      </c>
      <c r="N777" s="27">
        <f t="shared" si="211"/>
        <v>1.8141094978660448</v>
      </c>
      <c r="O777" s="27">
        <f t="shared" si="211"/>
        <v>1.7866561368117302</v>
      </c>
      <c r="P777" s="27">
        <f t="shared" si="211"/>
        <v>1.7489975228040084</v>
      </c>
      <c r="Q777" s="27">
        <f t="shared" si="211"/>
        <v>1.7216531928010095</v>
      </c>
      <c r="R777" s="27">
        <f t="shared" si="211"/>
        <v>1.6967284692901876</v>
      </c>
      <c r="S777" s="27">
        <f t="shared" si="211"/>
        <v>1.5117747469441463</v>
      </c>
      <c r="T777" s="27">
        <f t="shared" si="211"/>
        <v>1.5353784458928466</v>
      </c>
      <c r="U777" s="27">
        <f t="shared" si="211"/>
        <v>1.5454031535928081</v>
      </c>
      <c r="V777" s="27">
        <f t="shared" si="211"/>
        <v>1.5520051748391652</v>
      </c>
      <c r="W777" s="27">
        <f t="shared" si="211"/>
        <v>1.564229983889788</v>
      </c>
      <c r="X777" s="27">
        <f t="shared" si="211"/>
        <v>1.5733351038653358</v>
      </c>
      <c r="Y777" s="27">
        <f t="shared" si="211"/>
        <v>1.5781110770621192</v>
      </c>
      <c r="Z777" s="27">
        <f t="shared" si="211"/>
        <v>1.5810372890528743</v>
      </c>
      <c r="AA777" s="27">
        <f t="shared" si="211"/>
        <v>1.5814342334658642</v>
      </c>
      <c r="AB777" s="27">
        <f t="shared" si="211"/>
        <v>1.5906175911874081</v>
      </c>
      <c r="AC777" s="27">
        <f t="shared" si="211"/>
        <v>1.598639197477874</v>
      </c>
      <c r="AD777" s="27">
        <f t="shared" si="211"/>
        <v>1.6101808279098371</v>
      </c>
      <c r="AE777" s="27">
        <f t="shared" si="211"/>
        <v>1.6296768229523677</v>
      </c>
      <c r="AF777" s="27">
        <f t="shared" si="211"/>
        <v>1.6525077177354268</v>
      </c>
      <c r="AG777" s="27">
        <f t="shared" si="211"/>
        <v>1.6834189005947389</v>
      </c>
      <c r="AH777" s="27">
        <f t="shared" si="211"/>
        <v>1.7001060999840301</v>
      </c>
      <c r="AI777" s="27">
        <f t="shared" si="211"/>
        <v>1.714680678931171</v>
      </c>
      <c r="AJ777" s="27">
        <f t="shared" si="211"/>
        <v>1.7329967482102966</v>
      </c>
      <c r="AK777" s="27">
        <f t="shared" si="211"/>
        <v>1.7488990397133231</v>
      </c>
      <c r="AL777" s="27">
        <f t="shared" si="211"/>
        <v>1.7664947607476369</v>
      </c>
      <c r="AM777" s="27">
        <f t="shared" si="211"/>
        <v>1.7836580054040596</v>
      </c>
      <c r="AN777" s="27">
        <f t="shared" si="211"/>
        <v>1.8067654920152938</v>
      </c>
      <c r="AO777" s="27">
        <f t="shared" si="211"/>
        <v>1.8268312610518465</v>
      </c>
      <c r="AP777" s="27">
        <f t="shared" si="211"/>
        <v>1.8468791974694727</v>
      </c>
      <c r="AQ777" s="27">
        <f t="shared" si="211"/>
        <v>1.8676391522371276</v>
      </c>
      <c r="AR777" s="27">
        <f t="shared" si="211"/>
        <v>1.8893444874946981</v>
      </c>
      <c r="AS777" s="27">
        <f t="shared" si="211"/>
        <v>1.9176308190810374</v>
      </c>
      <c r="AT777" s="27">
        <f t="shared" si="211"/>
        <v>1.9263908565050327</v>
      </c>
      <c r="AU777" s="27">
        <f t="shared" si="211"/>
        <v>1.9333876275197814</v>
      </c>
      <c r="AV777" s="27">
        <f t="shared" si="211"/>
        <v>1.9406033255753634</v>
      </c>
      <c r="AW777" s="27">
        <f t="shared" si="211"/>
        <v>1.947207220691618</v>
      </c>
      <c r="AY777" s="79"/>
      <c r="AZ777" s="79"/>
    </row>
    <row r="778" spans="1:52" x14ac:dyDescent="0.2">
      <c r="A778" s="95" t="str">
        <f t="shared" si="176"/>
        <v>BD Swine</v>
      </c>
      <c r="B778" s="95" t="s">
        <v>1228</v>
      </c>
      <c r="C778" s="95" t="s">
        <v>155</v>
      </c>
      <c r="D778" t="s">
        <v>15</v>
      </c>
      <c r="E778" t="s">
        <v>16</v>
      </c>
      <c r="F778" t="s">
        <v>21</v>
      </c>
      <c r="G778" t="s">
        <v>123</v>
      </c>
      <c r="H778" t="s">
        <v>1020</v>
      </c>
      <c r="I778" t="s">
        <v>121</v>
      </c>
      <c r="J778" t="s">
        <v>286</v>
      </c>
      <c r="K778" s="27">
        <f t="shared" si="210"/>
        <v>0.25496723934882609</v>
      </c>
      <c r="L778" s="27">
        <f t="shared" si="211"/>
        <v>0.25358132281546897</v>
      </c>
      <c r="M778" s="27">
        <f t="shared" si="211"/>
        <v>0.25369507454499346</v>
      </c>
      <c r="N778" s="27">
        <f t="shared" si="211"/>
        <v>0.25136595935447842</v>
      </c>
      <c r="O778" s="27">
        <f t="shared" si="211"/>
        <v>0.24756197704412711</v>
      </c>
      <c r="P778" s="27">
        <f t="shared" si="211"/>
        <v>0.2423439383043785</v>
      </c>
      <c r="Q778" s="27">
        <f t="shared" si="211"/>
        <v>0.23855506351363703</v>
      </c>
      <c r="R778" s="27">
        <f t="shared" si="211"/>
        <v>0.23510145332951488</v>
      </c>
      <c r="S778" s="27">
        <f t="shared" si="211"/>
        <v>0.20947396507239346</v>
      </c>
      <c r="T778" s="27">
        <f t="shared" si="211"/>
        <v>0.21274453194695842</v>
      </c>
      <c r="U778" s="27">
        <f t="shared" si="211"/>
        <v>0.21413357173271183</v>
      </c>
      <c r="V778" s="27">
        <f t="shared" si="211"/>
        <v>0.21504835852271614</v>
      </c>
      <c r="W778" s="27">
        <f t="shared" si="211"/>
        <v>0.21674224792605687</v>
      </c>
      <c r="X778" s="27">
        <f t="shared" si="211"/>
        <v>0.21800386814268849</v>
      </c>
      <c r="Y778" s="27">
        <f t="shared" si="211"/>
        <v>0.21866563474821746</v>
      </c>
      <c r="Z778" s="27">
        <f t="shared" si="211"/>
        <v>0.21907109543578676</v>
      </c>
      <c r="AA778" s="27">
        <f t="shared" si="211"/>
        <v>0.21912609669855451</v>
      </c>
      <c r="AB778" s="27">
        <f t="shared" si="211"/>
        <v>0.22039855766438188</v>
      </c>
      <c r="AC778" s="27">
        <f t="shared" si="211"/>
        <v>0.22151004446445585</v>
      </c>
      <c r="AD778" s="27">
        <f t="shared" si="211"/>
        <v>0.22310927152845497</v>
      </c>
      <c r="AE778" s="27">
        <f t="shared" si="211"/>
        <v>0.22581066827611573</v>
      </c>
      <c r="AF778" s="27">
        <f t="shared" si="211"/>
        <v>0.22897415414993735</v>
      </c>
      <c r="AG778" s="27">
        <f t="shared" si="211"/>
        <v>0.23325725786741008</v>
      </c>
      <c r="AH778" s="27">
        <f t="shared" si="211"/>
        <v>0.2355694633259906</v>
      </c>
      <c r="AI778" s="27">
        <f t="shared" si="211"/>
        <v>0.23758894066379471</v>
      </c>
      <c r="AJ778" s="27">
        <f t="shared" si="211"/>
        <v>0.24012684498068754</v>
      </c>
      <c r="AK778" s="27">
        <f t="shared" si="211"/>
        <v>0.24233029232733053</v>
      </c>
      <c r="AL778" s="27">
        <f t="shared" si="211"/>
        <v>0.24476838402109372</v>
      </c>
      <c r="AM778" s="27">
        <f t="shared" si="211"/>
        <v>0.2471465510853047</v>
      </c>
      <c r="AN778" s="27">
        <f t="shared" si="211"/>
        <v>0.25034836197220872</v>
      </c>
      <c r="AO778" s="27">
        <f t="shared" si="211"/>
        <v>0.25312870753017624</v>
      </c>
      <c r="AP778" s="27">
        <f t="shared" si="211"/>
        <v>0.25590658217149315</v>
      </c>
      <c r="AQ778" s="27">
        <f t="shared" ref="AQ778:AW778" si="212">AQ1392</f>
        <v>0.25878311523218522</v>
      </c>
      <c r="AR778" s="27">
        <f t="shared" si="212"/>
        <v>0.26179064174949174</v>
      </c>
      <c r="AS778" s="27">
        <f t="shared" si="212"/>
        <v>0.26571004181006297</v>
      </c>
      <c r="AT778" s="27">
        <f t="shared" si="212"/>
        <v>0.26692384682770609</v>
      </c>
      <c r="AU778" s="27">
        <f t="shared" si="212"/>
        <v>0.26789333078695698</v>
      </c>
      <c r="AV778" s="27">
        <f t="shared" si="212"/>
        <v>0.26889314963267008</v>
      </c>
      <c r="AW778" s="27">
        <f t="shared" si="212"/>
        <v>0.26980819606913181</v>
      </c>
      <c r="AY778" s="79"/>
      <c r="AZ778" s="79"/>
    </row>
    <row r="779" spans="1:52" x14ac:dyDescent="0.2">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7.3515566449446608</v>
      </c>
      <c r="L779" s="93">
        <f>IF('Net zero activities &amp; levers'!$C$10="Off",'Activity data'!AE5*EF!$H18*kgtoGg,IF('Net zero activities &amp; levers'!$C$10="On",'Net zero Activity data'!AE5*'Net zero supporting data'!C190*kgtoGg,"ERROR"))</f>
        <v>7.3926556060474695</v>
      </c>
      <c r="M779" s="93">
        <f>IF('Net zero activities &amp; levers'!$C$10="Off",'Activity data'!AF5*EF!$H18*kgtoGg,IF('Net zero activities &amp; levers'!$C$10="On",'Net zero Activity data'!AF5*'Net zero supporting data'!D190*kgtoGg,"ERROR"))</f>
        <v>7.4509679933552357</v>
      </c>
      <c r="N779" s="93">
        <f>IF('Net zero activities &amp; levers'!$C$10="Off",'Activity data'!AG5*EF!$H18*kgtoGg,IF('Net zero activities &amp; levers'!$C$10="On",'Net zero Activity data'!AG5*'Net zero supporting data'!E190*kgtoGg,"ERROR"))</f>
        <v>7.4884399137495778</v>
      </c>
      <c r="O779" s="93">
        <f>IF('Net zero activities &amp; levers'!$C$10="Off",'Activity data'!AH5*EF!$H18*kgtoGg,IF('Net zero activities &amp; levers'!$C$10="On",'Net zero Activity data'!AH5*'Net zero supporting data'!F190*kgtoGg,"ERROR"))</f>
        <v>7.5133401762337781</v>
      </c>
      <c r="P779" s="93">
        <f>IF('Net zero activities &amp; levers'!$C$10="Off",'Activity data'!AI5*EF!$H18*kgtoGg,IF('Net zero activities &amp; levers'!$C$10="On",'Net zero Activity data'!AI5*'Net zero supporting data'!G190*kgtoGg,"ERROR"))</f>
        <v>7.5254237066246787</v>
      </c>
      <c r="Q779" s="93">
        <f>IF('Net zero activities &amp; levers'!$C$10="Off",'Activity data'!AJ5*EF!$H18*kgtoGg,IF('Net zero activities &amp; levers'!$C$10="On",'Net zero Activity data'!AJ5*'Net zero supporting data'!H190*kgtoGg,"ERROR"))</f>
        <v>7.5521207222874409</v>
      </c>
      <c r="R779" s="93">
        <f>IF('Net zero activities &amp; levers'!$C$10="Off",'Activity data'!AK5*EF!$H18*kgtoGg,IF('Net zero activities &amp; levers'!$C$10="On",'Net zero Activity data'!AK5*'Net zero supporting data'!I190*kgtoGg,"ERROR"))</f>
        <v>7.5827466834051176</v>
      </c>
      <c r="S779" s="93">
        <f>IF('Net zero activities &amp; levers'!$C$10="Off",'Activity data'!AL5*EF!$H18*kgtoGg,IF('Net zero activities &amp; levers'!$C$10="On",'Net zero Activity data'!AL5*'Net zero supporting data'!J190*kgtoGg,"ERROR"))</f>
        <v>7.3751673422986102</v>
      </c>
      <c r="T779" s="93">
        <f>IF('Net zero activities &amp; levers'!$C$10="Off",'Activity data'!AM5*EF!$H18*kgtoGg,IF('Net zero activities &amp; levers'!$C$10="On",'Net zero Activity data'!AM5*'Net zero supporting data'!K190*kgtoGg,"ERROR"))</f>
        <v>6.874701967980049</v>
      </c>
      <c r="U779" s="93">
        <f>IF('Net zero activities &amp; levers'!$C$10="Off",'Activity data'!AN5*EF!$H18*kgtoGg,IF('Net zero activities &amp; levers'!$C$10="On",'Net zero Activity data'!AN5*'Net zero supporting data'!L190*kgtoGg,"ERROR"))</f>
        <v>6.3540271831706479</v>
      </c>
      <c r="V779" s="93">
        <f>IF('Net zero activities &amp; levers'!$C$10="Off",'Activity data'!AO5*EF!$H18*kgtoGg,IF('Net zero activities &amp; levers'!$C$10="On",'Net zero Activity data'!AO5*'Net zero supporting data'!M190*kgtoGg,"ERROR"))</f>
        <v>5.8290265658466058</v>
      </c>
      <c r="W779" s="93">
        <f>IF('Net zero activities &amp; levers'!$C$10="Off",'Activity data'!AP5*EF!$H18*kgtoGg,IF('Net zero activities &amp; levers'!$C$10="On",'Net zero Activity data'!AP5*'Net zero supporting data'!N190*kgtoGg,"ERROR"))</f>
        <v>5.3105083221122173</v>
      </c>
      <c r="X779" s="93">
        <f>IF('Net zero activities &amp; levers'!$C$10="Off",'Activity data'!AQ5*EF!$H18*kgtoGg,IF('Net zero activities &amp; levers'!$C$10="On",'Net zero Activity data'!AQ5*'Net zero supporting data'!O190*kgtoGg,"ERROR"))</f>
        <v>4.7878128726658016</v>
      </c>
      <c r="Y779" s="93">
        <f>IF('Net zero activities &amp; levers'!$C$10="Off",'Activity data'!AR5*EF!$H18*kgtoGg,IF('Net zero activities &amp; levers'!$C$10="On",'Net zero Activity data'!AR5*'Net zero supporting data'!P190*kgtoGg,"ERROR"))</f>
        <v>4.2573632327638924</v>
      </c>
      <c r="Z779" s="93">
        <f>IF('Net zero activities &amp; levers'!$C$10="Off",'Activity data'!AS5*EF!$H18*kgtoGg,IF('Net zero activities &amp; levers'!$C$10="On",'Net zero Activity data'!AS5*'Net zero supporting data'!Q190*kgtoGg,"ERROR"))</f>
        <v>3.7264571022890651</v>
      </c>
      <c r="AA779" s="93">
        <f>IF('Net zero activities &amp; levers'!$C$10="Off",'Activity data'!AT5*EF!$H18*kgtoGg,IF('Net zero activities &amp; levers'!$C$10="On",'Net zero Activity data'!AT5*'Net zero supporting data'!R190*kgtoGg,"ERROR"))</f>
        <v>3.1951107755972634</v>
      </c>
      <c r="AB779" s="93">
        <f>IF('Net zero activities &amp; levers'!$C$10="Off",'Activity data'!AU5*EF!$H18*kgtoGg,IF('Net zero activities &amp; levers'!$C$10="On",'Net zero Activity data'!AU5*'Net zero supporting data'!S190*kgtoGg,"ERROR"))</f>
        <v>2.6706144760391379</v>
      </c>
      <c r="AC779" s="93">
        <f>IF('Net zero activities &amp; levers'!$C$10="Off",'Activity data'!AV5*EF!$H18*kgtoGg,IF('Net zero activities &amp; levers'!$C$10="On",'Net zero Activity data'!AV5*'Net zero supporting data'!T190*kgtoGg,"ERROR"))</f>
        <v>2.1453317312465345</v>
      </c>
      <c r="AD779" s="93">
        <f>IF('Net zero activities &amp; levers'!$C$10="Off",'Activity data'!AW5*EF!$H18*kgtoGg,IF('Net zero activities &amp; levers'!$C$10="On",'Net zero Activity data'!AW5*'Net zero supporting data'!U190*kgtoGg,"ERROR"))</f>
        <v>2.0290148319573116</v>
      </c>
      <c r="AE779" s="93">
        <f>IF('Net zero activities &amp; levers'!$C$10="Off",'Activity data'!AX5*EF!$H18*kgtoGg,IF('Net zero activities &amp; levers'!$C$10="On",'Net zero Activity data'!AX5*'Net zero supporting data'!V190*kgtoGg,"ERROR"))</f>
        <v>1.9144450457782247</v>
      </c>
      <c r="AF779" s="93">
        <f>IF('Net zero activities &amp; levers'!$C$10="Off",'Activity data'!AY5*EF!$H18*kgtoGg,IF('Net zero activities &amp; levers'!$C$10="On",'Net zero Activity data'!AY5*'Net zero supporting data'!W190*kgtoGg,"ERROR"))</f>
        <v>1.7991338533472649</v>
      </c>
      <c r="AG779" s="93">
        <f>IF('Net zero activities &amp; levers'!$C$10="Off",'Activity data'!AZ5*EF!$H18*kgtoGg,IF('Net zero activities &amp; levers'!$C$10="On",'Net zero Activity data'!AZ5*'Net zero supporting data'!X190*kgtoGg,"ERROR"))</f>
        <v>1.6845143667116451</v>
      </c>
      <c r="AH779" s="93">
        <f>IF('Net zero activities &amp; levers'!$C$10="Off",'Activity data'!BA5*EF!$H18*kgtoGg,IF('Net zero activities &amp; levers'!$C$10="On",'Net zero Activity data'!BA5*'Net zero supporting data'!Y190*kgtoGg,"ERROR"))</f>
        <v>1.562100516375061</v>
      </c>
      <c r="AI779" s="93">
        <f>IF('Net zero activities &amp; levers'!$C$10="Off",'Activity data'!BB5*EF!$H18*kgtoGg,IF('Net zero activities &amp; levers'!$C$10="On",'Net zero Activity data'!BB5*'Net zero supporting data'!Z190*kgtoGg,"ERROR"))</f>
        <v>1.4360307500071536</v>
      </c>
      <c r="AJ779" s="93">
        <f>IF('Net zero activities &amp; levers'!$C$10="Off",'Activity data'!BC5*EF!$H18*kgtoGg,IF('Net zero activities &amp; levers'!$C$10="On",'Net zero Activity data'!BC5*'Net zero supporting data'!AA190*kgtoGg,"ERROR"))</f>
        <v>1.309024249087849</v>
      </c>
      <c r="AK779" s="93">
        <f>IF('Net zero activities &amp; levers'!$C$10="Off",'Activity data'!BD5*EF!$H18*kgtoGg,IF('Net zero activities &amp; levers'!$C$10="On",'Net zero Activity data'!BD5*'Net zero supporting data'!AB190*kgtoGg,"ERROR"))</f>
        <v>1.1790442385352717</v>
      </c>
      <c r="AL779" s="93">
        <f>IF('Net zero activities &amp; levers'!$C$10="Off",'Activity data'!BE5*EF!$H18*kgtoGg,IF('Net zero activities &amp; levers'!$C$10="On",'Net zero Activity data'!BE5*'Net zero supporting data'!AC190*kgtoGg,"ERROR"))</f>
        <v>1.0471846581168345</v>
      </c>
      <c r="AM779" s="93">
        <f>IF('Net zero activities &amp; levers'!$C$10="Off",'Activity data'!BF5*EF!$H18*kgtoGg,IF('Net zero activities &amp; levers'!$C$10="On",'Net zero Activity data'!BF5*'Net zero supporting data'!AD190*kgtoGg,"ERROR"))</f>
        <v>0.91276571663399397</v>
      </c>
      <c r="AN779" s="93">
        <f>IF('Net zero activities &amp; levers'!$C$10="Off",'Activity data'!BG5*EF!$H18*kgtoGg,IF('Net zero activities &amp; levers'!$C$10="On",'Net zero Activity data'!BG5*'Net zero supporting data'!AE190*kgtoGg,"ERROR"))</f>
        <v>0.92233629444364396</v>
      </c>
      <c r="AO779" s="93">
        <f>IF('Net zero activities &amp; levers'!$C$10="Off",'Activity data'!BH5*EF!$H18*kgtoGg,IF('Net zero activities &amp; levers'!$C$10="On",'Net zero Activity data'!BH5*'Net zero supporting data'!AF190*kgtoGg,"ERROR"))</f>
        <v>0.93149213889870686</v>
      </c>
      <c r="AP779" s="93">
        <f>IF('Net zero activities &amp; levers'!$C$10="Off",'Activity data'!BI5*EF!$H18*kgtoGg,IF('Net zero activities &amp; levers'!$C$10="On",'Net zero Activity data'!BI5*'Net zero supporting data'!AG190*kgtoGg,"ERROR"))</f>
        <v>0.94086607435020386</v>
      </c>
      <c r="AQ779" s="93">
        <f>IF('Net zero activities &amp; levers'!$C$10="Off",'Activity data'!BJ5*EF!$H18*kgtoGg,IF('Net zero activities &amp; levers'!$C$10="On",'Net zero Activity data'!BJ5*'Net zero supporting data'!AH190*kgtoGg,"ERROR"))</f>
        <v>0.95062217903321689</v>
      </c>
      <c r="AR779" s="93">
        <f>IF('Net zero activities &amp; levers'!$C$10="Off",'Activity data'!BK5*EF!$H18*kgtoGg,IF('Net zero activities &amp; levers'!$C$10="On",'Net zero Activity data'!BK5*'Net zero supporting data'!AI190*kgtoGg,"ERROR"))</f>
        <v>0.96082298525114951</v>
      </c>
      <c r="AS779" s="93">
        <f>IF('Net zero activities &amp; levers'!$C$10="Off",'Activity data'!BL5*EF!$H18*kgtoGg,IF('Net zero activities &amp; levers'!$C$10="On",'Net zero Activity data'!BL5*'Net zero supporting data'!AJ190*kgtoGg,"ERROR"))</f>
        <v>0.97231988629767208</v>
      </c>
      <c r="AT779" s="93">
        <f>IF('Net zero activities &amp; levers'!$C$10="Off",'Activity data'!BM5*EF!$H18*kgtoGg,IF('Net zero activities &amp; levers'!$C$10="On",'Net zero Activity data'!BM5*'Net zero supporting data'!AK190*kgtoGg,"ERROR"))</f>
        <v>0.97963857071647553</v>
      </c>
      <c r="AU779" s="93">
        <f>IF('Net zero activities &amp; levers'!$C$10="Off",'Activity data'!BN5*EF!$H18*kgtoGg,IF('Net zero activities &amp; levers'!$C$10="On",'Net zero Activity data'!BN5*'Net zero supporting data'!AL190*kgtoGg,"ERROR"))</f>
        <v>0.98672183846965988</v>
      </c>
      <c r="AV779" s="93">
        <f>IF('Net zero activities &amp; levers'!$C$10="Off",'Activity data'!BO5*EF!$H18*kgtoGg,IF('Net zero activities &amp; levers'!$C$10="On",'Net zero Activity data'!BO5*'Net zero supporting data'!AM190*kgtoGg,"ERROR"))</f>
        <v>0.99402264044195654</v>
      </c>
      <c r="AW779" s="93">
        <f>IF('Net zero activities &amp; levers'!$C$10="Off",'Activity data'!BP5*EF!$H18*kgtoGg,IF('Net zero activities &amp; levers'!$C$10="On",'Net zero Activity data'!BP5*'Net zero supporting data'!AN190*kgtoGg,"ERROR"))</f>
        <v>1.0013488402119821</v>
      </c>
      <c r="AY779" s="79"/>
      <c r="AZ779" s="79"/>
    </row>
    <row r="780" spans="1:52" x14ac:dyDescent="0.2">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2.0944278303167523</v>
      </c>
      <c r="L780" s="93">
        <f>IF('Net zero activities &amp; levers'!$C$10="Off",'Activity data'!AE6*EF!$H19*kgtoGg,IF('Net zero activities &amp; levers'!$C$10="On",'Net zero Activity data'!AE6*'Net zero supporting data'!C191*kgtoGg,"ERROR"))</f>
        <v>2.1061367529420063</v>
      </c>
      <c r="M780" s="93">
        <f>IF('Net zero activities &amp; levers'!$C$10="Off",'Activity data'!AF6*EF!$H19*kgtoGg,IF('Net zero activities &amp; levers'!$C$10="On",'Net zero Activity data'!AF6*'Net zero supporting data'!D191*kgtoGg,"ERROR"))</f>
        <v>2.1227497089087644</v>
      </c>
      <c r="N780" s="93">
        <f>IF('Net zero activities &amp; levers'!$C$10="Off",'Activity data'!AG6*EF!$H19*kgtoGg,IF('Net zero activities &amp; levers'!$C$10="On",'Net zero Activity data'!AG6*'Net zero supporting data'!E191*kgtoGg,"ERROR"))</f>
        <v>2.1334253027618426</v>
      </c>
      <c r="O780" s="93">
        <f>IF('Net zero activities &amp; levers'!$C$10="Off",'Activity data'!AH6*EF!$H19*kgtoGg,IF('Net zero activities &amp; levers'!$C$10="On",'Net zero Activity data'!AH6*'Net zero supporting data'!F191*kgtoGg,"ERROR"))</f>
        <v>2.1405192837032749</v>
      </c>
      <c r="P780" s="93">
        <f>IF('Net zero activities &amp; levers'!$C$10="Off",'Activity data'!AI6*EF!$H19*kgtoGg,IF('Net zero activities &amp; levers'!$C$10="On",'Net zero Activity data'!AI6*'Net zero supporting data'!G191*kgtoGg,"ERROR"))</f>
        <v>2.1439618311203019</v>
      </c>
      <c r="Q780" s="93">
        <f>IF('Net zero activities &amp; levers'!$C$10="Off",'Activity data'!AJ6*EF!$H19*kgtoGg,IF('Net zero activities &amp; levers'!$C$10="On",'Net zero Activity data'!AJ6*'Net zero supporting data'!H191*kgtoGg,"ERROR"))</f>
        <v>2.1515676995493975</v>
      </c>
      <c r="R780" s="93">
        <f>IF('Net zero activities &amp; levers'!$C$10="Off",'Activity data'!AK6*EF!$H19*kgtoGg,IF('Net zero activities &amp; levers'!$C$10="On",'Net zero Activity data'!AK6*'Net zero supporting data'!I191*kgtoGg,"ERROR"))</f>
        <v>2.1602929081539135</v>
      </c>
      <c r="S780" s="93">
        <f>IF('Net zero activities &amp; levers'!$C$10="Off",'Activity data'!AL6*EF!$H19*kgtoGg,IF('Net zero activities &amp; levers'!$C$10="On",'Net zero Activity data'!AL6*'Net zero supporting data'!J191*kgtoGg,"ERROR"))</f>
        <v>2.1011544195303857</v>
      </c>
      <c r="T780" s="93">
        <f>IF('Net zero activities &amp; levers'!$C$10="Off",'Activity data'!AM6*EF!$H19*kgtoGg,IF('Net zero activities &amp; levers'!$C$10="On",'Net zero Activity data'!AM6*'Net zero supporting data'!K191*kgtoGg,"ERROR"))</f>
        <v>1.939981406944459</v>
      </c>
      <c r="U780" s="93">
        <f>IF('Net zero activities &amp; levers'!$C$10="Off",'Activity data'!AN6*EF!$H19*kgtoGg,IF('Net zero activities &amp; levers'!$C$10="On",'Net zero Activity data'!AN6*'Net zero supporting data'!L191*kgtoGg,"ERROR"))</f>
        <v>1.7730223077483207</v>
      </c>
      <c r="V780" s="93">
        <f>IF('Net zero activities &amp; levers'!$C$10="Off",'Activity data'!AO6*EF!$H19*kgtoGg,IF('Net zero activities &amp; levers'!$C$10="On",'Net zero Activity data'!AO6*'Net zero supporting data'!M191*kgtoGg,"ERROR"))</f>
        <v>1.6048360006375673</v>
      </c>
      <c r="W780" s="93">
        <f>IF('Net zero activities &amp; levers'!$C$10="Off",'Activity data'!AP6*EF!$H19*kgtoGg,IF('Net zero activities &amp; levers'!$C$10="On",'Net zero Activity data'!AP6*'Net zero supporting data'!N191*kgtoGg,"ERROR"))</f>
        <v>1.4383970720843853</v>
      </c>
      <c r="X780" s="93">
        <f>IF('Net zero activities &amp; levers'!$C$10="Off",'Activity data'!AQ6*EF!$H19*kgtoGg,IF('Net zero activities &amp; levers'!$C$10="On",'Net zero Activity data'!AQ6*'Net zero supporting data'!O191*kgtoGg,"ERROR"))</f>
        <v>1.2707676812969984</v>
      </c>
      <c r="Y780" s="93">
        <f>IF('Net zero activities &amp; levers'!$C$10="Off",'Activity data'!AR6*EF!$H19*kgtoGg,IF('Net zero activities &amp; levers'!$C$10="On",'Net zero Activity data'!AR6*'Net zero supporting data'!P191*kgtoGg,"ERROR"))</f>
        <v>1.1010774313099985</v>
      </c>
      <c r="Z780" s="93">
        <f>IF('Net zero activities &amp; levers'!$C$10="Off",'Activity data'!AS6*EF!$H19*kgtoGg,IF('Net zero activities &amp; levers'!$C$10="On",'Net zero Activity data'!AS6*'Net zero supporting data'!Q191*kgtoGg,"ERROR"))</f>
        <v>0.93132922893776204</v>
      </c>
      <c r="AA780" s="93">
        <f>IF('Net zero activities &amp; levers'!$C$10="Off",'Activity data'!AT6*EF!$H19*kgtoGg,IF('Net zero activities &amp; levers'!$C$10="On",'Net zero Activity data'!AT6*'Net zero supporting data'!R191*kgtoGg,"ERROR"))</f>
        <v>0.76157049395056098</v>
      </c>
      <c r="AB780" s="93">
        <f>IF('Net zero activities &amp; levers'!$C$10="Off",'Activity data'!AU6*EF!$H19*kgtoGg,IF('Net zero activities &amp; levers'!$C$10="On",'Net zero Activity data'!AU6*'Net zero supporting data'!S191*kgtoGg,"ERROR"))</f>
        <v>0.59349837410145556</v>
      </c>
      <c r="AC780" s="93">
        <f>IF('Net zero activities &amp; levers'!$C$10="Off",'Activity data'!AV6*EF!$H19*kgtoGg,IF('Net zero activities &amp; levers'!$C$10="On",'Net zero Activity data'!AV6*'Net zero supporting data'!T191*kgtoGg,"ERROR"))</f>
        <v>0.42522635776774187</v>
      </c>
      <c r="AD780" s="93">
        <f>IF('Net zero activities &amp; levers'!$C$10="Off",'Activity data'!AW6*EF!$H19*kgtoGg,IF('Net zero activities &amp; levers'!$C$10="On",'Net zero Activity data'!AW6*'Net zero supporting data'!U191*kgtoGg,"ERROR"))</f>
        <v>0.38600966102847334</v>
      </c>
      <c r="AE780" s="93">
        <f>IF('Net zero activities &amp; levers'!$C$10="Off",'Activity data'!AX6*EF!$H19*kgtoGg,IF('Net zero activities &amp; levers'!$C$10="On",'Net zero Activity data'!AX6*'Net zero supporting data'!V191*kgtoGg,"ERROR"))</f>
        <v>0.3468353450937387</v>
      </c>
      <c r="AF780" s="93">
        <f>IF('Net zero activities &amp; levers'!$C$10="Off",'Activity data'!AY6*EF!$H19*kgtoGg,IF('Net zero activities &amp; levers'!$C$10="On",'Net zero Activity data'!AY6*'Net zero supporting data'!W191*kgtoGg,"ERROR"))</f>
        <v>0.30716211026997625</v>
      </c>
      <c r="AG780" s="93">
        <f>IF('Net zero activities &amp; levers'!$C$10="Off",'Activity data'!AZ6*EF!$H19*kgtoGg,IF('Net zero activities &amp; levers'!$C$10="On",'Net zero Activity data'!AZ6*'Net zero supporting data'!X191*kgtoGg,"ERROR"))</f>
        <v>0.26715359433804825</v>
      </c>
      <c r="AH780" s="93">
        <f>IF('Net zero activities &amp; levers'!$C$10="Off",'Activity data'!BA6*EF!$H19*kgtoGg,IF('Net zero activities &amp; levers'!$C$10="On",'Net zero Activity data'!BA6*'Net zero supporting data'!Y191*kgtoGg,"ERROR"))</f>
        <v>0.2254376072162928</v>
      </c>
      <c r="AI780" s="93">
        <f>IF('Net zero activities &amp; levers'!$C$10="Off",'Activity data'!BB6*EF!$H19*kgtoGg,IF('Net zero activities &amp; levers'!$C$10="On",'Net zero Activity data'!BB6*'Net zero supporting data'!Z191*kgtoGg,"ERROR"))</f>
        <v>0.1827700847598209</v>
      </c>
      <c r="AJ780" s="93">
        <f>IF('Net zero activities &amp; levers'!$C$10="Off",'Activity data'!BC6*EF!$H19*kgtoGg,IF('Net zero activities &amp; levers'!$C$10="On",'Net zero Activity data'!BC6*'Net zero supporting data'!AA191*kgtoGg,"ERROR"))</f>
        <v>0.13951140218900548</v>
      </c>
      <c r="AK780" s="93">
        <f>IF('Net zero activities &amp; levers'!$C$10="Off",'Activity data'!BD6*EF!$H19*kgtoGg,IF('Net zero activities &amp; levers'!$C$10="On",'Net zero Activity data'!BD6*'Net zero supporting data'!AB191*kgtoGg,"ERROR"))</f>
        <v>9.5391848402648E-2</v>
      </c>
      <c r="AL780" s="93">
        <f>IF('Net zero activities &amp; levers'!$C$10="Off",'Activity data'!BE6*EF!$H19*kgtoGg,IF('Net zero activities &amp; levers'!$C$10="On",'Net zero Activity data'!BE6*'Net zero supporting data'!AC191*kgtoGg,"ERROR"))</f>
        <v>5.0501642147570018E-2</v>
      </c>
      <c r="AM780" s="93">
        <f>IF('Net zero activities &amp; levers'!$C$10="Off",'Activity data'!BF6*EF!$H19*kgtoGg,IF('Net zero activities &amp; levers'!$C$10="On",'Net zero Activity data'!BF6*'Net zero supporting data'!AD191*kgtoGg,"ERROR"))</f>
        <v>4.7572308972734251E-3</v>
      </c>
      <c r="AN780" s="93">
        <f>IF('Net zero activities &amp; levers'!$C$10="Off",'Activity data'!BG6*EF!$H19*kgtoGg,IF('Net zero activities &amp; levers'!$C$10="On",'Net zero Activity data'!BG6*'Net zero supporting data'!AE191*kgtoGg,"ERROR"))</f>
        <v>4.8071116581643201E-3</v>
      </c>
      <c r="AO780" s="93">
        <f>IF('Net zero activities &amp; levers'!$C$10="Off",'Activity data'!BH6*EF!$H19*kgtoGg,IF('Net zero activities &amp; levers'!$C$10="On",'Net zero Activity data'!BH6*'Net zero supporting data'!AF191*kgtoGg,"ERROR"))</f>
        <v>4.8548308760736833E-3</v>
      </c>
      <c r="AP780" s="93">
        <f>IF('Net zero activities &amp; levers'!$C$10="Off",'Activity data'!BI6*EF!$H19*kgtoGg,IF('Net zero activities &amp; levers'!$C$10="On",'Net zero Activity data'!BI6*'Net zero supporting data'!AG191*kgtoGg,"ERROR"))</f>
        <v>4.9036867594030413E-3</v>
      </c>
      <c r="AQ780" s="93">
        <f>IF('Net zero activities &amp; levers'!$C$10="Off",'Activity data'!BJ6*EF!$H19*kgtoGg,IF('Net zero activities &amp; levers'!$C$10="On",'Net zero Activity data'!BJ6*'Net zero supporting data'!AH191*kgtoGg,"ERROR"))</f>
        <v>4.9545344652154573E-3</v>
      </c>
      <c r="AR780" s="93">
        <f>IF('Net zero activities &amp; levers'!$C$10="Off",'Activity data'!BK6*EF!$H19*kgtoGg,IF('Net zero activities &amp; levers'!$C$10="On",'Net zero Activity data'!BK6*'Net zero supporting data'!AI191*kgtoGg,"ERROR"))</f>
        <v>5.0076999047501533E-3</v>
      </c>
      <c r="AS780" s="93">
        <f>IF('Net zero activities &amp; levers'!$C$10="Off",'Activity data'!BL6*EF!$H19*kgtoGg,IF('Net zero activities &amp; levers'!$C$10="On",'Net zero Activity data'!BL6*'Net zero supporting data'!AJ191*kgtoGg,"ERROR"))</f>
        <v>5.0676204428298536E-3</v>
      </c>
      <c r="AT780" s="93">
        <f>IF('Net zero activities &amp; levers'!$C$10="Off",'Activity data'!BM6*EF!$H19*kgtoGg,IF('Net zero activities &amp; levers'!$C$10="On",'Net zero Activity data'!BM6*'Net zero supporting data'!AK191*kgtoGg,"ERROR"))</f>
        <v>5.1057645919910626E-3</v>
      </c>
      <c r="AU780" s="93">
        <f>IF('Net zero activities &amp; levers'!$C$10="Off",'Activity data'!BN6*EF!$H19*kgtoGg,IF('Net zero activities &amp; levers'!$C$10="On",'Net zero Activity data'!BN6*'Net zero supporting data'!AL191*kgtoGg,"ERROR"))</f>
        <v>5.1426817763189029E-3</v>
      </c>
      <c r="AV780" s="93">
        <f>IF('Net zero activities &amp; levers'!$C$10="Off",'Activity data'!BO6*EF!$H19*kgtoGg,IF('Net zero activities &amp; levers'!$C$10="On",'Net zero Activity data'!BO6*'Net zero supporting data'!AM191*kgtoGg,"ERROR"))</f>
        <v>5.1807327242067826E-3</v>
      </c>
      <c r="AW780" s="93">
        <f>IF('Net zero activities &amp; levers'!$C$10="Off",'Activity data'!BP6*EF!$H19*kgtoGg,IF('Net zero activities &amp; levers'!$C$10="On",'Net zero Activity data'!BP6*'Net zero supporting data'!AN191*kgtoGg,"ERROR"))</f>
        <v>5.2189160425221209E-3</v>
      </c>
      <c r="AY780" s="79"/>
      <c r="AZ780" s="79"/>
    </row>
    <row r="781" spans="1:52" x14ac:dyDescent="0.2">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0.43500213637199753</v>
      </c>
      <c r="M781" s="27">
        <f t="shared" si="213"/>
        <v>0.43843338143569016</v>
      </c>
      <c r="N781" s="27">
        <f t="shared" si="213"/>
        <v>0.44063832189202168</v>
      </c>
      <c r="O781" s="27">
        <f t="shared" si="213"/>
        <v>0.44210351490980404</v>
      </c>
      <c r="P781" s="27">
        <f t="shared" si="213"/>
        <v>0.44281453971808232</v>
      </c>
      <c r="Q781" s="27">
        <f t="shared" si="213"/>
        <v>0.44438545813589125</v>
      </c>
      <c r="R781" s="27">
        <f t="shared" si="213"/>
        <v>0.44618756541973886</v>
      </c>
      <c r="S781" s="27">
        <f t="shared" si="213"/>
        <v>0.43397308368814624</v>
      </c>
      <c r="T781" s="27">
        <f t="shared" si="213"/>
        <v>0.43896037848337277</v>
      </c>
      <c r="U781" s="27">
        <f t="shared" si="213"/>
        <v>0.4428684500840781</v>
      </c>
      <c r="V781" s="27">
        <f t="shared" si="213"/>
        <v>0.44657091850477143</v>
      </c>
      <c r="W781" s="27">
        <f t="shared" si="213"/>
        <v>0.45089946579138956</v>
      </c>
      <c r="X781" s="27">
        <f t="shared" si="213"/>
        <v>0.45504479906495582</v>
      </c>
      <c r="Y781" s="27">
        <f t="shared" si="213"/>
        <v>0.4585214616244665</v>
      </c>
      <c r="Z781" s="27">
        <f t="shared" si="213"/>
        <v>0.46190156120605425</v>
      </c>
      <c r="AA781" s="27">
        <f t="shared" si="213"/>
        <v>0.46510763087689888</v>
      </c>
      <c r="AB781" s="27">
        <f t="shared" si="213"/>
        <v>0.46927815761763869</v>
      </c>
      <c r="AC781" s="27">
        <f t="shared" si="213"/>
        <v>0.47342723886594434</v>
      </c>
      <c r="AD781" s="27">
        <f t="shared" si="213"/>
        <v>0.4777559304899795</v>
      </c>
      <c r="AE781" s="27">
        <f t="shared" si="213"/>
        <v>0.48303683706827621</v>
      </c>
      <c r="AF781" s="27">
        <f t="shared" si="213"/>
        <v>0.48881007506008173</v>
      </c>
      <c r="AG781" s="27">
        <f t="shared" si="213"/>
        <v>0.49561553537468644</v>
      </c>
      <c r="AH781" s="27">
        <f t="shared" si="213"/>
        <v>0.50100547707002141</v>
      </c>
      <c r="AI781" s="27">
        <f t="shared" si="213"/>
        <v>0.50601267449357823</v>
      </c>
      <c r="AJ781" s="27">
        <f t="shared" si="213"/>
        <v>0.51156883118915397</v>
      </c>
      <c r="AK781" s="27">
        <f t="shared" si="213"/>
        <v>0.51697580022400658</v>
      </c>
      <c r="AL781" s="27">
        <f t="shared" si="213"/>
        <v>0.52271015284978539</v>
      </c>
      <c r="AM781" s="27">
        <f t="shared" si="213"/>
        <v>0.52852693757963265</v>
      </c>
      <c r="AN781" s="27">
        <f t="shared" si="213"/>
        <v>0.5349553415888797</v>
      </c>
      <c r="AO781" s="27">
        <f t="shared" si="213"/>
        <v>0.54116418060264715</v>
      </c>
      <c r="AP781" s="27">
        <f t="shared" si="213"/>
        <v>0.54752061851039679</v>
      </c>
      <c r="AQ781" s="27">
        <f t="shared" si="213"/>
        <v>0.55412103591201056</v>
      </c>
      <c r="AR781" s="27">
        <f t="shared" si="213"/>
        <v>0.56100316732391087</v>
      </c>
      <c r="AS781" s="27">
        <f t="shared" si="213"/>
        <v>0.56866636942385063</v>
      </c>
      <c r="AT781" s="27">
        <f t="shared" si="213"/>
        <v>0.57390752295656533</v>
      </c>
      <c r="AU781" s="27">
        <f t="shared" si="213"/>
        <v>0.57902813673368103</v>
      </c>
      <c r="AV781" s="27">
        <f t="shared" si="213"/>
        <v>0.58429385018566193</v>
      </c>
      <c r="AW781" s="27">
        <f t="shared" si="213"/>
        <v>0.5895922674079066</v>
      </c>
      <c r="AY781" s="79"/>
      <c r="AZ781" s="79"/>
    </row>
    <row r="782" spans="1:52" x14ac:dyDescent="0.2">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9.4871637196006553E-2</v>
      </c>
      <c r="L782" s="27">
        <f t="shared" si="214"/>
        <v>9.4048845784615531E-2</v>
      </c>
      <c r="M782" s="27">
        <f t="shared" si="214"/>
        <v>9.3735634002294246E-2</v>
      </c>
      <c r="N782" s="27">
        <f t="shared" si="214"/>
        <v>9.2483917307495084E-2</v>
      </c>
      <c r="O782" s="27">
        <f t="shared" si="214"/>
        <v>9.0667019955957398E-2</v>
      </c>
      <c r="P782" s="27">
        <f t="shared" si="214"/>
        <v>8.8322512540543865E-2</v>
      </c>
      <c r="Q782" s="27">
        <f t="shared" si="214"/>
        <v>8.6473330972337892E-2</v>
      </c>
      <c r="R782" s="27">
        <f t="shared" si="214"/>
        <v>8.4723794986300283E-2</v>
      </c>
      <c r="S782" s="27">
        <f t="shared" si="214"/>
        <v>7.5194221843696937E-2</v>
      </c>
      <c r="T782" s="27">
        <f t="shared" si="214"/>
        <v>7.6632536915557561E-2</v>
      </c>
      <c r="U782" s="27">
        <f t="shared" si="214"/>
        <v>7.7401549005272907E-2</v>
      </c>
      <c r="V782" s="27">
        <f t="shared" si="214"/>
        <v>7.7993527400119084E-2</v>
      </c>
      <c r="W782" s="27">
        <f t="shared" si="214"/>
        <v>7.8850028173398812E-2</v>
      </c>
      <c r="X782" s="27">
        <f t="shared" si="214"/>
        <v>7.9545124288710786E-2</v>
      </c>
      <c r="Y782" s="27">
        <f t="shared" si="214"/>
        <v>7.9993221888415164E-2</v>
      </c>
      <c r="Z782" s="27">
        <f t="shared" si="214"/>
        <v>8.0342032341122221E-2</v>
      </c>
      <c r="AA782" s="27">
        <f t="shared" si="214"/>
        <v>8.0558218611879576E-2</v>
      </c>
      <c r="AB782" s="27">
        <f t="shared" si="214"/>
        <v>8.1198214942881639E-2</v>
      </c>
      <c r="AC782" s="27">
        <f t="shared" si="214"/>
        <v>8.1774057106542911E-2</v>
      </c>
      <c r="AD782" s="27">
        <f t="shared" si="214"/>
        <v>8.1803756887802739E-2</v>
      </c>
      <c r="AE782" s="27">
        <f t="shared" si="214"/>
        <v>8.2189518118440233E-2</v>
      </c>
      <c r="AF782" s="27">
        <f t="shared" si="214"/>
        <v>8.2699636683975147E-2</v>
      </c>
      <c r="AG782" s="27">
        <f t="shared" si="214"/>
        <v>8.3556074547621109E-2</v>
      </c>
      <c r="AH782" s="27">
        <f t="shared" si="214"/>
        <v>8.3692861347297365E-2</v>
      </c>
      <c r="AI782" s="27">
        <f t="shared" si="214"/>
        <v>8.3678502694708126E-2</v>
      </c>
      <c r="AJ782" s="27">
        <f t="shared" si="214"/>
        <v>8.380415826329729E-2</v>
      </c>
      <c r="AK782" s="27">
        <f t="shared" si="214"/>
        <v>8.3780965761712248E-2</v>
      </c>
      <c r="AL782" s="27">
        <f t="shared" si="214"/>
        <v>8.3798710851856847E-2</v>
      </c>
      <c r="AM782" s="27">
        <f t="shared" si="214"/>
        <v>8.3758438816059183E-2</v>
      </c>
      <c r="AN782" s="27">
        <f t="shared" si="214"/>
        <v>8.4359602001058728E-2</v>
      </c>
      <c r="AO782" s="27">
        <f t="shared" si="214"/>
        <v>8.4799386999346651E-2</v>
      </c>
      <c r="AP782" s="27">
        <f t="shared" si="214"/>
        <v>8.5213797519739967E-2</v>
      </c>
      <c r="AQ782" s="27">
        <f t="shared" si="214"/>
        <v>8.5634541045958551E-2</v>
      </c>
      <c r="AR782" s="27">
        <f t="shared" si="214"/>
        <v>8.6070741793779534E-2</v>
      </c>
      <c r="AS782" s="27">
        <f t="shared" si="214"/>
        <v>8.6754318409979284E-2</v>
      </c>
      <c r="AT782" s="27">
        <f t="shared" si="214"/>
        <v>8.6561782662480824E-2</v>
      </c>
      <c r="AU782" s="27">
        <f t="shared" si="214"/>
        <v>8.6273112387571071E-2</v>
      </c>
      <c r="AV782" s="27">
        <f t="shared" si="214"/>
        <v>8.5974128279328724E-2</v>
      </c>
      <c r="AW782" s="27">
        <f t="shared" si="214"/>
        <v>8.5629055859458861E-2</v>
      </c>
      <c r="AY782" s="79"/>
      <c r="AZ782" s="79"/>
    </row>
    <row r="783" spans="1:52" x14ac:dyDescent="0.2">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6.9689449734106304E-2</v>
      </c>
      <c r="L783" s="27">
        <f t="shared" si="215"/>
        <v>6.908505539244103E-2</v>
      </c>
      <c r="M783" s="27">
        <f t="shared" si="215"/>
        <v>6.8854980763127793E-2</v>
      </c>
      <c r="N783" s="27">
        <f t="shared" si="215"/>
        <v>6.7935512624264269E-2</v>
      </c>
      <c r="O783" s="27">
        <f t="shared" si="215"/>
        <v>6.6600882165738284E-2</v>
      </c>
      <c r="P783" s="27">
        <f t="shared" si="215"/>
        <v>6.4878687456057696E-2</v>
      </c>
      <c r="Q783" s="27">
        <f t="shared" si="215"/>
        <v>6.3520342119606069E-2</v>
      </c>
      <c r="R783" s="27">
        <f t="shared" si="215"/>
        <v>6.2235193009075998E-2</v>
      </c>
      <c r="S783" s="27">
        <f t="shared" si="215"/>
        <v>5.5235095528552075E-2</v>
      </c>
      <c r="T783" s="27">
        <f t="shared" si="215"/>
        <v>5.629163243320303E-2</v>
      </c>
      <c r="U783" s="27">
        <f t="shared" si="215"/>
        <v>5.6856522330279623E-2</v>
      </c>
      <c r="V783" s="27">
        <f t="shared" si="215"/>
        <v>5.7291369348952612E-2</v>
      </c>
      <c r="W783" s="27">
        <f t="shared" si="215"/>
        <v>5.7920525431327162E-2</v>
      </c>
      <c r="X783" s="27">
        <f t="shared" si="215"/>
        <v>5.8431119189589487E-2</v>
      </c>
      <c r="Y783" s="27">
        <f t="shared" si="215"/>
        <v>5.8760276312556113E-2</v>
      </c>
      <c r="Z783" s="27">
        <f t="shared" si="215"/>
        <v>5.9016500503780274E-2</v>
      </c>
      <c r="AA783" s="27">
        <f t="shared" si="215"/>
        <v>5.9175303521145986E-2</v>
      </c>
      <c r="AB783" s="27">
        <f t="shared" si="215"/>
        <v>5.9645422868272187E-2</v>
      </c>
      <c r="AC783" s="27">
        <f t="shared" si="215"/>
        <v>6.0068416765134525E-2</v>
      </c>
      <c r="AD783" s="27">
        <f t="shared" si="215"/>
        <v>6.0090233205478502E-2</v>
      </c>
      <c r="AE783" s="27">
        <f t="shared" si="215"/>
        <v>6.0373600170426478E-2</v>
      </c>
      <c r="AF783" s="27">
        <f t="shared" si="215"/>
        <v>6.0748315767015518E-2</v>
      </c>
      <c r="AG783" s="27">
        <f t="shared" si="215"/>
        <v>6.1377425638131498E-2</v>
      </c>
      <c r="AH783" s="27">
        <f t="shared" si="215"/>
        <v>6.1477904528156692E-2</v>
      </c>
      <c r="AI783" s="27">
        <f t="shared" si="215"/>
        <v>6.1467357154595496E-2</v>
      </c>
      <c r="AJ783" s="27">
        <f t="shared" si="215"/>
        <v>6.1559659424165428E-2</v>
      </c>
      <c r="AK783" s="27">
        <f t="shared" si="215"/>
        <v>6.1542623008212359E-2</v>
      </c>
      <c r="AL783" s="27">
        <f t="shared" si="215"/>
        <v>6.155565794261645E-2</v>
      </c>
      <c r="AM783" s="27">
        <f t="shared" si="215"/>
        <v>6.1526075486812389E-2</v>
      </c>
      <c r="AN783" s="27">
        <f t="shared" si="215"/>
        <v>6.1967669337211172E-2</v>
      </c>
      <c r="AO783" s="27">
        <f t="shared" si="215"/>
        <v>6.2290720308374216E-2</v>
      </c>
      <c r="AP783" s="27">
        <f t="shared" si="215"/>
        <v>6.2595132058648639E-2</v>
      </c>
      <c r="AQ783" s="27">
        <f t="shared" si="215"/>
        <v>6.2904195817723246E-2</v>
      </c>
      <c r="AR783" s="27">
        <f t="shared" si="215"/>
        <v>6.3224613921465334E-2</v>
      </c>
      <c r="AS783" s="27">
        <f t="shared" si="215"/>
        <v>6.3726745850902156E-2</v>
      </c>
      <c r="AT783" s="27">
        <f t="shared" si="215"/>
        <v>6.3585315696496877E-2</v>
      </c>
      <c r="AU783" s="27">
        <f t="shared" si="215"/>
        <v>6.3373268416533846E-2</v>
      </c>
      <c r="AV783" s="27">
        <f t="shared" si="215"/>
        <v>6.3153644948461887E-2</v>
      </c>
      <c r="AW783" s="27">
        <f t="shared" si="215"/>
        <v>6.2900166587911782E-2</v>
      </c>
      <c r="AY783" s="79"/>
      <c r="AZ783" s="79"/>
    </row>
    <row r="784" spans="1:52" x14ac:dyDescent="0.2">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0.48695387967725956</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0.53070826286138573</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0.51624279949509155</v>
      </c>
      <c r="T784" s="93">
        <f>IF('Net zero activities &amp; levers'!$C$10="Off",'Activity data'!AM10*EF!$H23*kgtoGg,IF('Net zero activities &amp; levers'!$C$10="On",'Net zero Activity data'!AM10*'Net zero supporting data'!K192*kgtoGg,"ERROR"))</f>
        <v>0.51905442293179982</v>
      </c>
      <c r="U784" s="93">
        <f>IF('Net zero activities &amp; levers'!$C$10="Off",'Activity data'!AN10*EF!$H23*kgtoGg,IF('Net zero activities &amp; levers'!$C$10="On",'Net zero Activity data'!AN10*'Net zero supporting data'!L192*kgtoGg,"ERROR"))</f>
        <v>0.5161981327255647</v>
      </c>
      <c r="V784" s="93">
        <f>IF('Net zero activities &amp; levers'!$C$10="Off",'Activity data'!AO10*EF!$H23*kgtoGg,IF('Net zero activities &amp; levers'!$C$10="On",'Net zero Activity data'!AO10*'Net zero supporting data'!M192*kgtoGg,"ERROR"))</f>
        <v>0.51106755933786785</v>
      </c>
      <c r="W784" s="93">
        <f>IF('Net zero activities &amp; levers'!$C$10="Off",'Activity data'!AP10*EF!$H23*kgtoGg,IF('Net zero activities &amp; levers'!$C$10="On",'Net zero Activity data'!AP10*'Net zero supporting data'!N192*kgtoGg,"ERROR"))</f>
        <v>0.50652343318716742</v>
      </c>
      <c r="X784" s="93">
        <f>IF('Net zero activities &amp; levers'!$C$10="Off",'Activity data'!AQ10*EF!$H23*kgtoGg,IF('Net zero activities &amp; levers'!$C$10="On",'Net zero Activity data'!AQ10*'Net zero supporting data'!O192*kgtoGg,"ERROR"))</f>
        <v>0.49973740882416545</v>
      </c>
      <c r="Y784" s="93">
        <f>IF('Net zero activities &amp; levers'!$C$10="Off",'Activity data'!AR10*EF!$H23*kgtoGg,IF('Net zero activities &amp; levers'!$C$10="On",'Net zero Activity data'!AR10*'Net zero supporting data'!P192*kgtoGg,"ERROR"))</f>
        <v>0.49020663760246297</v>
      </c>
      <c r="Z784" s="93">
        <f>IF('Net zero activities &amp; levers'!$C$10="Off",'Activity data'!AS10*EF!$H23*kgtoGg,IF('Net zero activities &amp; levers'!$C$10="On",'Net zero Activity data'!AS10*'Net zero supporting data'!Q192*kgtoGg,"ERROR"))</f>
        <v>0.47888613966015275</v>
      </c>
      <c r="AA784" s="93">
        <f>IF('Net zero activities &amp; levers'!$C$10="Off",'Activity data'!AT10*EF!$H23*kgtoGg,IF('Net zero activities &amp; levers'!$C$10="On",'Net zero Activity data'!AT10*'Net zero supporting data'!R192*kgtoGg,"ERROR"))</f>
        <v>0.46559485729025601</v>
      </c>
      <c r="AB784" s="93">
        <f>IF('Net zero activities &amp; levers'!$C$10="Off",'Activity data'!AU10*EF!$H23*kgtoGg,IF('Net zero activities &amp; levers'!$C$10="On",'Net zero Activity data'!AU10*'Net zero supporting data'!S192*kgtoGg,"ERROR"))</f>
        <v>0.45347725040911635</v>
      </c>
      <c r="AC784" s="93">
        <f>IF('Net zero activities &amp; levers'!$C$10="Off",'Activity data'!AV10*EF!$H23*kgtoGg,IF('Net zero activities &amp; levers'!$C$10="On",'Net zero Activity data'!AV10*'Net zero supporting data'!T192*kgtoGg,"ERROR"))</f>
        <v>0.43960709972912054</v>
      </c>
      <c r="AD784" s="93">
        <f>IF('Net zero activities &amp; levers'!$C$10="Off",'Activity data'!AW10*EF!$H23*kgtoGg,IF('Net zero activities &amp; levers'!$C$10="On",'Net zero Activity data'!AW10*'Net zero supporting data'!U192*kgtoGg,"ERROR"))</f>
        <v>0.44653753633833149</v>
      </c>
      <c r="AE784" s="93">
        <f>IF('Net zero activities &amp; levers'!$C$10="Off",'Activity data'!AX10*EF!$H23*kgtoGg,IF('Net zero activities &amp; levers'!$C$10="On",'Net zero Activity data'!AX10*'Net zero supporting data'!V192*kgtoGg,"ERROR"))</f>
        <v>0.4554563002724214</v>
      </c>
      <c r="AF784" s="93">
        <f>IF('Net zero activities &amp; levers'!$C$10="Off",'Activity data'!AY10*EF!$H23*kgtoGg,IF('Net zero activities &amp; levers'!$C$10="On",'Net zero Activity data'!AY10*'Net zero supporting data'!W192*kgtoGg,"ERROR"))</f>
        <v>0.46515149422032559</v>
      </c>
      <c r="AG784" s="93">
        <f>IF('Net zero activities &amp; levers'!$C$10="Off",'Activity data'!AZ10*EF!$H23*kgtoGg,IF('Net zero activities &amp; levers'!$C$10="On",'Net zero Activity data'!AZ10*'Net zero supporting data'!X192*kgtoGg,"ERROR"))</f>
        <v>0.47692385099328688</v>
      </c>
      <c r="AH784" s="93">
        <f>IF('Net zero activities &amp; levers'!$C$10="Off",'Activity data'!BA10*EF!$H23*kgtoGg,IF('Net zero activities &amp; levers'!$C$10="On",'Net zero Activity data'!BA10*'Net zero supporting data'!Y192*kgtoGg,"ERROR"))</f>
        <v>0.48468956644495981</v>
      </c>
      <c r="AI784" s="93">
        <f>IF('Net zero activities &amp; levers'!$C$10="Off",'Activity data'!BB10*EF!$H23*kgtoGg,IF('Net zero activities &amp; levers'!$C$10="On",'Net zero Activity data'!BB10*'Net zero supporting data'!Z192*kgtoGg,"ERROR"))</f>
        <v>0.49161099424364796</v>
      </c>
      <c r="AJ784" s="93">
        <f>IF('Net zero activities &amp; levers'!$C$10="Off",'Activity data'!BC10*EF!$H23*kgtoGg,IF('Net zero activities &amp; levers'!$C$10="On",'Net zero Activity data'!BC10*'Net zero supporting data'!AA192*kgtoGg,"ERROR"))</f>
        <v>0.49938765146593456</v>
      </c>
      <c r="AK784" s="93">
        <f>IF('Net zero activities &amp; levers'!$C$10="Off",'Activity data'!BD10*EF!$H23*kgtoGg,IF('Net zero activities &amp; levers'!$C$10="On",'Net zero Activity data'!BD10*'Net zero supporting data'!AB192*kgtoGg,"ERROR"))</f>
        <v>0.50631172370544741</v>
      </c>
      <c r="AL784" s="93">
        <f>IF('Net zero activities &amp; levers'!$C$10="Off",'Activity data'!BE10*EF!$H23*kgtoGg,IF('Net zero activities &amp; levers'!$C$10="On",'Net zero Activity data'!BE10*'Net zero supporting data'!AC192*kgtoGg,"ERROR"))</f>
        <v>0.51351101219376194</v>
      </c>
      <c r="AM784" s="93">
        <f>IF('Net zero activities &amp; levers'!$C$10="Off",'Activity data'!BF10*EF!$H23*kgtoGg,IF('Net zero activities &amp; levers'!$C$10="On",'Net zero Activity data'!BF10*'Net zero supporting data'!AD192*kgtoGg,"ERROR"))</f>
        <v>0.52038364028053741</v>
      </c>
      <c r="AN784" s="93">
        <f>IF('Net zero activities &amp; levers'!$C$10="Off",'Activity data'!BG10*EF!$H23*kgtoGg,IF('Net zero activities &amp; levers'!$C$10="On",'Net zero Activity data'!BG10*'Net zero supporting data'!AE192*kgtoGg,"ERROR"))</f>
        <v>0.53834616711159067</v>
      </c>
      <c r="AO784" s="93">
        <f>IF('Net zero activities &amp; levers'!$C$10="Off",'Activity data'!BH10*EF!$H23*kgtoGg,IF('Net zero activities &amp; levers'!$C$10="On",'Net zero Activity data'!BH10*'Net zero supporting data'!AF192*kgtoGg,"ERROR"))</f>
        <v>0.55589596797837271</v>
      </c>
      <c r="AP784" s="93">
        <f>IF('Net zero activities &amp; levers'!$C$10="Off",'Activity data'!BI10*EF!$H23*kgtoGg,IF('Net zero activities &amp; levers'!$C$10="On",'Net zero Activity data'!BI10*'Net zero supporting data'!AG192*kgtoGg,"ERROR"))</f>
        <v>0.57389373030995405</v>
      </c>
      <c r="AQ784" s="93">
        <f>IF('Net zero activities &amp; levers'!$C$10="Off",'Activity data'!BJ10*EF!$H23*kgtoGg,IF('Net zero activities &amp; levers'!$C$10="On",'Net zero Activity data'!BJ10*'Net zero supporting data'!AH192*kgtoGg,"ERROR"))</f>
        <v>0.592575534019812</v>
      </c>
      <c r="AR784" s="93">
        <f>IF('Net zero activities &amp; levers'!$C$10="Off",'Activity data'!BK10*EF!$H23*kgtoGg,IF('Net zero activities &amp; levers'!$C$10="On",'Net zero Activity data'!BK10*'Net zero supporting data'!AI192*kgtoGg,"ERROR"))</f>
        <v>0.61204214806273571</v>
      </c>
      <c r="AS784" s="93">
        <f>IF('Net zero activities &amp; levers'!$C$10="Off",'Activity data'!BL10*EF!$H23*kgtoGg,IF('Net zero activities &amp; levers'!$C$10="On",'Net zero Activity data'!BL10*'Net zero supporting data'!AJ192*kgtoGg,"ERROR"))</f>
        <v>0.63403214261351171</v>
      </c>
      <c r="AT784" s="93">
        <f>IF('Net zero activities &amp; levers'!$C$10="Off",'Activity data'!BM10*EF!$H23*kgtoGg,IF('Net zero activities &amp; levers'!$C$10="On",'Net zero Activity data'!BM10*'Net zero supporting data'!AK192*kgtoGg,"ERROR"))</f>
        <v>0.65029386997693461</v>
      </c>
      <c r="AU784" s="93">
        <f>IF('Net zero activities &amp; levers'!$C$10="Off",'Activity data'!BN10*EF!$H23*kgtoGg,IF('Net zero activities &amp; levers'!$C$10="On",'Net zero Activity data'!BN10*'Net zero supporting data'!AL192*kgtoGg,"ERROR"))</f>
        <v>0.66634139549797</v>
      </c>
      <c r="AV784" s="93">
        <f>IF('Net zero activities &amp; levers'!$C$10="Off",'Activity data'!BO10*EF!$H23*kgtoGg,IF('Net zero activities &amp; levers'!$C$10="On",'Net zero Activity data'!BO10*'Net zero supporting data'!AM192*kgtoGg,"ERROR"))</f>
        <v>0.68282168968967683</v>
      </c>
      <c r="AW784" s="93">
        <f>IF('Net zero activities &amp; levers'!$C$10="Off",'Activity data'!BP10*EF!$H23*kgtoGg,IF('Net zero activities &amp; levers'!$C$10="On",'Net zero Activity data'!BP10*'Net zero supporting data'!AN192*kgtoGg,"ERROR"))</f>
        <v>0.69946362201810119</v>
      </c>
      <c r="AY784" s="79"/>
      <c r="AZ784" s="79"/>
    </row>
    <row r="785" spans="1:52" x14ac:dyDescent="0.2">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3.6781380176720842E-2</v>
      </c>
      <c r="T785" s="27">
        <f t="shared" si="216"/>
        <v>3.6837395233082854E-2</v>
      </c>
      <c r="U785" s="27">
        <f t="shared" si="216"/>
        <v>3.6900705652170011E-2</v>
      </c>
      <c r="V785" s="27">
        <f t="shared" si="216"/>
        <v>3.6972125402225033E-2</v>
      </c>
      <c r="W785" s="27">
        <f t="shared" si="216"/>
        <v>3.7052467371172147E-2</v>
      </c>
      <c r="X785" s="27">
        <f t="shared" si="216"/>
        <v>3.7140056258746688E-2</v>
      </c>
      <c r="Y785" s="27">
        <f t="shared" si="216"/>
        <v>3.7193327101982677E-2</v>
      </c>
      <c r="Z785" s="27">
        <f t="shared" si="216"/>
        <v>3.725282757032642E-2</v>
      </c>
      <c r="AA785" s="27">
        <f t="shared" si="216"/>
        <v>3.7318121191736012E-2</v>
      </c>
      <c r="AB785" s="27">
        <f t="shared" si="216"/>
        <v>3.7390686259807883E-2</v>
      </c>
      <c r="AC785" s="27">
        <f t="shared" si="216"/>
        <v>3.7468739847843706E-2</v>
      </c>
      <c r="AD785" s="27">
        <f t="shared" si="216"/>
        <v>3.751974247344389E-2</v>
      </c>
      <c r="AE785" s="27">
        <f t="shared" si="216"/>
        <v>3.7576993148623769E-2</v>
      </c>
      <c r="AF785" s="27">
        <f t="shared" si="216"/>
        <v>3.7639577283476555E-2</v>
      </c>
      <c r="AG785" s="27">
        <f t="shared" si="216"/>
        <v>3.7708144828082185E-2</v>
      </c>
      <c r="AH785" s="27">
        <f t="shared" si="216"/>
        <v>3.7778741786852331E-2</v>
      </c>
      <c r="AI785" s="27">
        <f t="shared" si="216"/>
        <v>3.7822008909384815E-2</v>
      </c>
      <c r="AJ785" s="27">
        <f t="shared" si="216"/>
        <v>3.7869806060801224E-2</v>
      </c>
      <c r="AK785" s="27">
        <f t="shared" si="216"/>
        <v>3.7920914851450743E-2</v>
      </c>
      <c r="AL785" s="27">
        <f t="shared" si="216"/>
        <v>3.7975943332366417E-2</v>
      </c>
      <c r="AM785" s="27">
        <f t="shared" si="216"/>
        <v>3.8034394238678673E-2</v>
      </c>
      <c r="AN785" s="27">
        <f t="shared" si="216"/>
        <v>3.8068290997096535E-2</v>
      </c>
      <c r="AO785" s="27">
        <f t="shared" si="216"/>
        <v>3.8104751343434065E-2</v>
      </c>
      <c r="AP785" s="27">
        <f t="shared" si="216"/>
        <v>3.8144241244256513E-2</v>
      </c>
      <c r="AQ785" s="27">
        <f t="shared" si="216"/>
        <v>3.8186815214812375E-2</v>
      </c>
      <c r="AR785" s="27">
        <f t="shared" si="216"/>
        <v>3.8232443493664919E-2</v>
      </c>
      <c r="AS785" s="27">
        <f t="shared" si="216"/>
        <v>3.825284618540576E-2</v>
      </c>
      <c r="AT785" s="27">
        <f t="shared" si="216"/>
        <v>3.8271836221950122E-2</v>
      </c>
      <c r="AU785" s="27">
        <f t="shared" si="216"/>
        <v>3.8292888607538426E-2</v>
      </c>
      <c r="AV785" s="27">
        <f t="shared" si="216"/>
        <v>3.8316340791445545E-2</v>
      </c>
      <c r="AW785" s="27">
        <f t="shared" si="216"/>
        <v>3.8341951349881082E-2</v>
      </c>
      <c r="AY785" s="79"/>
      <c r="AZ785" s="79"/>
    </row>
    <row r="786" spans="1:52" x14ac:dyDescent="0.2">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4.2006089356439562E-3</v>
      </c>
      <c r="T786" s="27">
        <f t="shared" si="217"/>
        <v>4.2070061220778072E-3</v>
      </c>
      <c r="U786" s="27">
        <f t="shared" si="217"/>
        <v>4.2142364737084185E-3</v>
      </c>
      <c r="V786" s="27">
        <f t="shared" si="217"/>
        <v>4.2223929495889085E-3</v>
      </c>
      <c r="W786" s="27">
        <f t="shared" si="217"/>
        <v>4.2315683853948781E-3</v>
      </c>
      <c r="X786" s="27">
        <f t="shared" si="217"/>
        <v>4.2415714538507386E-3</v>
      </c>
      <c r="Y786" s="27">
        <f t="shared" si="217"/>
        <v>4.2476552380652311E-3</v>
      </c>
      <c r="Z786" s="27">
        <f t="shared" si="217"/>
        <v>4.2544504751607076E-3</v>
      </c>
      <c r="AA786" s="27">
        <f t="shared" si="217"/>
        <v>4.261907317949531E-3</v>
      </c>
      <c r="AB786" s="27">
        <f t="shared" si="217"/>
        <v>4.2701945946067351E-3</v>
      </c>
      <c r="AC786" s="27">
        <f t="shared" si="217"/>
        <v>4.2791086864050034E-3</v>
      </c>
      <c r="AD786" s="27">
        <f t="shared" si="217"/>
        <v>4.284933429353965E-3</v>
      </c>
      <c r="AE786" s="27">
        <f t="shared" si="217"/>
        <v>4.2914717293464286E-3</v>
      </c>
      <c r="AF786" s="27">
        <f t="shared" si="217"/>
        <v>4.2986191358556219E-3</v>
      </c>
      <c r="AG786" s="27">
        <f t="shared" si="217"/>
        <v>4.3064498762786759E-3</v>
      </c>
      <c r="AH786" s="27">
        <f t="shared" si="217"/>
        <v>4.3145123854725761E-3</v>
      </c>
      <c r="AI786" s="27">
        <f t="shared" si="217"/>
        <v>4.3194536970997174E-3</v>
      </c>
      <c r="AJ786" s="27">
        <f t="shared" si="217"/>
        <v>4.3249123596179112E-3</v>
      </c>
      <c r="AK786" s="27">
        <f t="shared" si="217"/>
        <v>4.3307492271215465E-3</v>
      </c>
      <c r="AL786" s="27">
        <f t="shared" si="217"/>
        <v>4.3370337419368866E-3</v>
      </c>
      <c r="AM786" s="27">
        <f t="shared" si="217"/>
        <v>4.3437091140456031E-3</v>
      </c>
      <c r="AN786" s="27">
        <f t="shared" si="217"/>
        <v>4.3475802854267562E-3</v>
      </c>
      <c r="AO786" s="27">
        <f t="shared" si="217"/>
        <v>4.3517442307677472E-3</v>
      </c>
      <c r="AP786" s="27">
        <f t="shared" si="217"/>
        <v>4.3562541656713728E-3</v>
      </c>
      <c r="AQ786" s="27">
        <f t="shared" si="217"/>
        <v>4.3611163160388556E-3</v>
      </c>
      <c r="AR786" s="27">
        <f t="shared" si="217"/>
        <v>4.3663272829722651E-3</v>
      </c>
      <c r="AS786" s="27">
        <f t="shared" si="217"/>
        <v>4.3686573676190608E-3</v>
      </c>
      <c r="AT786" s="27">
        <f t="shared" si="217"/>
        <v>4.3708261203089602E-3</v>
      </c>
      <c r="AU786" s="27">
        <f t="shared" si="217"/>
        <v>4.3732304030899213E-3</v>
      </c>
      <c r="AV786" s="27">
        <f t="shared" si="217"/>
        <v>4.3759087542775948E-3</v>
      </c>
      <c r="AW786" s="27">
        <f t="shared" si="217"/>
        <v>4.3788336021243655E-3</v>
      </c>
      <c r="AY786" s="79"/>
      <c r="AZ786" s="79"/>
    </row>
    <row r="787" spans="1:52" x14ac:dyDescent="0.2">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1.5789672763163298E-2</v>
      </c>
      <c r="L787" s="27">
        <f t="shared" si="218"/>
        <v>1.5830718290757027E-2</v>
      </c>
      <c r="M787" s="27">
        <f t="shared" si="218"/>
        <v>1.588733914557475E-2</v>
      </c>
      <c r="N787" s="27">
        <f t="shared" si="218"/>
        <v>1.5956318300360574E-2</v>
      </c>
      <c r="O787" s="27">
        <f t="shared" si="218"/>
        <v>1.6037557372574476E-2</v>
      </c>
      <c r="P787" s="27">
        <f t="shared" si="218"/>
        <v>1.6130561898613765E-2</v>
      </c>
      <c r="Q787" s="27">
        <f t="shared" si="218"/>
        <v>1.623065478441902E-2</v>
      </c>
      <c r="R787" s="27">
        <f t="shared" si="218"/>
        <v>1.6337439810579345E-2</v>
      </c>
      <c r="S787" s="27">
        <f t="shared" si="218"/>
        <v>1.643554333202487E-2</v>
      </c>
      <c r="T787" s="27">
        <f t="shared" si="218"/>
        <v>1.6483301762184554E-2</v>
      </c>
      <c r="U787" s="27">
        <f t="shared" si="218"/>
        <v>1.6534634024242746E-2</v>
      </c>
      <c r="V787" s="27">
        <f t="shared" si="218"/>
        <v>1.6590167866284391E-2</v>
      </c>
      <c r="W787" s="27">
        <f t="shared" si="218"/>
        <v>1.6650513034667372E-2</v>
      </c>
      <c r="X787" s="27">
        <f t="shared" si="218"/>
        <v>1.6714595783630822E-2</v>
      </c>
      <c r="Y787" s="27">
        <f t="shared" si="218"/>
        <v>1.675465761621437E-2</v>
      </c>
      <c r="Z787" s="27">
        <f t="shared" si="218"/>
        <v>1.6797993910304499E-2</v>
      </c>
      <c r="AA787" s="27">
        <f t="shared" si="218"/>
        <v>1.6844349786289844E-2</v>
      </c>
      <c r="AB787" s="27">
        <f t="shared" si="218"/>
        <v>1.6894740217603017E-2</v>
      </c>
      <c r="AC787" s="27">
        <f t="shared" si="218"/>
        <v>1.6948004409300596E-2</v>
      </c>
      <c r="AD787" s="27">
        <f t="shared" si="218"/>
        <v>1.6982631842965532E-2</v>
      </c>
      <c r="AE787" s="27">
        <f t="shared" si="218"/>
        <v>1.7020769407942386E-2</v>
      </c>
      <c r="AF787" s="27">
        <f t="shared" si="218"/>
        <v>1.706182735565186E-2</v>
      </c>
      <c r="AG787" s="27">
        <f t="shared" si="218"/>
        <v>1.7106247534338585E-2</v>
      </c>
      <c r="AH787" s="27">
        <f t="shared" si="218"/>
        <v>1.7151443283113514E-2</v>
      </c>
      <c r="AI787" s="27">
        <f t="shared" si="218"/>
        <v>1.7178196369350997E-2</v>
      </c>
      <c r="AJ787" s="27">
        <f t="shared" si="218"/>
        <v>1.7207475551738096E-2</v>
      </c>
      <c r="AK787" s="27">
        <f t="shared" si="218"/>
        <v>1.7238492794342867E-2</v>
      </c>
      <c r="AL787" s="27">
        <f t="shared" si="218"/>
        <v>1.7271654863993541E-2</v>
      </c>
      <c r="AM787" s="27">
        <f t="shared" si="218"/>
        <v>1.7306645282033659E-2</v>
      </c>
      <c r="AN787" s="27">
        <f t="shared" si="218"/>
        <v>1.7325303131063272E-2</v>
      </c>
      <c r="AO787" s="27">
        <f t="shared" si="218"/>
        <v>1.7345310027733502E-2</v>
      </c>
      <c r="AP787" s="27">
        <f t="shared" si="218"/>
        <v>1.73669746106416E-2</v>
      </c>
      <c r="AQ787" s="27">
        <f t="shared" si="218"/>
        <v>1.7390336782594662E-2</v>
      </c>
      <c r="AR787" s="27">
        <f t="shared" si="218"/>
        <v>1.7415381119938025E-2</v>
      </c>
      <c r="AS787" s="27">
        <f t="shared" si="218"/>
        <v>1.7423900612777786E-2</v>
      </c>
      <c r="AT787" s="27">
        <f t="shared" si="218"/>
        <v>1.7431295916305947E-2</v>
      </c>
      <c r="AU787" s="27">
        <f t="shared" si="218"/>
        <v>1.7439812218621446E-2</v>
      </c>
      <c r="AV787" s="27">
        <f t="shared" si="218"/>
        <v>1.7449669082955088E-2</v>
      </c>
      <c r="AW787" s="27">
        <f t="shared" si="218"/>
        <v>1.7460713883303017E-2</v>
      </c>
      <c r="AY787" s="79"/>
      <c r="AZ787" s="79"/>
    </row>
    <row r="788" spans="1:52" x14ac:dyDescent="0.2">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2.6592218800664796E-2</v>
      </c>
      <c r="L788" s="27">
        <f t="shared" si="219"/>
        <v>2.6661345733624896E-2</v>
      </c>
      <c r="M788" s="27">
        <f t="shared" si="219"/>
        <v>2.6756703894783639E-2</v>
      </c>
      <c r="N788" s="27">
        <f t="shared" si="219"/>
        <v>2.6872875319249701E-2</v>
      </c>
      <c r="O788" s="27">
        <f t="shared" si="219"/>
        <v>2.7009694315810229E-2</v>
      </c>
      <c r="P788" s="27">
        <f t="shared" si="219"/>
        <v>2.7166328132291764E-2</v>
      </c>
      <c r="Q788" s="27">
        <f t="shared" si="219"/>
        <v>2.7334899828466049E-2</v>
      </c>
      <c r="R788" s="27">
        <f t="shared" si="219"/>
        <v>2.7514742110372921E-2</v>
      </c>
      <c r="S788" s="27">
        <f t="shared" si="219"/>
        <v>2.7679963413342622E-2</v>
      </c>
      <c r="T788" s="27">
        <f t="shared" si="219"/>
        <v>2.7760395898767241E-2</v>
      </c>
      <c r="U788" s="27">
        <f t="shared" si="219"/>
        <v>2.7846847262557959E-2</v>
      </c>
      <c r="V788" s="27">
        <f t="shared" si="219"/>
        <v>2.7940374728298613E-2</v>
      </c>
      <c r="W788" s="27">
        <f t="shared" si="219"/>
        <v>2.8042005201917224E-2</v>
      </c>
      <c r="X788" s="27">
        <f t="shared" si="219"/>
        <v>2.8149930331674167E-2</v>
      </c>
      <c r="Y788" s="27">
        <f t="shared" si="219"/>
        <v>2.8217400572102636E-2</v>
      </c>
      <c r="Z788" s="27">
        <f t="shared" si="219"/>
        <v>2.8290385505466368E-2</v>
      </c>
      <c r="AA788" s="27">
        <f t="shared" si="219"/>
        <v>2.8368455875599344E-2</v>
      </c>
      <c r="AB788" s="27">
        <f t="shared" si="219"/>
        <v>2.8453321052670396E-2</v>
      </c>
      <c r="AC788" s="27">
        <f t="shared" si="219"/>
        <v>2.8543026080830765E-2</v>
      </c>
      <c r="AD788" s="27">
        <f t="shared" si="219"/>
        <v>2.8601343964065915E-2</v>
      </c>
      <c r="AE788" s="27">
        <f t="shared" si="219"/>
        <v>2.8665573444157176E-2</v>
      </c>
      <c r="AF788" s="27">
        <f t="shared" si="219"/>
        <v>2.87347212944878E-2</v>
      </c>
      <c r="AG788" s="27">
        <f t="shared" si="219"/>
        <v>2.8809531654937933E-2</v>
      </c>
      <c r="AH788" s="27">
        <f t="shared" si="219"/>
        <v>2.8885648193786462E-2</v>
      </c>
      <c r="AI788" s="27">
        <f t="shared" si="219"/>
        <v>2.8930704474147112E-2</v>
      </c>
      <c r="AJ788" s="27">
        <f t="shared" si="219"/>
        <v>2.8980015085964157E-2</v>
      </c>
      <c r="AK788" s="27">
        <f t="shared" si="219"/>
        <v>2.9032252856455738E-2</v>
      </c>
      <c r="AL788" s="27">
        <f t="shared" si="219"/>
        <v>2.9088102843042599E-2</v>
      </c>
      <c r="AM788" s="27">
        <f t="shared" si="219"/>
        <v>2.914703204736533E-2</v>
      </c>
      <c r="AN788" s="27">
        <f t="shared" si="219"/>
        <v>2.9178454712748408E-2</v>
      </c>
      <c r="AO788" s="27">
        <f t="shared" si="219"/>
        <v>2.9212149380254012E-2</v>
      </c>
      <c r="AP788" s="27">
        <f t="shared" si="219"/>
        <v>2.9248635844385265E-2</v>
      </c>
      <c r="AQ788" s="27">
        <f t="shared" si="219"/>
        <v>2.9287981307559392E-2</v>
      </c>
      <c r="AR788" s="27">
        <f t="shared" si="219"/>
        <v>2.9330159793987943E-2</v>
      </c>
      <c r="AS788" s="27">
        <f t="shared" si="219"/>
        <v>2.9344507920200803E-2</v>
      </c>
      <c r="AT788" s="27">
        <f t="shared" si="219"/>
        <v>2.9356962740035762E-2</v>
      </c>
      <c r="AU788" s="27">
        <f t="shared" si="219"/>
        <v>2.9371305492918821E-2</v>
      </c>
      <c r="AV788" s="27">
        <f t="shared" si="219"/>
        <v>2.9387905956841046E-2</v>
      </c>
      <c r="AW788" s="27">
        <f t="shared" si="219"/>
        <v>2.9406507086317708E-2</v>
      </c>
      <c r="AY788" s="79"/>
      <c r="AZ788" s="79"/>
    </row>
    <row r="789" spans="1:52" x14ac:dyDescent="0.2">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4.1336182129460544E-3</v>
      </c>
      <c r="L789" s="27">
        <f t="shared" si="220"/>
        <v>4.1536453250924079E-3</v>
      </c>
      <c r="M789" s="27">
        <f t="shared" si="220"/>
        <v>4.1840370126470534E-3</v>
      </c>
      <c r="N789" s="27">
        <f t="shared" si="220"/>
        <v>4.1905340987284569E-3</v>
      </c>
      <c r="O789" s="27">
        <f t="shared" si="220"/>
        <v>4.1812329246154597E-3</v>
      </c>
      <c r="P789" s="27">
        <f t="shared" si="220"/>
        <v>4.1564738854214548E-3</v>
      </c>
      <c r="Q789" s="27">
        <f t="shared" si="220"/>
        <v>4.1427460620707141E-3</v>
      </c>
      <c r="R789" s="27">
        <f t="shared" si="220"/>
        <v>4.1304087921358321E-3</v>
      </c>
      <c r="S789" s="27">
        <f t="shared" si="220"/>
        <v>3.9117464794758833E-3</v>
      </c>
      <c r="T789" s="27">
        <f t="shared" si="220"/>
        <v>3.9662100660725645E-3</v>
      </c>
      <c r="U789" s="27">
        <f t="shared" si="220"/>
        <v>4.0029759542347092E-3</v>
      </c>
      <c r="V789" s="27">
        <f t="shared" si="220"/>
        <v>4.034929903088018E-3</v>
      </c>
      <c r="W789" s="27">
        <f t="shared" si="220"/>
        <v>4.0740603707179208E-3</v>
      </c>
      <c r="X789" s="27">
        <f t="shared" si="220"/>
        <v>4.1088191524981379E-3</v>
      </c>
      <c r="Y789" s="27">
        <f t="shared" si="220"/>
        <v>4.1408340108354943E-3</v>
      </c>
      <c r="Z789" s="27">
        <f t="shared" si="220"/>
        <v>4.1700941792835473E-3</v>
      </c>
      <c r="AA789" s="27">
        <f t="shared" si="220"/>
        <v>4.1955947055446379E-3</v>
      </c>
      <c r="AB789" s="27">
        <f t="shared" si="220"/>
        <v>4.2332253987930647E-3</v>
      </c>
      <c r="AC789" s="27">
        <f t="shared" si="220"/>
        <v>4.2692111275798939E-3</v>
      </c>
      <c r="AD789" s="27">
        <f t="shared" si="220"/>
        <v>4.3131543062035933E-3</v>
      </c>
      <c r="AE789" s="27">
        <f t="shared" si="220"/>
        <v>4.3689426306597803E-3</v>
      </c>
      <c r="AF789" s="27">
        <f t="shared" si="220"/>
        <v>4.4301694396255923E-3</v>
      </c>
      <c r="AG789" s="27">
        <f t="shared" si="220"/>
        <v>4.5040980436008553E-3</v>
      </c>
      <c r="AH789" s="27">
        <f t="shared" si="220"/>
        <v>4.5574968938879535E-3</v>
      </c>
      <c r="AI789" s="27">
        <f t="shared" si="220"/>
        <v>4.6111863100883922E-3</v>
      </c>
      <c r="AJ789" s="27">
        <f t="shared" si="220"/>
        <v>4.6712172844787037E-3</v>
      </c>
      <c r="AK789" s="27">
        <f t="shared" si="220"/>
        <v>4.7281971529271986E-3</v>
      </c>
      <c r="AL789" s="27">
        <f t="shared" si="220"/>
        <v>4.7885111366995289E-3</v>
      </c>
      <c r="AM789" s="27">
        <f t="shared" si="220"/>
        <v>4.8488762620845097E-3</v>
      </c>
      <c r="AN789" s="27">
        <f t="shared" si="220"/>
        <v>4.9227254913748455E-3</v>
      </c>
      <c r="AO789" s="27">
        <f t="shared" si="220"/>
        <v>4.9927458490609099E-3</v>
      </c>
      <c r="AP789" s="27">
        <f t="shared" si="220"/>
        <v>5.0638022559314124E-3</v>
      </c>
      <c r="AQ789" s="27">
        <f t="shared" si="220"/>
        <v>5.1371515240319849E-3</v>
      </c>
      <c r="AR789" s="27">
        <f t="shared" si="220"/>
        <v>5.2132674563810976E-3</v>
      </c>
      <c r="AS789" s="27">
        <f t="shared" si="220"/>
        <v>5.3054774767517902E-3</v>
      </c>
      <c r="AT789" s="27">
        <f t="shared" si="220"/>
        <v>5.3653290852350754E-3</v>
      </c>
      <c r="AU789" s="27">
        <f t="shared" si="220"/>
        <v>5.4229477307266892E-3</v>
      </c>
      <c r="AV789" s="27">
        <f t="shared" si="220"/>
        <v>5.4817978053370176E-3</v>
      </c>
      <c r="AW789" s="27">
        <f t="shared" si="220"/>
        <v>5.5404187134472614E-3</v>
      </c>
      <c r="AY789" s="79"/>
      <c r="AZ789" s="79"/>
    </row>
    <row r="790" spans="1:52" x14ac:dyDescent="0.2">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2">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23.279051307908379</v>
      </c>
      <c r="L791" s="93">
        <f>IF('Net zero activities &amp; levers'!$C$10="Off",'Activity data'!AE17*EF!$H30*kgtoGg,IF('Net zero activities &amp; levers'!$C$10="On",'Net zero Activity data'!AE17*'Net zero supporting data'!C193*kgtoGg,"ERROR"))</f>
        <v>23.152514180350749</v>
      </c>
      <c r="M791" s="93">
        <f>IF('Net zero activities &amp; levers'!$C$10="Off",'Activity data'!AF17*EF!$H30*kgtoGg,IF('Net zero activities &amp; levers'!$C$10="On",'Net zero Activity data'!AF17*'Net zero supporting data'!D193*kgtoGg,"ERROR"))</f>
        <v>23.162899955224127</v>
      </c>
      <c r="N791" s="93">
        <f>IF('Net zero activities &amp; levers'!$C$10="Off",'Activity data'!AG17*EF!$H30*kgtoGg,IF('Net zero activities &amp; levers'!$C$10="On",'Net zero Activity data'!AG17*'Net zero supporting data'!E193*kgtoGg,"ERROR"))</f>
        <v>22.950246783936304</v>
      </c>
      <c r="O791" s="93">
        <f>IF('Net zero activities &amp; levers'!$C$10="Off",'Activity data'!AH17*EF!$H30*kgtoGg,IF('Net zero activities &amp; levers'!$C$10="On",'Net zero Activity data'!AH17*'Net zero supporting data'!F193*kgtoGg,"ERROR"))</f>
        <v>22.602935107333447</v>
      </c>
      <c r="P791" s="93">
        <f>IF('Net zero activities &amp; levers'!$C$10="Off",'Activity data'!AI17*EF!$H30*kgtoGg,IF('Net zero activities &amp; levers'!$C$10="On",'Net zero Activity data'!AI17*'Net zero supporting data'!G193*kgtoGg,"ERROR"))</f>
        <v>22.126517070806507</v>
      </c>
      <c r="Q791" s="93">
        <f>IF('Net zero activities &amp; levers'!$C$10="Off",'Activity data'!AJ17*EF!$H30*kgtoGg,IF('Net zero activities &amp; levers'!$C$10="On",'Net zero Activity data'!AJ17*'Net zero supporting data'!H193*kgtoGg,"ERROR"))</f>
        <v>21.780584742880094</v>
      </c>
      <c r="R791" s="93">
        <f>IF('Net zero activities &amp; levers'!$C$10="Off",'Activity data'!AK17*EF!$H30*kgtoGg,IF('Net zero activities &amp; levers'!$C$10="On",'Net zero Activity data'!AK17*'Net zero supporting data'!I193*kgtoGg,"ERROR"))</f>
        <v>21.465262786698489</v>
      </c>
      <c r="S791" s="93">
        <f>IF('Net zero activities &amp; levers'!$C$10="Off",'Activity data'!AL17*EF!$H30*kgtoGg,IF('Net zero activities &amp; levers'!$C$10="On",'Net zero Activity data'!AL17*'Net zero supporting data'!J193*kgtoGg,"ERROR"))</f>
        <v>19.125418595130999</v>
      </c>
      <c r="T791" s="93">
        <f>IF('Net zero activities &amp; levers'!$C$10="Off",'Activity data'!AM17*EF!$H30*kgtoGg,IF('Net zero activities &amp; levers'!$C$10="On",'Net zero Activity data'!AM17*'Net zero supporting data'!K193*kgtoGg,"ERROR"))</f>
        <v>17.876849249976093</v>
      </c>
      <c r="U791" s="93">
        <f>IF('Net zero activities &amp; levers'!$C$10="Off",'Activity data'!AN17*EF!$H30*kgtoGg,IF('Net zero activities &amp; levers'!$C$10="On",'Net zero Activity data'!AN17*'Net zero supporting data'!L193*kgtoGg,"ERROR"))</f>
        <v>16.436288968108887</v>
      </c>
      <c r="V791" s="93">
        <f>IF('Net zero activities &amp; levers'!$C$10="Off",'Activity data'!AO17*EF!$H30*kgtoGg,IF('Net zero activities &amp; levers'!$C$10="On",'Net zero Activity data'!AO17*'Net zero supporting data'!M193*kgtoGg,"ERROR"))</f>
        <v>14.942571845332175</v>
      </c>
      <c r="W791" s="93">
        <f>IF('Net zero activities &amp; levers'!$C$10="Off",'Activity data'!AP17*EF!$H30*kgtoGg,IF('Net zero activities &amp; levers'!$C$10="On",'Net zero Activity data'!AP17*'Net zero supporting data'!N193*kgtoGg,"ERROR"))</f>
        <v>13.484018908591063</v>
      </c>
      <c r="X791" s="93">
        <f>IF('Net zero activities &amp; levers'!$C$10="Off",'Activity data'!AQ17*EF!$H30*kgtoGg,IF('Net zero activities &amp; levers'!$C$10="On",'Net zero Activity data'!AQ17*'Net zero supporting data'!O193*kgtoGg,"ERROR"))</f>
        <v>11.977079674528257</v>
      </c>
      <c r="Y791" s="93">
        <f>IF('Net zero activities &amp; levers'!$C$10="Off",'Activity data'!AR17*EF!$H30*kgtoGg,IF('Net zero activities &amp; levers'!$C$10="On",'Net zero Activity data'!AR17*'Net zero supporting data'!P193*kgtoGg,"ERROR"))</f>
        <v>10.423196847987404</v>
      </c>
      <c r="Z791" s="93">
        <f>IF('Net zero activities &amp; levers'!$C$10="Off",'Activity data'!AS17*EF!$H30*kgtoGg,IF('Net zero activities &amp; levers'!$C$10="On",'Net zero Activity data'!AS17*'Net zero supporting data'!Q193*kgtoGg,"ERROR"))</f>
        <v>8.8493352318962462</v>
      </c>
      <c r="AA791" s="93">
        <f>IF('Net zero activities &amp; levers'!$C$10="Off",'Activity data'!AT17*EF!$H30*kgtoGg,IF('Net zero activities &amp; levers'!$C$10="On",'Net zero Activity data'!AT17*'Net zero supporting data'!R193*kgtoGg,"ERROR"))</f>
        <v>7.2579681764792747</v>
      </c>
      <c r="AB791" s="93">
        <f>IF('Net zero activities &amp; levers'!$C$10="Off",'Activity data'!AU17*EF!$H30*kgtoGg,IF('Net zero activities &amp; levers'!$C$10="On",'Net zero Activity data'!AU17*'Net zero supporting data'!S193*kgtoGg,"ERROR"))</f>
        <v>5.6972722958537538</v>
      </c>
      <c r="AC791" s="93">
        <f>IF('Net zero activities &amp; levers'!$C$10="Off",'Activity data'!AV17*EF!$H30*kgtoGg,IF('Net zero activities &amp; levers'!$C$10="On",'Net zero Activity data'!AV17*'Net zero supporting data'!T193*kgtoGg,"ERROR"))</f>
        <v>4.1150780573341006</v>
      </c>
      <c r="AD791" s="93">
        <f>IF('Net zero activities &amp; levers'!$C$10="Off",'Activity data'!AW17*EF!$H30*kgtoGg,IF('Net zero activities &amp; levers'!$C$10="On",'Net zero Activity data'!AW17*'Net zero supporting data'!U193*kgtoGg,"ERROR"))</f>
        <v>3.7391484301160891</v>
      </c>
      <c r="AE791" s="93">
        <f>IF('Net zero activities &amp; levers'!$C$10="Off",'Activity data'!AX17*EF!$H30*kgtoGg,IF('Net zero activities &amp; levers'!$C$10="On",'Net zero Activity data'!AX17*'Net zero supporting data'!V193*kgtoGg,"ERROR"))</f>
        <v>3.3738713181477644</v>
      </c>
      <c r="AF791" s="93">
        <f>IF('Net zero activities &amp; levers'!$C$10="Off",'Activity data'!AY17*EF!$H30*kgtoGg,IF('Net zero activities &amp; levers'!$C$10="On",'Net zero Activity data'!AY17*'Net zero supporting data'!W193*kgtoGg,"ERROR"))</f>
        <v>3.0048352981814741</v>
      </c>
      <c r="AG791" s="93">
        <f>IF('Net zero activities &amp; levers'!$C$10="Off",'Activity data'!AZ17*EF!$H30*kgtoGg,IF('Net zero activities &amp; levers'!$C$10="On",'Net zero Activity data'!AZ17*'Net zero supporting data'!X193*kgtoGg,"ERROR"))</f>
        <v>2.6369532775916191</v>
      </c>
      <c r="AH791" s="93">
        <f>IF('Net zero activities &amp; levers'!$C$10="Off",'Activity data'!BA17*EF!$H30*kgtoGg,IF('Net zero activities &amp; levers'!$C$10="On",'Net zero Activity data'!BA17*'Net zero supporting data'!Y193*kgtoGg,"ERROR"))</f>
        <v>2.2347993678894378</v>
      </c>
      <c r="AI791" s="93">
        <f>IF('Net zero activities &amp; levers'!$C$10="Off",'Activity data'!BB17*EF!$H30*kgtoGg,IF('Net zero activities &amp; levers'!$C$10="On",'Net zero Activity data'!BB17*'Net zero supporting data'!Z193*kgtoGg,"ERROR"))</f>
        <v>1.8219928937851662</v>
      </c>
      <c r="AJ791" s="93">
        <f>IF('Net zero activities &amp; levers'!$C$10="Off",'Activity data'!BC17*EF!$H30*kgtoGg,IF('Net zero activities &amp; levers'!$C$10="On",'Net zero Activity data'!BC17*'Net zero supporting data'!AA193*kgtoGg,"ERROR"))</f>
        <v>1.4048762090446778</v>
      </c>
      <c r="AK791" s="93">
        <f>IF('Net zero activities &amp; levers'!$C$10="Off",'Activity data'!BD17*EF!$H30*kgtoGg,IF('Net zero activities &amp; levers'!$C$10="On",'Net zero Activity data'!BD17*'Net zero supporting data'!AB193*kgtoGg,"ERROR"))</f>
        <v>0.97718242509100128</v>
      </c>
      <c r="AL791" s="93">
        <f>IF('Net zero activities &amp; levers'!$C$10="Off",'Activity data'!BE17*EF!$H30*kgtoGg,IF('Net zero activities &amp; levers'!$C$10="On",'Net zero Activity data'!BE17*'Net zero supporting data'!AC193*kgtoGg,"ERROR"))</f>
        <v>0.54199596255564453</v>
      </c>
      <c r="AM791" s="93">
        <f>IF('Net zero activities &amp; levers'!$C$10="Off",'Activity data'!BF17*EF!$H30*kgtoGg,IF('Net zero activities &amp; levers'!$C$10="On",'Net zero Activity data'!BF17*'Net zero supporting data'!AD193*kgtoGg,"ERROR"))</f>
        <v>9.7920278569439967E-2</v>
      </c>
      <c r="AN791" s="93">
        <f>IF('Net zero activities &amp; levers'!$C$10="Off",'Activity data'!BG17*EF!$H30*kgtoGg,IF('Net zero activities &amp; levers'!$C$10="On",'Net zero Activity data'!BG17*'Net zero supporting data'!AE193*kgtoGg,"ERROR"))</f>
        <v>9.918884660162787E-2</v>
      </c>
      <c r="AO791" s="93">
        <f>IF('Net zero activities &amp; levers'!$C$10="Off",'Activity data'!BH17*EF!$H30*kgtoGg,IF('Net zero activities &amp; levers'!$C$10="On",'Net zero Activity data'!BH17*'Net zero supporting data'!AF193*kgtoGg,"ERROR"))</f>
        <v>0.10029042868060055</v>
      </c>
      <c r="AP791" s="93">
        <f>IF('Net zero activities &amp; levers'!$C$10="Off",'Activity data'!BI17*EF!$H30*kgtoGg,IF('Net zero activities &amp; levers'!$C$10="On",'Net zero Activity data'!BI17*'Net zero supporting data'!AG193*kgtoGg,"ERROR"))</f>
        <v>0.1013910317742478</v>
      </c>
      <c r="AQ791" s="93">
        <f>IF('Net zero activities &amp; levers'!$C$10="Off",'Activity data'!BJ17*EF!$H30*kgtoGg,IF('Net zero activities &amp; levers'!$C$10="On",'Net zero Activity data'!BJ17*'Net zero supporting data'!AH193*kgtoGg,"ERROR"))</f>
        <v>0.10253072365900306</v>
      </c>
      <c r="AR791" s="93">
        <f>IF('Net zero activities &amp; levers'!$C$10="Off",'Activity data'!BK17*EF!$H30*kgtoGg,IF('Net zero activities &amp; levers'!$C$10="On",'Net zero Activity data'!BK17*'Net zero supporting data'!AI193*kgtoGg,"ERROR"))</f>
        <v>0.10372231558325365</v>
      </c>
      <c r="AS791" s="93">
        <f>IF('Net zero activities &amp; levers'!$C$10="Off",'Activity data'!BL17*EF!$H30*kgtoGg,IF('Net zero activities &amp; levers'!$C$10="On",'Net zero Activity data'!BL17*'Net zero supporting data'!AJ193*kgtoGg,"ERROR"))</f>
        <v>0.10527519481248371</v>
      </c>
      <c r="AT791" s="93">
        <f>IF('Net zero activities &amp; levers'!$C$10="Off",'Activity data'!BM17*EF!$H30*kgtoGg,IF('Net zero activities &amp; levers'!$C$10="On",'Net zero Activity data'!BM17*'Net zero supporting data'!AK193*kgtoGg,"ERROR"))</f>
        <v>0.10575610836330873</v>
      </c>
      <c r="AU791" s="93">
        <f>IF('Net zero activities &amp; levers'!$C$10="Off",'Activity data'!BN17*EF!$H30*kgtoGg,IF('Net zero activities &amp; levers'!$C$10="On",'Net zero Activity data'!BN17*'Net zero supporting data'!AL193*kgtoGg,"ERROR"))</f>
        <v>0.10614022110508714</v>
      </c>
      <c r="AV791" s="93">
        <f>IF('Net zero activities &amp; levers'!$C$10="Off",'Activity data'!BO17*EF!$H30*kgtoGg,IF('Net zero activities &amp; levers'!$C$10="On",'Net zero Activity data'!BO17*'Net zero supporting data'!AM193*kgtoGg,"ERROR"))</f>
        <v>0.10653635262891897</v>
      </c>
      <c r="AW791" s="93">
        <f>IF('Net zero activities &amp; levers'!$C$10="Off",'Activity data'!BP17*EF!$H30*kgtoGg,IF('Net zero activities &amp; levers'!$C$10="On",'Net zero Activity data'!BP17*'Net zero supporting data'!AN193*kgtoGg,"ERROR"))</f>
        <v>0.10689889704464653</v>
      </c>
      <c r="AY791" s="79"/>
      <c r="AZ791" s="79"/>
    </row>
    <row r="792" spans="1:52" x14ac:dyDescent="0.2">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7.7932061732677804E-2</v>
      </c>
      <c r="L792" s="93">
        <f>IF('Net zero activities &amp; levers'!$C$10="Off",'Activity data'!AE18*EF!$H31*kgtoGg,IF('Net zero activities &amp; levers'!$C$10="On",'Net zero Activity data'!AE18*'Net zero supporting data'!C194*kgtoGg,"ERROR"))</f>
        <v>7.7508449141861155E-2</v>
      </c>
      <c r="M792" s="93">
        <f>IF('Net zero activities &amp; levers'!$C$10="Off",'Activity data'!AF18*EF!$H31*kgtoGg,IF('Net zero activities &amp; levers'!$C$10="On",'Net zero Activity data'!AF18*'Net zero supporting data'!D194*kgtoGg,"ERROR"))</f>
        <v>7.7543217949140639E-2</v>
      </c>
      <c r="N792" s="93">
        <f>IF('Net zero activities &amp; levers'!$C$10="Off",'Activity data'!AG18*EF!$H31*kgtoGg,IF('Net zero activities &amp; levers'!$C$10="On",'Net zero Activity data'!AG18*'Net zero supporting data'!E194*kgtoGg,"ERROR"))</f>
        <v>7.6831311787104645E-2</v>
      </c>
      <c r="O792" s="93">
        <f>IF('Net zero activities &amp; levers'!$C$10="Off",'Activity data'!AH18*EF!$H31*kgtoGg,IF('Net zero activities &amp; levers'!$C$10="On",'Net zero Activity data'!AH18*'Net zero supporting data'!F194*kgtoGg,"ERROR"))</f>
        <v>7.5668604825232078E-2</v>
      </c>
      <c r="P792" s="93">
        <f>IF('Net zero activities &amp; levers'!$C$10="Off",'Activity data'!AI18*EF!$H31*kgtoGg,IF('Net zero activities &amp; levers'!$C$10="On",'Net zero Activity data'!AI18*'Net zero supporting data'!G194*kgtoGg,"ERROR"))</f>
        <v>7.4073684167079407E-2</v>
      </c>
      <c r="Q792" s="93">
        <f>IF('Net zero activities &amp; levers'!$C$10="Off",'Activity data'!AJ18*EF!$H31*kgtoGg,IF('Net zero activities &amp; levers'!$C$10="On",'Net zero Activity data'!AJ18*'Net zero supporting data'!H194*kgtoGg,"ERROR"))</f>
        <v>7.2915594897087044E-2</v>
      </c>
      <c r="R792" s="93">
        <f>IF('Net zero activities &amp; levers'!$C$10="Off",'Activity data'!AK18*EF!$H31*kgtoGg,IF('Net zero activities &amp; levers'!$C$10="On",'Net zero Activity data'!AK18*'Net zero supporting data'!I194*kgtoGg,"ERROR"))</f>
        <v>7.1859980996426709E-2</v>
      </c>
      <c r="S792" s="93">
        <f>IF('Net zero activities &amp; levers'!$C$10="Off",'Activity data'!AL18*EF!$H31*kgtoGg,IF('Net zero activities &amp; levers'!$C$10="On",'Net zero Activity data'!AL18*'Net zero supporting data'!J194*kgtoGg,"ERROR"))</f>
        <v>6.4026806028504468E-2</v>
      </c>
      <c r="T792" s="93">
        <f>IF('Net zero activities &amp; levers'!$C$10="Off",'Activity data'!AM18*EF!$H31*kgtoGg,IF('Net zero activities &amp; levers'!$C$10="On",'Net zero Activity data'!AM18*'Net zero supporting data'!K194*kgtoGg,"ERROR"))</f>
        <v>5.9984140914923822E-2</v>
      </c>
      <c r="U792" s="93">
        <f>IF('Net zero activities &amp; levers'!$C$10="Off",'Activity data'!AN18*EF!$H31*kgtoGg,IF('Net zero activities &amp; levers'!$C$10="On",'Net zero Activity data'!AN18*'Net zero supporting data'!L194*kgtoGg,"ERROR"))</f>
        <v>5.530053305506763E-2</v>
      </c>
      <c r="V792" s="93">
        <f>IF('Net zero activities &amp; levers'!$C$10="Off",'Activity data'!AO18*EF!$H31*kgtoGg,IF('Net zero activities &amp; levers'!$C$10="On",'Net zero Activity data'!AO18*'Net zero supporting data'!M194*kgtoGg,"ERROR"))</f>
        <v>5.0439844385975541E-2</v>
      </c>
      <c r="W792" s="93">
        <f>IF('Net zero activities &amp; levers'!$C$10="Off",'Activity data'!AP18*EF!$H31*kgtoGg,IF('Net zero activities &amp; levers'!$C$10="On",'Net zero Activity data'!AP18*'Net zero supporting data'!N194*kgtoGg,"ERROR"))</f>
        <v>4.5700066021236524E-2</v>
      </c>
      <c r="X792" s="93">
        <f>IF('Net zero activities &amp; levers'!$C$10="Off",'Activity data'!AQ18*EF!$H31*kgtoGg,IF('Net zero activities &amp; levers'!$C$10="On",'Net zero Activity data'!AQ18*'Net zero supporting data'!O194*kgtoGg,"ERROR"))</f>
        <v>4.0799094228377908E-2</v>
      </c>
      <c r="Y792" s="93">
        <f>IF('Net zero activities &amp; levers'!$C$10="Off",'Activity data'!AR18*EF!$H31*kgtoGg,IF('Net zero activities &amp; levers'!$C$10="On",'Net zero Activity data'!AR18*'Net zero supporting data'!P194*kgtoGg,"ERROR"))</f>
        <v>3.5740273890825076E-2</v>
      </c>
      <c r="Z792" s="93">
        <f>IF('Net zero activities &amp; levers'!$C$10="Off",'Activity data'!AS18*EF!$H31*kgtoGg,IF('Net zero activities &amp; levers'!$C$10="On",'Net zero Activity data'!AS18*'Net zero supporting data'!Q194*kgtoGg,"ERROR"))</f>
        <v>3.0614266363631747E-2</v>
      </c>
      <c r="AA792" s="93">
        <f>IF('Net zero activities &amp; levers'!$C$10="Off",'Activity data'!AT18*EF!$H31*kgtoGg,IF('Net zero activities &amp; levers'!$C$10="On",'Net zero Activity data'!AT18*'Net zero supporting data'!R194*kgtoGg,"ERROR"))</f>
        <v>2.5428370036264653E-2</v>
      </c>
      <c r="AB792" s="93">
        <f>IF('Net zero activities &amp; levers'!$C$10="Off",'Activity data'!AU18*EF!$H31*kgtoGg,IF('Net zero activities &amp; levers'!$C$10="On",'Net zero Activity data'!AU18*'Net zero supporting data'!S194*kgtoGg,"ERROR"))</f>
        <v>2.0352290529284316E-2</v>
      </c>
      <c r="AC792" s="93">
        <f>IF('Net zero activities &amp; levers'!$C$10="Off",'Activity data'!AV18*EF!$H31*kgtoGg,IF('Net zero activities &amp; levers'!$C$10="On",'Net zero Activity data'!AV18*'Net zero supporting data'!T194*kgtoGg,"ERROR"))</f>
        <v>1.5204843404628077E-2</v>
      </c>
      <c r="AD792" s="93">
        <f>IF('Net zero activities &amp; levers'!$C$10="Off",'Activity data'!AW18*EF!$H31*kgtoGg,IF('Net zero activities &amp; levers'!$C$10="On",'Net zero Activity data'!AW18*'Net zero supporting data'!U194*kgtoGg,"ERROR"))</f>
        <v>1.399261991668207E-2</v>
      </c>
      <c r="AE792" s="93">
        <f>IF('Net zero activities &amp; levers'!$C$10="Off",'Activity data'!AX18*EF!$H31*kgtoGg,IF('Net zero activities &amp; levers'!$C$10="On",'Net zero Activity data'!AX18*'Net zero supporting data'!V194*kgtoGg,"ERROR"))</f>
        <v>1.2824037952140764E-2</v>
      </c>
      <c r="AF792" s="93">
        <f>IF('Net zero activities &amp; levers'!$C$10="Off",'Activity data'!AY18*EF!$H31*kgtoGg,IF('Net zero activities &amp; levers'!$C$10="On",'Net zero Activity data'!AY18*'Net zero supporting data'!W194*kgtoGg,"ERROR"))</f>
        <v>1.1646947143909389E-2</v>
      </c>
      <c r="AG792" s="93">
        <f>IF('Net zero activities &amp; levers'!$C$10="Off",'Activity data'!AZ18*EF!$H31*kgtoGg,IF('Net zero activities &amp; levers'!$C$10="On",'Net zero Activity data'!AZ18*'Net zero supporting data'!X194*kgtoGg,"ERROR"))</f>
        <v>1.048268302040864E-2</v>
      </c>
      <c r="AH792" s="93">
        <f>IF('Net zero activities &amp; levers'!$C$10="Off",'Activity data'!BA18*EF!$H31*kgtoGg,IF('Net zero activities &amp; levers'!$C$10="On",'Net zero Activity data'!BA18*'Net zero supporting data'!Y194*kgtoGg,"ERROR"))</f>
        <v>9.1907664492359778E-3</v>
      </c>
      <c r="AI792" s="93">
        <f>IF('Net zero activities &amp; levers'!$C$10="Off",'Activity data'!BB18*EF!$H31*kgtoGg,IF('Net zero activities &amp; levers'!$C$10="On",'Net zero Activity data'!BB18*'Net zero supporting data'!Z194*kgtoGg,"ERROR"))</f>
        <v>7.8617623871390617E-3</v>
      </c>
      <c r="AJ792" s="93">
        <f>IF('Net zero activities &amp; levers'!$C$10="Off",'Activity data'!BC18*EF!$H31*kgtoGg,IF('Net zero activities &amp; levers'!$C$10="On",'Net zero Activity data'!BC18*'Net zero supporting data'!AA194*kgtoGg,"ERROR"))</f>
        <v>6.5229089372106346E-3</v>
      </c>
      <c r="AK792" s="93">
        <f>IF('Net zero activities &amp; levers'!$C$10="Off",'Activity data'!BD18*EF!$H31*kgtoGg,IF('Net zero activities &amp; levers'!$C$10="On",'Net zero Activity data'!BD18*'Net zero supporting data'!AB194*kgtoGg,"ERROR"))</f>
        <v>5.1468760550988646E-3</v>
      </c>
      <c r="AL792" s="93">
        <f>IF('Net zero activities &amp; levers'!$C$10="Off",'Activity data'!BE18*EF!$H31*kgtoGg,IF('Net zero activities &amp; levers'!$C$10="On",'Net zero Activity data'!BE18*'Net zero supporting data'!AC194*kgtoGg,"ERROR"))</f>
        <v>3.7483241306626716E-3</v>
      </c>
      <c r="AM792" s="93">
        <f>IF('Net zero activities &amp; levers'!$C$10="Off",'Activity data'!BF18*EF!$H31*kgtoGg,IF('Net zero activities &amp; levers'!$C$10="On",'Net zero Activity data'!BF18*'Net zero supporting data'!AD194*kgtoGg,"ERROR"))</f>
        <v>2.3203165860716788E-3</v>
      </c>
      <c r="AN792" s="93">
        <f>IF('Net zero activities &amp; levers'!$C$10="Off",'Activity data'!BG18*EF!$H31*kgtoGg,IF('Net zero activities &amp; levers'!$C$10="On",'Net zero Activity data'!BG18*'Net zero supporting data'!AE194*kgtoGg,"ERROR"))</f>
        <v>2.3503765439133891E-3</v>
      </c>
      <c r="AO792" s="93">
        <f>IF('Net zero activities &amp; levers'!$C$10="Off",'Activity data'!BH18*EF!$H31*kgtoGg,IF('Net zero activities &amp; levers'!$C$10="On",'Net zero Activity data'!BH18*'Net zero supporting data'!AF194*kgtoGg,"ERROR"))</f>
        <v>2.3764796065894934E-3</v>
      </c>
      <c r="AP792" s="93">
        <f>IF('Net zero activities &amp; levers'!$C$10="Off",'Activity data'!BI18*EF!$H31*kgtoGg,IF('Net zero activities &amp; levers'!$C$10="On",'Net zero Activity data'!BI18*'Net zero supporting data'!AG194*kgtoGg,"ERROR"))</f>
        <v>2.4025594712526696E-3</v>
      </c>
      <c r="AQ792" s="93">
        <f>IF('Net zero activities &amp; levers'!$C$10="Off",'Activity data'!BJ18*EF!$H31*kgtoGg,IF('Net zero activities &amp; levers'!$C$10="On",'Net zero Activity data'!BJ18*'Net zero supporting data'!AH194*kgtoGg,"ERROR"))</f>
        <v>2.429565582977869E-3</v>
      </c>
      <c r="AR792" s="93">
        <f>IF('Net zero activities &amp; levers'!$C$10="Off",'Activity data'!BK18*EF!$H31*kgtoGg,IF('Net zero activities &amp; levers'!$C$10="On",'Net zero Activity data'!BK18*'Net zero supporting data'!AI194*kgtoGg,"ERROR"))</f>
        <v>2.4578015168013924E-3</v>
      </c>
      <c r="AS792" s="93">
        <f>IF('Net zero activities &amp; levers'!$C$10="Off",'Activity data'!BL18*EF!$H31*kgtoGg,IF('Net zero activities &amp; levers'!$C$10="On",'Net zero Activity data'!BL18*'Net zero supporting data'!AJ194*kgtoGg,"ERROR"))</f>
        <v>2.494598505988811E-3</v>
      </c>
      <c r="AT792" s="93">
        <f>IF('Net zero activities &amp; levers'!$C$10="Off",'Activity data'!BM18*EF!$H31*kgtoGg,IF('Net zero activities &amp; levers'!$C$10="On",'Net zero Activity data'!BM18*'Net zero supporting data'!AK194*kgtoGg,"ERROR"))</f>
        <v>2.5059942220217735E-3</v>
      </c>
      <c r="AU792" s="93">
        <f>IF('Net zero activities &amp; levers'!$C$10="Off",'Activity data'!BN18*EF!$H31*kgtoGg,IF('Net zero activities &amp; levers'!$C$10="On",'Net zero Activity data'!BN18*'Net zero supporting data'!AL194*kgtoGg,"ERROR"))</f>
        <v>2.5150961483917833E-3</v>
      </c>
      <c r="AV792" s="93">
        <f>IF('Net zero activities &amp; levers'!$C$10="Off",'Activity data'!BO18*EF!$H31*kgtoGg,IF('Net zero activities &amp; levers'!$C$10="On",'Net zero Activity data'!BO18*'Net zero supporting data'!AM194*kgtoGg,"ERROR"))</f>
        <v>2.5244828715347439E-3</v>
      </c>
      <c r="AW792" s="93">
        <f>IF('Net zero activities &amp; levers'!$C$10="Off",'Activity data'!BP18*EF!$H31*kgtoGg,IF('Net zero activities &amp; levers'!$C$10="On",'Net zero Activity data'!BP18*'Net zero supporting data'!AN194*kgtoGg,"ERROR"))</f>
        <v>2.5330737153649498E-3</v>
      </c>
      <c r="AY792" s="79"/>
      <c r="AZ792" s="79"/>
    </row>
    <row r="793" spans="1:52" x14ac:dyDescent="0.2">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0.59866182774590171</v>
      </c>
      <c r="P793" s="93">
        <f>IF('Net zero activities &amp; levers'!$C$10="Off",'Activity data'!AI19*EF!$H32*kgtoGg,IF('Net zero activities &amp; levers'!$C$10="On",'Net zero Activity data'!AI19*'Net zero supporting data'!G195*kgtoGg,"ERROR"))</f>
        <v>0.60475451589519702</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0.6206898695388976</v>
      </c>
      <c r="S793" s="93">
        <f>IF('Net zero activities &amp; levers'!$C$10="Off",'Activity data'!AL19*EF!$H32*kgtoGg,IF('Net zero activities &amp; levers'!$C$10="On",'Net zero Activity data'!AL19*'Net zero supporting data'!J195*kgtoGg,"ERROR"))</f>
        <v>0.59586205354866417</v>
      </c>
      <c r="T793" s="93">
        <f>IF('Net zero activities &amp; levers'!$C$10="Off",'Activity data'!AM19*EF!$H32*kgtoGg,IF('Net zero activities &amp; levers'!$C$10="On",'Net zero Activity data'!AM19*'Net zero supporting data'!K195*kgtoGg,"ERROR"))</f>
        <v>0.58584597468575483</v>
      </c>
      <c r="U793" s="93">
        <f>IF('Net zero activities &amp; levers'!$C$10="Off",'Activity data'!AN19*EF!$H32*kgtoGg,IF('Net zero activities &amp; levers'!$C$10="On",'Net zero Activity data'!AN19*'Net zero supporting data'!L195*kgtoGg,"ERROR"))</f>
        <v>0.57209944446450112</v>
      </c>
      <c r="V793" s="93">
        <f>IF('Net zero activities &amp; levers'!$C$10="Off",'Activity data'!AO19*EF!$H32*kgtoGg,IF('Net zero activities &amp; levers'!$C$10="On",'Net zero Activity data'!AO19*'Net zero supporting data'!M195*kgtoGg,"ERROR"))</f>
        <v>0.55673591405569012</v>
      </c>
      <c r="W793" s="93">
        <f>IF('Net zero activities &amp; levers'!$C$10="Off",'Activity data'!AP19*EF!$H32*kgtoGg,IF('Net zero activities &amp; levers'!$C$10="On",'Net zero Activity data'!AP19*'Net zero supporting data'!N195*kgtoGg,"ERROR"))</f>
        <v>0.54147933780810953</v>
      </c>
      <c r="X793" s="93">
        <f>IF('Net zero activities &amp; levers'!$C$10="Off",'Activity data'!AQ19*EF!$H32*kgtoGg,IF('Net zero activities &amp; levers'!$C$10="On",'Net zero Activity data'!AQ19*'Net zero supporting data'!O195*kgtoGg,"ERROR"))</f>
        <v>0.52464094180501697</v>
      </c>
      <c r="Y793" s="93">
        <f>IF('Net zero activities &amp; levers'!$C$10="Off",'Activity data'!AR19*EF!$H32*kgtoGg,IF('Net zero activities &amp; levers'!$C$10="On",'Net zero Activity data'!AR19*'Net zero supporting data'!P195*kgtoGg,"ERROR"))</f>
        <v>0.50563091484712019</v>
      </c>
      <c r="Z793" s="93">
        <f>IF('Net zero activities &amp; levers'!$C$10="Off",'Activity data'!AS19*EF!$H32*kgtoGg,IF('Net zero activities &amp; levers'!$C$10="On",'Net zero Activity data'!AS19*'Net zero supporting data'!Q195*kgtoGg,"ERROR"))</f>
        <v>0.48538277137321989</v>
      </c>
      <c r="AA793" s="93">
        <f>IF('Net zero activities &amp; levers'!$C$10="Off",'Activity data'!AT19*EF!$H32*kgtoGg,IF('Net zero activities &amp; levers'!$C$10="On",'Net zero Activity data'!AT19*'Net zero supporting data'!R195*kgtoGg,"ERROR"))</f>
        <v>0.46381077478864324</v>
      </c>
      <c r="AB793" s="93">
        <f>IF('Net zero activities &amp; levers'!$C$10="Off",'Activity data'!AU19*EF!$H32*kgtoGg,IF('Net zero activities &amp; levers'!$C$10="On",'Net zero Activity data'!AU19*'Net zero supporting data'!S195*kgtoGg,"ERROR"))</f>
        <v>0.44270480050544991</v>
      </c>
      <c r="AC793" s="93">
        <f>IF('Net zero activities &amp; levers'!$C$10="Off",'Activity data'!AV19*EF!$H32*kgtoGg,IF('Net zero activities &amp; levers'!$C$10="On",'Net zero Activity data'!AV19*'Net zero supporting data'!T195*kgtoGg,"ERROR"))</f>
        <v>0.42039352196627527</v>
      </c>
      <c r="AD793" s="93">
        <f>IF('Net zero activities &amp; levers'!$C$10="Off",'Activity data'!AW19*EF!$H32*kgtoGg,IF('Net zero activities &amp; levers'!$C$10="On",'Net zero Activity data'!AW19*'Net zero supporting data'!U195*kgtoGg,"ERROR"))</f>
        <v>0.42076934202763672</v>
      </c>
      <c r="AE793" s="93">
        <f>IF('Net zero activities &amp; levers'!$C$10="Off",'Activity data'!AX19*EF!$H32*kgtoGg,IF('Net zero activities &amp; levers'!$C$10="On",'Net zero Activity data'!AX19*'Net zero supporting data'!V195*kgtoGg,"ERROR"))</f>
        <v>0.42214582091094555</v>
      </c>
      <c r="AF793" s="93">
        <f>IF('Net zero activities &amp; levers'!$C$10="Off",'Activity data'!AY19*EF!$H32*kgtoGg,IF('Net zero activities &amp; levers'!$C$10="On",'Net zero Activity data'!AY19*'Net zero supporting data'!W195*kgtoGg,"ERROR"))</f>
        <v>0.42384064595855953</v>
      </c>
      <c r="AG793" s="93">
        <f>IF('Net zero activities &amp; levers'!$C$10="Off",'Activity data'!AZ19*EF!$H32*kgtoGg,IF('Net zero activities &amp; levers'!$C$10="On",'Net zero Activity data'!AZ19*'Net zero supporting data'!X195*kgtoGg,"ERROR"))</f>
        <v>0.42654751114733552</v>
      </c>
      <c r="AH793" s="93">
        <f>IF('Net zero activities &amp; levers'!$C$10="Off",'Activity data'!BA19*EF!$H32*kgtoGg,IF('Net zero activities &amp; levers'!$C$10="On",'Net zero Activity data'!BA19*'Net zero supporting data'!Y195*kgtoGg,"ERROR"))</f>
        <v>0.42697299970980634</v>
      </c>
      <c r="AI793" s="93">
        <f>IF('Net zero activities &amp; levers'!$C$10="Off",'Activity data'!BB19*EF!$H32*kgtoGg,IF('Net zero activities &amp; levers'!$C$10="On",'Net zero Activity data'!BB19*'Net zero supporting data'!Z195*kgtoGg,"ERROR"))</f>
        <v>0.42666986190335426</v>
      </c>
      <c r="AJ793" s="93">
        <f>IF('Net zero activities &amp; levers'!$C$10="Off",'Activity data'!BC19*EF!$H32*kgtoGg,IF('Net zero activities &amp; levers'!$C$10="On",'Net zero Activity data'!BC19*'Net zero supporting data'!AA195*kgtoGg,"ERROR"))</f>
        <v>0.42672670805929658</v>
      </c>
      <c r="AK793" s="93">
        <f>IF('Net zero activities &amp; levers'!$C$10="Off",'Activity data'!BD19*EF!$H32*kgtoGg,IF('Net zero activities &amp; levers'!$C$10="On",'Net zero Activity data'!BD19*'Net zero supporting data'!AB195*kgtoGg,"ERROR"))</f>
        <v>0.42623268490111271</v>
      </c>
      <c r="AL793" s="93">
        <f>IF('Net zero activities &amp; levers'!$C$10="Off",'Activity data'!BE19*EF!$H32*kgtoGg,IF('Net zero activities &amp; levers'!$C$10="On",'Net zero Activity data'!BE19*'Net zero supporting data'!AC195*kgtoGg,"ERROR"))</f>
        <v>0.4257846643468336</v>
      </c>
      <c r="AM793" s="93">
        <f>IF('Net zero activities &amp; levers'!$C$10="Off",'Activity data'!BF19*EF!$H32*kgtoGg,IF('Net zero activities &amp; levers'!$C$10="On",'Net zero Activity data'!BF19*'Net zero supporting data'!AD195*kgtoGg,"ERROR"))</f>
        <v>0.42506452196783956</v>
      </c>
      <c r="AN793" s="93">
        <f>IF('Net zero activities &amp; levers'!$C$10="Off",'Activity data'!BG19*EF!$H32*kgtoGg,IF('Net zero activities &amp; levers'!$C$10="On",'Net zero Activity data'!BG19*'Net zero supporting data'!AE195*kgtoGg,"ERROR"))</f>
        <v>0.4345060187553641</v>
      </c>
      <c r="AO793" s="93">
        <f>IF('Net zero activities &amp; levers'!$C$10="Off",'Activity data'!BH19*EF!$H32*kgtoGg,IF('Net zero activities &amp; levers'!$C$10="On",'Net zero Activity data'!BH19*'Net zero supporting data'!AF195*kgtoGg,"ERROR"))</f>
        <v>0.44369515521562258</v>
      </c>
      <c r="AP793" s="93">
        <f>IF('Net zero activities &amp; levers'!$C$10="Off",'Activity data'!BI19*EF!$H32*kgtoGg,IF('Net zero activities &amp; levers'!$C$10="On",'Net zero Activity data'!BI19*'Net zero supporting data'!AG195*kgtoGg,"ERROR"))</f>
        <v>0.45307771492469689</v>
      </c>
      <c r="AQ793" s="93">
        <f>IF('Net zero activities &amp; levers'!$C$10="Off",'Activity data'!BJ19*EF!$H32*kgtoGg,IF('Net zero activities &amp; levers'!$C$10="On",'Net zero Activity data'!BJ19*'Net zero supporting data'!AH195*kgtoGg,"ERROR"))</f>
        <v>0.46277371313859872</v>
      </c>
      <c r="AR793" s="93">
        <f>IF('Net zero activities &amp; levers'!$C$10="Off",'Activity data'!BK19*EF!$H32*kgtoGg,IF('Net zero activities &amp; levers'!$C$10="On",'Net zero Activity data'!BK19*'Net zero supporting data'!AI195*kgtoGg,"ERROR"))</f>
        <v>0.47283254145491116</v>
      </c>
      <c r="AS793" s="93">
        <f>IF('Net zero activities &amp; levers'!$C$10="Off",'Activity data'!BL19*EF!$H32*kgtoGg,IF('Net zero activities &amp; levers'!$C$10="On",'Net zero Activity data'!BL19*'Net zero supporting data'!AJ195*kgtoGg,"ERROR"))</f>
        <v>0.48398289372874803</v>
      </c>
      <c r="AT793" s="93">
        <f>IF('Net zero activities &amp; levers'!$C$10="Off",'Activity data'!BM19*EF!$H32*kgtoGg,IF('Net zero activities &amp; levers'!$C$10="On",'Net zero Activity data'!BM19*'Net zero supporting data'!AK195*kgtoGg,"ERROR"))</f>
        <v>0.49216300877190688</v>
      </c>
      <c r="AU793" s="93">
        <f>IF('Net zero activities &amp; levers'!$C$10="Off",'Activity data'!BN19*EF!$H32*kgtoGg,IF('Net zero activities &amp; levers'!$C$10="On",'Net zero Activity data'!BN19*'Net zero supporting data'!AL195*kgtoGg,"ERROR"))</f>
        <v>0.50020088312835953</v>
      </c>
      <c r="AV793" s="93">
        <f>IF('Net zero activities &amp; levers'!$C$10="Off",'Activity data'!BO19*EF!$H32*kgtoGg,IF('Net zero activities &amp; levers'!$C$10="On",'Net zero Activity data'!BO19*'Net zero supporting data'!AM195*kgtoGg,"ERROR"))</f>
        <v>0.50842600274476801</v>
      </c>
      <c r="AW793" s="93">
        <f>IF('Net zero activities &amp; levers'!$C$10="Off",'Activity data'!BP19*EF!$H32*kgtoGg,IF('Net zero activities &amp; levers'!$C$10="On",'Net zero Activity data'!BP19*'Net zero supporting data'!AN195*kgtoGg,"ERROR"))</f>
        <v>0.51669988536055722</v>
      </c>
      <c r="AY793" s="79"/>
      <c r="AZ793" s="79"/>
    </row>
    <row r="794" spans="1:52" x14ac:dyDescent="0.2">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2.2100196981344111</v>
      </c>
      <c r="L794" s="27">
        <f t="shared" si="222"/>
        <v>2.239121707445149</v>
      </c>
      <c r="M794" s="27">
        <f t="shared" si="222"/>
        <v>2.2858678822724823</v>
      </c>
      <c r="N794" s="27">
        <f t="shared" si="222"/>
        <v>2.2992900748078591</v>
      </c>
      <c r="O794" s="27">
        <f t="shared" si="222"/>
        <v>2.2910596881616572</v>
      </c>
      <c r="P794" s="27">
        <f t="shared" si="222"/>
        <v>2.2612642885898917</v>
      </c>
      <c r="Q794" s="27">
        <f t="shared" si="222"/>
        <v>2.2487211059946204</v>
      </c>
      <c r="R794" s="27">
        <f t="shared" si="222"/>
        <v>2.2390235702415171</v>
      </c>
      <c r="S794" s="27">
        <f t="shared" si="222"/>
        <v>1.9141242898278399</v>
      </c>
      <c r="T794" s="27">
        <f t="shared" si="222"/>
        <v>1.9984899724616512</v>
      </c>
      <c r="U794" s="27">
        <f t="shared" si="222"/>
        <v>2.0566281324498989</v>
      </c>
      <c r="V794" s="27">
        <f t="shared" si="222"/>
        <v>2.1082245232127885</v>
      </c>
      <c r="W794" s="27">
        <f t="shared" si="222"/>
        <v>2.1717516772979577</v>
      </c>
      <c r="X794" s="27">
        <f t="shared" si="222"/>
        <v>2.2294138068766221</v>
      </c>
      <c r="Y794" s="27">
        <f t="shared" si="222"/>
        <v>2.2803087574477758</v>
      </c>
      <c r="Z794" s="27">
        <f t="shared" si="222"/>
        <v>2.3275959555736767</v>
      </c>
      <c r="AA794" s="27">
        <f t="shared" si="222"/>
        <v>2.3696866416984408</v>
      </c>
      <c r="AB794" s="27">
        <f t="shared" si="222"/>
        <v>2.4313567650804138</v>
      </c>
      <c r="AC794" s="27">
        <f t="shared" si="222"/>
        <v>2.4911768272254537</v>
      </c>
      <c r="AD794" s="27">
        <f t="shared" si="222"/>
        <v>2.5611651092780447</v>
      </c>
      <c r="AE794" s="27">
        <f t="shared" si="222"/>
        <v>2.6503466863676968</v>
      </c>
      <c r="AF794" s="27">
        <f t="shared" si="222"/>
        <v>2.7487492134063758</v>
      </c>
      <c r="AG794" s="27">
        <f t="shared" si="222"/>
        <v>2.8678706867563997</v>
      </c>
      <c r="AH794" s="27">
        <f t="shared" si="222"/>
        <v>2.9554288288988109</v>
      </c>
      <c r="AI794" s="27">
        <f t="shared" si="222"/>
        <v>3.0407668489306769</v>
      </c>
      <c r="AJ794" s="27">
        <f t="shared" si="222"/>
        <v>3.1366479798785045</v>
      </c>
      <c r="AK794" s="27">
        <f t="shared" si="222"/>
        <v>3.228263044676527</v>
      </c>
      <c r="AL794" s="27">
        <f t="shared" si="222"/>
        <v>3.3257213723703618</v>
      </c>
      <c r="AM794" s="27">
        <f t="shared" si="222"/>
        <v>3.4238536012880374</v>
      </c>
      <c r="AN794" s="27">
        <f t="shared" si="222"/>
        <v>3.5403209104075128</v>
      </c>
      <c r="AO794" s="27">
        <f t="shared" si="222"/>
        <v>3.6511369162882397</v>
      </c>
      <c r="AP794" s="27">
        <f t="shared" si="222"/>
        <v>3.7640318136014432</v>
      </c>
      <c r="AQ794" s="27">
        <f t="shared" si="222"/>
        <v>3.8810201496437728</v>
      </c>
      <c r="AR794" s="27">
        <f t="shared" si="222"/>
        <v>4.0028778541582692</v>
      </c>
      <c r="AS794" s="27">
        <f t="shared" si="222"/>
        <v>4.1464729012292834</v>
      </c>
      <c r="AT794" s="27">
        <f t="shared" si="222"/>
        <v>4.2389508928341062</v>
      </c>
      <c r="AU794" s="27">
        <f t="shared" si="222"/>
        <v>4.3281678617131494</v>
      </c>
      <c r="AV794" s="27">
        <f t="shared" si="222"/>
        <v>4.4196303430169497</v>
      </c>
      <c r="AW794" s="27">
        <f t="shared" si="222"/>
        <v>4.5110296667808401</v>
      </c>
      <c r="AY794" s="79"/>
      <c r="AZ794" s="79"/>
    </row>
    <row r="795" spans="1:52" x14ac:dyDescent="0.2">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2.3161053423012622E-2</v>
      </c>
      <c r="L795" s="27">
        <f t="shared" si="223"/>
        <v>2.3631963555267661E-2</v>
      </c>
      <c r="M795" s="27">
        <f t="shared" si="223"/>
        <v>2.4182412868997839E-2</v>
      </c>
      <c r="N795" s="27">
        <f t="shared" si="223"/>
        <v>2.460500634884424E-2</v>
      </c>
      <c r="O795" s="27">
        <f t="shared" si="223"/>
        <v>2.4944242822745932E-2</v>
      </c>
      <c r="P795" s="27">
        <f t="shared" si="223"/>
        <v>2.5198104828966564E-2</v>
      </c>
      <c r="Q795" s="27">
        <f t="shared" si="223"/>
        <v>2.5523625995077459E-2</v>
      </c>
      <c r="R795" s="27">
        <f t="shared" si="223"/>
        <v>2.5862077897454098E-2</v>
      </c>
      <c r="S795" s="27">
        <f t="shared" si="223"/>
        <v>2.4827585564527698E-2</v>
      </c>
      <c r="T795" s="27">
        <f t="shared" si="223"/>
        <v>2.5486087178475895E-2</v>
      </c>
      <c r="U795" s="27">
        <f t="shared" si="223"/>
        <v>2.6035541273385285E-2</v>
      </c>
      <c r="V795" s="27">
        <f t="shared" si="223"/>
        <v>2.6560965171483649E-2</v>
      </c>
      <c r="W795" s="27">
        <f t="shared" si="223"/>
        <v>2.7145121762770889E-2</v>
      </c>
      <c r="X795" s="27">
        <f t="shared" si="223"/>
        <v>2.7708248229993501E-2</v>
      </c>
      <c r="Y795" s="27">
        <f t="shared" si="223"/>
        <v>2.8213866962301819E-2</v>
      </c>
      <c r="Z795" s="27">
        <f t="shared" si="223"/>
        <v>2.8706851310880941E-2</v>
      </c>
      <c r="AA795" s="27">
        <f t="shared" si="223"/>
        <v>2.9179391564757153E-2</v>
      </c>
      <c r="AB795" s="27">
        <f t="shared" si="223"/>
        <v>2.9747583298672345E-2</v>
      </c>
      <c r="AC795" s="27">
        <f t="shared" si="223"/>
        <v>3.0311879498672922E-2</v>
      </c>
      <c r="AD795" s="27">
        <f t="shared" si="223"/>
        <v>3.0903338889043501E-2</v>
      </c>
      <c r="AE795" s="27">
        <f t="shared" si="223"/>
        <v>3.1592106107355133E-2</v>
      </c>
      <c r="AF795" s="27">
        <f t="shared" si="223"/>
        <v>3.2331772553839976E-2</v>
      </c>
      <c r="AG795" s="27">
        <f t="shared" si="223"/>
        <v>3.3179306058555749E-2</v>
      </c>
      <c r="AH795" s="27">
        <f t="shared" si="223"/>
        <v>3.3879880784644982E-2</v>
      </c>
      <c r="AI795" s="27">
        <f t="shared" si="223"/>
        <v>3.4550190741567552E-2</v>
      </c>
      <c r="AJ795" s="27">
        <f t="shared" si="223"/>
        <v>3.5278332346172038E-2</v>
      </c>
      <c r="AK795" s="27">
        <f t="shared" si="223"/>
        <v>3.5991103595981948E-2</v>
      </c>
      <c r="AL795" s="27">
        <f t="shared" si="223"/>
        <v>3.6738998105945983E-2</v>
      </c>
      <c r="AM795" s="27">
        <f t="shared" si="223"/>
        <v>3.7496307305721614E-2</v>
      </c>
      <c r="AN795" s="27">
        <f t="shared" si="223"/>
        <v>3.8329172074891393E-2</v>
      </c>
      <c r="AO795" s="27">
        <f t="shared" si="223"/>
        <v>3.9139775328705488E-2</v>
      </c>
      <c r="AP795" s="27">
        <f t="shared" si="223"/>
        <v>3.9967441068807751E-2</v>
      </c>
      <c r="AQ795" s="27">
        <f t="shared" si="223"/>
        <v>4.0822756226565615E-2</v>
      </c>
      <c r="AR795" s="27">
        <f t="shared" si="223"/>
        <v>4.1710077793507598E-2</v>
      </c>
      <c r="AS795" s="27">
        <f t="shared" si="223"/>
        <v>4.2693686196041997E-2</v>
      </c>
      <c r="AT795" s="27">
        <f t="shared" si="223"/>
        <v>4.3415280428452788E-2</v>
      </c>
      <c r="AU795" s="27">
        <f t="shared" si="223"/>
        <v>4.4124327152839558E-2</v>
      </c>
      <c r="AV795" s="27">
        <f t="shared" si="223"/>
        <v>4.4849891383265984E-2</v>
      </c>
      <c r="AW795" s="27">
        <f t="shared" si="223"/>
        <v>4.5579757154553702E-2</v>
      </c>
      <c r="AY795" s="79"/>
      <c r="AZ795" s="79"/>
    </row>
    <row r="796" spans="1:52" x14ac:dyDescent="0.2">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9.2084154088933862E-2</v>
      </c>
      <c r="L796" s="27">
        <f t="shared" si="225"/>
        <v>9.3296737810214622E-2</v>
      </c>
      <c r="M796" s="27">
        <f t="shared" si="225"/>
        <v>9.5244495094686854E-2</v>
      </c>
      <c r="N796" s="27">
        <f t="shared" si="225"/>
        <v>9.5803753116994225E-2</v>
      </c>
      <c r="O796" s="27">
        <f t="shared" si="225"/>
        <v>9.5460820340069155E-2</v>
      </c>
      <c r="P796" s="27">
        <f t="shared" si="225"/>
        <v>9.4219345357912251E-2</v>
      </c>
      <c r="Q796" s="27">
        <f t="shared" si="225"/>
        <v>9.3696712749775937E-2</v>
      </c>
      <c r="R796" s="27">
        <f t="shared" si="225"/>
        <v>9.3292648760063296E-2</v>
      </c>
      <c r="S796" s="27">
        <f t="shared" si="225"/>
        <v>7.9755178742826727E-2</v>
      </c>
      <c r="T796" s="27">
        <f t="shared" si="225"/>
        <v>8.3270415519235544E-2</v>
      </c>
      <c r="U796" s="27">
        <f t="shared" si="225"/>
        <v>8.5692838852079192E-2</v>
      </c>
      <c r="V796" s="27">
        <f t="shared" si="225"/>
        <v>8.7842688467199587E-2</v>
      </c>
      <c r="W796" s="27">
        <f t="shared" si="225"/>
        <v>9.0489653220748326E-2</v>
      </c>
      <c r="X796" s="27">
        <f t="shared" si="225"/>
        <v>9.289224195319265E-2</v>
      </c>
      <c r="Y796" s="27">
        <f t="shared" si="225"/>
        <v>9.5012864893657414E-2</v>
      </c>
      <c r="Z796" s="27">
        <f t="shared" si="225"/>
        <v>9.6983164815569928E-2</v>
      </c>
      <c r="AA796" s="27">
        <f t="shared" si="225"/>
        <v>9.8736943404101787E-2</v>
      </c>
      <c r="AB796" s="27">
        <f t="shared" si="225"/>
        <v>0.10130653187835065</v>
      </c>
      <c r="AC796" s="27">
        <f t="shared" si="225"/>
        <v>0.10379903446772733</v>
      </c>
      <c r="AD796" s="27">
        <f t="shared" si="225"/>
        <v>0.1067152128865853</v>
      </c>
      <c r="AE796" s="27">
        <f t="shared" si="225"/>
        <v>0.11043111193198749</v>
      </c>
      <c r="AF796" s="27">
        <f t="shared" si="225"/>
        <v>0.11453121722526576</v>
      </c>
      <c r="AG796" s="27">
        <f t="shared" si="225"/>
        <v>0.11949461194818344</v>
      </c>
      <c r="AH796" s="27">
        <f t="shared" si="225"/>
        <v>0.12314286787078389</v>
      </c>
      <c r="AI796" s="27">
        <f t="shared" si="225"/>
        <v>0.12669861870544499</v>
      </c>
      <c r="AJ796" s="27">
        <f t="shared" si="225"/>
        <v>0.13069366582827113</v>
      </c>
      <c r="AK796" s="27">
        <f t="shared" si="225"/>
        <v>0.13451096019485542</v>
      </c>
      <c r="AL796" s="27">
        <f t="shared" si="225"/>
        <v>0.13857172384876518</v>
      </c>
      <c r="AM796" s="27">
        <f t="shared" si="225"/>
        <v>0.14266056672033503</v>
      </c>
      <c r="AN796" s="27">
        <f t="shared" si="225"/>
        <v>0.14751337126697986</v>
      </c>
      <c r="AO796" s="27">
        <f t="shared" si="225"/>
        <v>0.15213070484534344</v>
      </c>
      <c r="AP796" s="27">
        <f t="shared" si="225"/>
        <v>0.15683465890006026</v>
      </c>
      <c r="AQ796" s="27">
        <f t="shared" si="225"/>
        <v>0.16170917290182402</v>
      </c>
      <c r="AR796" s="27">
        <f t="shared" si="225"/>
        <v>0.16678657725659471</v>
      </c>
      <c r="AS796" s="27">
        <f t="shared" si="225"/>
        <v>0.17276970421788695</v>
      </c>
      <c r="AT796" s="27">
        <f t="shared" si="225"/>
        <v>0.17662295386808796</v>
      </c>
      <c r="AU796" s="27">
        <f t="shared" si="225"/>
        <v>0.18034032757138141</v>
      </c>
      <c r="AV796" s="27">
        <f t="shared" si="225"/>
        <v>0.18415126429237305</v>
      </c>
      <c r="AW796" s="27">
        <f t="shared" si="225"/>
        <v>0.18795956944920184</v>
      </c>
      <c r="AY796" s="79"/>
      <c r="AZ796" s="79"/>
    </row>
    <row r="797" spans="1:52" x14ac:dyDescent="0.2">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5.9806569587962537E-2</v>
      </c>
      <c r="M797" s="27">
        <f t="shared" si="226"/>
        <v>6.0278316688762053E-2</v>
      </c>
      <c r="N797" s="27">
        <f t="shared" si="226"/>
        <v>6.0581464452445992E-2</v>
      </c>
      <c r="O797" s="27">
        <f t="shared" si="226"/>
        <v>6.0782907527895308E-2</v>
      </c>
      <c r="P797" s="27">
        <f t="shared" si="226"/>
        <v>6.0880663265441157E-2</v>
      </c>
      <c r="Q797" s="27">
        <f t="shared" si="226"/>
        <v>6.1096642070638009E-2</v>
      </c>
      <c r="R797" s="27">
        <f t="shared" si="226"/>
        <v>6.1344406036983767E-2</v>
      </c>
      <c r="S797" s="27">
        <f t="shared" si="226"/>
        <v>5.9665089567979834E-2</v>
      </c>
      <c r="T797" s="27">
        <f t="shared" si="226"/>
        <v>6.0350771242359769E-2</v>
      </c>
      <c r="U797" s="27">
        <f t="shared" si="226"/>
        <v>6.0888075169397142E-2</v>
      </c>
      <c r="V797" s="27">
        <f t="shared" si="226"/>
        <v>6.139711160102531E-2</v>
      </c>
      <c r="W797" s="27">
        <f t="shared" si="226"/>
        <v>6.1992224918562065E-2</v>
      </c>
      <c r="X797" s="27">
        <f t="shared" si="226"/>
        <v>6.2562148930794551E-2</v>
      </c>
      <c r="Y797" s="27">
        <f t="shared" si="226"/>
        <v>6.3040140287419597E-2</v>
      </c>
      <c r="Z797" s="27">
        <f t="shared" si="226"/>
        <v>6.3504855616237185E-2</v>
      </c>
      <c r="AA797" s="27">
        <f t="shared" si="226"/>
        <v>6.3945644322408624E-2</v>
      </c>
      <c r="AB797" s="27">
        <f t="shared" si="226"/>
        <v>6.4519032075900526E-2</v>
      </c>
      <c r="AC797" s="27">
        <f t="shared" si="226"/>
        <v>6.5089471381032354E-2</v>
      </c>
      <c r="AD797" s="27">
        <f t="shared" si="226"/>
        <v>6.5684604542898692E-2</v>
      </c>
      <c r="AE797" s="27">
        <f t="shared" si="226"/>
        <v>6.6410653636350389E-2</v>
      </c>
      <c r="AF797" s="27">
        <f t="shared" si="226"/>
        <v>6.7204391254708923E-2</v>
      </c>
      <c r="AG797" s="27">
        <f t="shared" si="226"/>
        <v>6.8140044673053207E-2</v>
      </c>
      <c r="AH797" s="27">
        <f t="shared" si="226"/>
        <v>6.888108453498494E-2</v>
      </c>
      <c r="AI797" s="27">
        <f t="shared" si="226"/>
        <v>6.9569502535986497E-2</v>
      </c>
      <c r="AJ797" s="27">
        <f t="shared" si="226"/>
        <v>7.0333394582188791E-2</v>
      </c>
      <c r="AK797" s="27">
        <f t="shared" si="226"/>
        <v>7.1076775459671046E-2</v>
      </c>
      <c r="AL797" s="27">
        <f t="shared" si="226"/>
        <v>7.1865166896586383E-2</v>
      </c>
      <c r="AM797" s="27">
        <f t="shared" si="226"/>
        <v>7.2664891568343645E-2</v>
      </c>
      <c r="AN797" s="27">
        <f t="shared" si="226"/>
        <v>7.3548705139755158E-2</v>
      </c>
      <c r="AO797" s="27">
        <f t="shared" si="226"/>
        <v>7.4402331665901211E-2</v>
      </c>
      <c r="AP797" s="27">
        <f t="shared" si="226"/>
        <v>7.5276250928073038E-2</v>
      </c>
      <c r="AQ797" s="27">
        <f t="shared" si="226"/>
        <v>7.6183713879707002E-2</v>
      </c>
      <c r="AR797" s="27">
        <f t="shared" si="226"/>
        <v>7.7129908476892481E-2</v>
      </c>
      <c r="AS797" s="27">
        <f t="shared" si="226"/>
        <v>7.8183489117849933E-2</v>
      </c>
      <c r="AT797" s="27">
        <f t="shared" si="226"/>
        <v>7.890407273633461E-2</v>
      </c>
      <c r="AU797" s="27">
        <f t="shared" si="226"/>
        <v>7.960808386314952E-2</v>
      </c>
      <c r="AV797" s="27">
        <f t="shared" si="226"/>
        <v>8.0332044119121343E-2</v>
      </c>
      <c r="AW797" s="27">
        <f t="shared" si="226"/>
        <v>8.1060500675567429E-2</v>
      </c>
      <c r="AY797" s="79"/>
      <c r="AZ797" s="79"/>
    </row>
    <row r="798" spans="1:52" x14ac:dyDescent="0.2">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0.26187096745907495</v>
      </c>
      <c r="M798" s="27">
        <f t="shared" si="227"/>
        <v>0.26393657447404822</v>
      </c>
      <c r="N798" s="27">
        <f t="shared" si="227"/>
        <v>0.26526394701365208</v>
      </c>
      <c r="O798" s="27">
        <f t="shared" si="227"/>
        <v>0.26614599213711054</v>
      </c>
      <c r="P798" s="27">
        <f t="shared" si="227"/>
        <v>0.26657402855087203</v>
      </c>
      <c r="Q798" s="27">
        <f t="shared" si="227"/>
        <v>0.26751972028770321</v>
      </c>
      <c r="R798" s="27">
        <f t="shared" si="227"/>
        <v>0.26860458755254496</v>
      </c>
      <c r="S798" s="27">
        <f t="shared" si="227"/>
        <v>0.26125147849717245</v>
      </c>
      <c r="T798" s="27">
        <f t="shared" si="227"/>
        <v>0.26425382631073058</v>
      </c>
      <c r="U798" s="27">
        <f t="shared" si="227"/>
        <v>0.26660648255171249</v>
      </c>
      <c r="V798" s="27">
        <f t="shared" si="227"/>
        <v>0.26883536582893036</v>
      </c>
      <c r="W798" s="27">
        <f t="shared" si="227"/>
        <v>0.27144114812483544</v>
      </c>
      <c r="X798" s="27">
        <f t="shared" si="227"/>
        <v>0.27393663571908672</v>
      </c>
      <c r="Y798" s="27">
        <f t="shared" si="227"/>
        <v>0.27602958403327432</v>
      </c>
      <c r="Z798" s="27">
        <f t="shared" si="227"/>
        <v>0.27806440150548434</v>
      </c>
      <c r="AA798" s="27">
        <f t="shared" si="227"/>
        <v>0.27999445309890292</v>
      </c>
      <c r="AB798" s="27">
        <f t="shared" si="227"/>
        <v>0.28250510714193849</v>
      </c>
      <c r="AC798" s="27">
        <f t="shared" si="227"/>
        <v>0.2850028510142375</v>
      </c>
      <c r="AD798" s="27">
        <f t="shared" si="227"/>
        <v>0.2876087202011619</v>
      </c>
      <c r="AE798" s="27">
        <f t="shared" si="227"/>
        <v>0.29078782209305915</v>
      </c>
      <c r="AF798" s="27">
        <f t="shared" si="227"/>
        <v>0.29426330713525839</v>
      </c>
      <c r="AG798" s="27">
        <f t="shared" si="227"/>
        <v>0.29836018925968516</v>
      </c>
      <c r="AH798" s="27">
        <f t="shared" si="227"/>
        <v>0.30160493021217166</v>
      </c>
      <c r="AI798" s="27">
        <f t="shared" si="227"/>
        <v>0.30461925939340617</v>
      </c>
      <c r="AJ798" s="27">
        <f t="shared" si="227"/>
        <v>0.30796406165428591</v>
      </c>
      <c r="AK798" s="27">
        <f t="shared" si="227"/>
        <v>0.31121905305268976</v>
      </c>
      <c r="AL798" s="27">
        <f t="shared" si="227"/>
        <v>0.31467112913302436</v>
      </c>
      <c r="AM798" s="27">
        <f t="shared" si="227"/>
        <v>0.31817282927962681</v>
      </c>
      <c r="AN798" s="27">
        <f t="shared" si="227"/>
        <v>0.32204272378442023</v>
      </c>
      <c r="AO798" s="27">
        <f t="shared" si="227"/>
        <v>0.32578044032276504</v>
      </c>
      <c r="AP798" s="27">
        <f t="shared" si="227"/>
        <v>0.32960701128717151</v>
      </c>
      <c r="AQ798" s="27">
        <f t="shared" si="227"/>
        <v>0.33358045772817063</v>
      </c>
      <c r="AR798" s="27">
        <f t="shared" si="227"/>
        <v>0.33772349579700817</v>
      </c>
      <c r="AS798" s="27">
        <f t="shared" si="227"/>
        <v>0.34233673784791513</v>
      </c>
      <c r="AT798" s="27">
        <f t="shared" si="227"/>
        <v>0.34549190843549077</v>
      </c>
      <c r="AU798" s="27">
        <f t="shared" si="227"/>
        <v>0.34857451417849072</v>
      </c>
      <c r="AV798" s="27">
        <f t="shared" si="227"/>
        <v>0.35174446981947466</v>
      </c>
      <c r="AW798" s="27">
        <f t="shared" si="227"/>
        <v>0.3549341131062021</v>
      </c>
      <c r="AY798" s="79"/>
      <c r="AZ798" s="79"/>
    </row>
    <row r="799" spans="1:52" x14ac:dyDescent="0.2">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1.1651711689683767E-2</v>
      </c>
      <c r="M799" s="27">
        <f t="shared" si="228"/>
        <v>1.1743619004328788E-2</v>
      </c>
      <c r="N799" s="27">
        <f t="shared" si="228"/>
        <v>1.1802679244134426E-2</v>
      </c>
      <c r="O799" s="27">
        <f t="shared" si="228"/>
        <v>1.1841925043604104E-2</v>
      </c>
      <c r="P799" s="27">
        <f t="shared" si="228"/>
        <v>1.1860970136438286E-2</v>
      </c>
      <c r="Q799" s="27">
        <f t="shared" si="228"/>
        <v>1.1903047834366352E-2</v>
      </c>
      <c r="R799" s="27">
        <f t="shared" si="228"/>
        <v>1.1951318021451857E-2</v>
      </c>
      <c r="S799" s="27">
        <f t="shared" si="228"/>
        <v>1.1624148088994974E-2</v>
      </c>
      <c r="T799" s="27">
        <f t="shared" si="228"/>
        <v>1.1757734837671872E-2</v>
      </c>
      <c r="U799" s="27">
        <f t="shared" si="228"/>
        <v>1.1862414147833051E-2</v>
      </c>
      <c r="V799" s="27">
        <f t="shared" si="228"/>
        <v>1.1961586291992786E-2</v>
      </c>
      <c r="W799" s="27">
        <f t="shared" si="228"/>
        <v>1.2077528216874986E-2</v>
      </c>
      <c r="X799" s="27">
        <f t="shared" si="228"/>
        <v>1.218856267882977E-2</v>
      </c>
      <c r="Y799" s="27">
        <f t="shared" si="228"/>
        <v>1.2281686519837978E-2</v>
      </c>
      <c r="Z799" s="27">
        <f t="shared" si="228"/>
        <v>1.2372223881643949E-2</v>
      </c>
      <c r="AA799" s="27">
        <f t="shared" si="228"/>
        <v>1.2458099780491892E-2</v>
      </c>
      <c r="AB799" s="27">
        <f t="shared" si="228"/>
        <v>1.256980905985888E-2</v>
      </c>
      <c r="AC799" s="27">
        <f t="shared" si="228"/>
        <v>1.2680943912863346E-2</v>
      </c>
      <c r="AD799" s="27">
        <f t="shared" si="228"/>
        <v>1.2796889703882807E-2</v>
      </c>
      <c r="AE799" s="27">
        <f t="shared" si="228"/>
        <v>1.2938340965303392E-2</v>
      </c>
      <c r="AF799" s="27">
        <f t="shared" si="228"/>
        <v>1.3092979526753859E-2</v>
      </c>
      <c r="AG799" s="27">
        <f t="shared" si="228"/>
        <v>1.3275266588980031E-2</v>
      </c>
      <c r="AH799" s="27">
        <f t="shared" si="228"/>
        <v>1.3419638400994631E-2</v>
      </c>
      <c r="AI799" s="27">
        <f t="shared" si="228"/>
        <v>1.3553758249782499E-2</v>
      </c>
      <c r="AJ799" s="27">
        <f t="shared" si="228"/>
        <v>1.3702582199153161E-2</v>
      </c>
      <c r="AK799" s="27">
        <f t="shared" si="228"/>
        <v>1.3847410095481636E-2</v>
      </c>
      <c r="AL799" s="27">
        <f t="shared" si="228"/>
        <v>1.4001007096360315E-2</v>
      </c>
      <c r="AM799" s="27">
        <f t="shared" si="228"/>
        <v>1.4156812075155119E-2</v>
      </c>
      <c r="AN799" s="27">
        <f t="shared" si="228"/>
        <v>1.432899952868179E-2</v>
      </c>
      <c r="AO799" s="27">
        <f t="shared" si="228"/>
        <v>1.4495305843219548E-2</v>
      </c>
      <c r="AP799" s="27">
        <f t="shared" si="228"/>
        <v>1.4665565655026861E-2</v>
      </c>
      <c r="AQ799" s="27">
        <f t="shared" si="228"/>
        <v>1.4842360558234895E-2</v>
      </c>
      <c r="AR799" s="27">
        <f t="shared" si="228"/>
        <v>1.5026701287433988E-2</v>
      </c>
      <c r="AS799" s="27">
        <f t="shared" si="228"/>
        <v>1.5231963317255199E-2</v>
      </c>
      <c r="AT799" s="27">
        <f t="shared" si="228"/>
        <v>1.5372349776949124E-2</v>
      </c>
      <c r="AU799" s="27">
        <f t="shared" si="228"/>
        <v>1.550950752955876E-2</v>
      </c>
      <c r="AV799" s="27">
        <f t="shared" si="228"/>
        <v>1.5650551836822808E-2</v>
      </c>
      <c r="AW799" s="27">
        <f t="shared" si="228"/>
        <v>1.5792472128065831E-2</v>
      </c>
      <c r="AY799" s="79"/>
      <c r="AZ799" s="79"/>
    </row>
    <row r="800" spans="1:52" x14ac:dyDescent="0.2">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0.52525224947331306</v>
      </c>
      <c r="L800" s="27">
        <f t="shared" si="229"/>
        <v>0.5206969044571037</v>
      </c>
      <c r="M800" s="27">
        <f t="shared" si="229"/>
        <v>0.51896282251134873</v>
      </c>
      <c r="N800" s="27">
        <f t="shared" si="229"/>
        <v>0.51203275332440912</v>
      </c>
      <c r="O800" s="27">
        <f t="shared" si="229"/>
        <v>0.50197358865556707</v>
      </c>
      <c r="P800" s="27">
        <f t="shared" si="229"/>
        <v>0.48899333628247271</v>
      </c>
      <c r="Q800" s="27">
        <f t="shared" si="229"/>
        <v>0.47875543160314177</v>
      </c>
      <c r="R800" s="27">
        <f t="shared" si="229"/>
        <v>0.46906920988966794</v>
      </c>
      <c r="S800" s="27">
        <f t="shared" si="229"/>
        <v>0.41630918721469751</v>
      </c>
      <c r="T800" s="27">
        <f t="shared" si="229"/>
        <v>0.4242723493279994</v>
      </c>
      <c r="U800" s="27">
        <f t="shared" si="229"/>
        <v>0.42852994772024217</v>
      </c>
      <c r="V800" s="27">
        <f t="shared" si="229"/>
        <v>0.43180740758836011</v>
      </c>
      <c r="W800" s="27">
        <f t="shared" si="229"/>
        <v>0.43654938286292333</v>
      </c>
      <c r="X800" s="27">
        <f t="shared" si="229"/>
        <v>0.44039774902333312</v>
      </c>
      <c r="Y800" s="27">
        <f t="shared" si="229"/>
        <v>0.44287861979972809</v>
      </c>
      <c r="Z800" s="27">
        <f t="shared" si="229"/>
        <v>0.44480979206932508</v>
      </c>
      <c r="AA800" s="27">
        <f t="shared" si="229"/>
        <v>0.44600669694391831</v>
      </c>
      <c r="AB800" s="27">
        <f t="shared" si="229"/>
        <v>0.44955000580259225</v>
      </c>
      <c r="AC800" s="27">
        <f t="shared" si="229"/>
        <v>0.45273812820401932</v>
      </c>
      <c r="AD800" s="27">
        <f t="shared" si="229"/>
        <v>0.45290255961235854</v>
      </c>
      <c r="AE800" s="27">
        <f t="shared" si="229"/>
        <v>0.45503830808408913</v>
      </c>
      <c r="AF800" s="27">
        <f t="shared" si="229"/>
        <v>0.45786255495032313</v>
      </c>
      <c r="AG800" s="27">
        <f t="shared" si="229"/>
        <v>0.46260418192872943</v>
      </c>
      <c r="AH800" s="27">
        <f t="shared" si="229"/>
        <v>0.46336149545626742</v>
      </c>
      <c r="AI800" s="27">
        <f t="shared" si="229"/>
        <v>0.46328199946784754</v>
      </c>
      <c r="AJ800" s="27">
        <f t="shared" si="229"/>
        <v>0.46397768547065105</v>
      </c>
      <c r="AK800" s="27">
        <f t="shared" si="229"/>
        <v>0.46384928130278269</v>
      </c>
      <c r="AL800" s="27">
        <f t="shared" si="229"/>
        <v>0.46394752613960677</v>
      </c>
      <c r="AM800" s="27">
        <f t="shared" si="229"/>
        <v>0.46372456195327277</v>
      </c>
      <c r="AN800" s="27">
        <f t="shared" si="229"/>
        <v>0.46705287296965353</v>
      </c>
      <c r="AO800" s="27">
        <f t="shared" si="229"/>
        <v>0.46948772142871509</v>
      </c>
      <c r="AP800" s="27">
        <f t="shared" si="229"/>
        <v>0.47178208531317378</v>
      </c>
      <c r="AQ800" s="27">
        <f t="shared" si="229"/>
        <v>0.47411151157933035</v>
      </c>
      <c r="AR800" s="27">
        <f t="shared" si="229"/>
        <v>0.47652651600833112</v>
      </c>
      <c r="AS800" s="27">
        <f t="shared" si="229"/>
        <v>0.48031110501678759</v>
      </c>
      <c r="AT800" s="27">
        <f t="shared" si="229"/>
        <v>0.47924514012499747</v>
      </c>
      <c r="AU800" s="27">
        <f t="shared" si="229"/>
        <v>0.47764693105288908</v>
      </c>
      <c r="AV800" s="27">
        <f t="shared" si="229"/>
        <v>0.47599161993934092</v>
      </c>
      <c r="AW800" s="27">
        <f t="shared" si="229"/>
        <v>0.4740811431084902</v>
      </c>
      <c r="AY800" s="79"/>
      <c r="AZ800" s="79"/>
    </row>
    <row r="801" spans="1:52" x14ac:dyDescent="0.2">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0.80452586370517887</v>
      </c>
      <c r="L801" s="27">
        <f t="shared" si="230"/>
        <v>0.79754846782098077</v>
      </c>
      <c r="M801" s="27">
        <f t="shared" si="230"/>
        <v>0.79489238443144172</v>
      </c>
      <c r="N801" s="27">
        <f t="shared" si="230"/>
        <v>0.78427763712907439</v>
      </c>
      <c r="O801" s="27">
        <f t="shared" si="230"/>
        <v>0.76887007218962333</v>
      </c>
      <c r="P801" s="27">
        <f t="shared" si="230"/>
        <v>0.74898829393537225</v>
      </c>
      <c r="Q801" s="27">
        <f t="shared" si="230"/>
        <v>0.73330695394505496</v>
      </c>
      <c r="R801" s="27">
        <f t="shared" si="230"/>
        <v>0.71847062359542491</v>
      </c>
      <c r="S801" s="27">
        <f t="shared" si="230"/>
        <v>0.63765839888958464</v>
      </c>
      <c r="T801" s="27">
        <f t="shared" si="230"/>
        <v>0.64985552871330754</v>
      </c>
      <c r="U801" s="27">
        <f t="shared" si="230"/>
        <v>0.65637686779803062</v>
      </c>
      <c r="V801" s="27">
        <f t="shared" si="230"/>
        <v>0.66139693431616664</v>
      </c>
      <c r="W801" s="27">
        <f t="shared" si="230"/>
        <v>0.66866019069871818</v>
      </c>
      <c r="X801" s="27">
        <f t="shared" si="230"/>
        <v>0.67455471111659759</v>
      </c>
      <c r="Y801" s="27">
        <f t="shared" si="230"/>
        <v>0.67835464668302581</v>
      </c>
      <c r="Z801" s="27">
        <f t="shared" si="230"/>
        <v>0.68131261219334738</v>
      </c>
      <c r="AA801" s="27">
        <f t="shared" si="230"/>
        <v>0.68314590453806523</v>
      </c>
      <c r="AB801" s="27">
        <f t="shared" si="230"/>
        <v>0.68857317043317978</v>
      </c>
      <c r="AC801" s="27">
        <f t="shared" si="230"/>
        <v>0.69345639926499891</v>
      </c>
      <c r="AD801" s="27">
        <f t="shared" si="230"/>
        <v>0.69370825791186275</v>
      </c>
      <c r="AE801" s="27">
        <f t="shared" si="230"/>
        <v>0.69697957161989321</v>
      </c>
      <c r="AF801" s="27">
        <f t="shared" si="230"/>
        <v>0.70130545437746739</v>
      </c>
      <c r="AG801" s="27">
        <f t="shared" si="230"/>
        <v>0.70856817727678933</v>
      </c>
      <c r="AH801" s="27">
        <f t="shared" si="230"/>
        <v>0.70972815007166834</v>
      </c>
      <c r="AI801" s="27">
        <f t="shared" si="230"/>
        <v>0.70960638652128127</v>
      </c>
      <c r="AJ801" s="27">
        <f t="shared" si="230"/>
        <v>0.71067196478931216</v>
      </c>
      <c r="AK801" s="27">
        <f t="shared" si="230"/>
        <v>0.71047528886043954</v>
      </c>
      <c r="AL801" s="27">
        <f t="shared" si="230"/>
        <v>0.71062576991459914</v>
      </c>
      <c r="AM801" s="27">
        <f t="shared" si="230"/>
        <v>0.71028425694675268</v>
      </c>
      <c r="AN801" s="27">
        <f t="shared" si="230"/>
        <v>0.71538221187758488</v>
      </c>
      <c r="AO801" s="27">
        <f t="shared" si="230"/>
        <v>0.71911165532400878</v>
      </c>
      <c r="AP801" s="27">
        <f t="shared" si="230"/>
        <v>0.7226259193517196</v>
      </c>
      <c r="AQ801" s="27">
        <f t="shared" si="230"/>
        <v>0.72619388822876152</v>
      </c>
      <c r="AR801" s="27">
        <f t="shared" si="230"/>
        <v>0.72989293668793909</v>
      </c>
      <c r="AS801" s="27">
        <f t="shared" si="230"/>
        <v>0.73568977000726443</v>
      </c>
      <c r="AT801" s="27">
        <f t="shared" si="230"/>
        <v>0.73405703768463881</v>
      </c>
      <c r="AU801" s="27">
        <f t="shared" si="230"/>
        <v>0.73160906999785846</v>
      </c>
      <c r="AV801" s="27">
        <f t="shared" si="230"/>
        <v>0.72907363944108583</v>
      </c>
      <c r="AW801" s="27">
        <f t="shared" si="230"/>
        <v>0.72614737301582033</v>
      </c>
      <c r="AY801" s="79"/>
      <c r="AZ801" s="79"/>
    </row>
    <row r="802" spans="1:52" x14ac:dyDescent="0.2">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0.97926119892671493</v>
      </c>
      <c r="L802" s="27">
        <f t="shared" si="231"/>
        <v>1.0122801448609147</v>
      </c>
      <c r="M802" s="27">
        <f t="shared" si="231"/>
        <v>1.0514701788925804</v>
      </c>
      <c r="N802" s="27">
        <f t="shared" si="231"/>
        <v>1.0806972456941153</v>
      </c>
      <c r="O802" s="27">
        <f t="shared" si="231"/>
        <v>1.1032367943433716</v>
      </c>
      <c r="P802" s="27">
        <f t="shared" si="231"/>
        <v>1.1187666946803865</v>
      </c>
      <c r="Q802" s="27">
        <f t="shared" si="231"/>
        <v>1.1399714801203362</v>
      </c>
      <c r="R802" s="27">
        <f t="shared" si="231"/>
        <v>1.1622002864669057</v>
      </c>
      <c r="S802" s="27">
        <f t="shared" si="231"/>
        <v>1.0731659766272925</v>
      </c>
      <c r="T802" s="27">
        <f t="shared" si="231"/>
        <v>1.1200435177813</v>
      </c>
      <c r="U802" s="27">
        <f t="shared" si="231"/>
        <v>1.1581646088835691</v>
      </c>
      <c r="V802" s="27">
        <f t="shared" si="231"/>
        <v>1.1944005912440496</v>
      </c>
      <c r="W802" s="27">
        <f t="shared" si="231"/>
        <v>1.2355118571945767</v>
      </c>
      <c r="X802" s="27">
        <f t="shared" si="231"/>
        <v>1.2749845608108272</v>
      </c>
      <c r="Y802" s="27">
        <f t="shared" si="231"/>
        <v>1.3112710404440306</v>
      </c>
      <c r="Z802" s="27">
        <f t="shared" si="231"/>
        <v>1.3466036234744594</v>
      </c>
      <c r="AA802" s="27">
        <f t="shared" si="231"/>
        <v>1.3803261318564077</v>
      </c>
      <c r="AB802" s="27">
        <f t="shared" si="231"/>
        <v>1.4220578435636848</v>
      </c>
      <c r="AC802" s="27">
        <f t="shared" si="231"/>
        <v>1.4635769863229917</v>
      </c>
      <c r="AD802" s="27">
        <f t="shared" si="231"/>
        <v>1.5126623536535566</v>
      </c>
      <c r="AE802" s="27">
        <f t="shared" si="231"/>
        <v>1.5702927620533913</v>
      </c>
      <c r="AF802" s="27">
        <f t="shared" si="231"/>
        <v>1.6326718662100064</v>
      </c>
      <c r="AG802" s="27">
        <f t="shared" si="231"/>
        <v>1.7047038536562504</v>
      </c>
      <c r="AH802" s="27">
        <f t="shared" si="231"/>
        <v>1.7647703233064436</v>
      </c>
      <c r="AI802" s="27">
        <f t="shared" si="231"/>
        <v>1.823914760279997</v>
      </c>
      <c r="AJ802" s="27">
        <f t="shared" si="231"/>
        <v>1.8885037105241573</v>
      </c>
      <c r="AK802" s="27">
        <f t="shared" si="231"/>
        <v>1.9522655918668117</v>
      </c>
      <c r="AL802" s="27">
        <f t="shared" si="231"/>
        <v>2.0195785012565346</v>
      </c>
      <c r="AM802" s="27">
        <f t="shared" si="231"/>
        <v>2.0882359976906724</v>
      </c>
      <c r="AN802" s="27">
        <f t="shared" si="231"/>
        <v>2.1625669468600144</v>
      </c>
      <c r="AO802" s="27">
        <f t="shared" si="231"/>
        <v>2.2353883436386872</v>
      </c>
      <c r="AP802" s="27">
        <f t="shared" si="231"/>
        <v>2.310159637098629</v>
      </c>
      <c r="AQ802" s="27">
        <f t="shared" si="231"/>
        <v>2.387837748545981</v>
      </c>
      <c r="AR802" s="27">
        <f t="shared" si="231"/>
        <v>2.4688377318111754</v>
      </c>
      <c r="AS802" s="27">
        <f t="shared" si="231"/>
        <v>2.5601896833945608</v>
      </c>
      <c r="AT802" s="27">
        <f t="shared" si="231"/>
        <v>2.6285710200523447</v>
      </c>
      <c r="AU802" s="27">
        <f t="shared" si="231"/>
        <v>2.6962215322627681</v>
      </c>
      <c r="AV802" s="27">
        <f t="shared" si="231"/>
        <v>2.7657590792696469</v>
      </c>
      <c r="AW802" s="27">
        <f t="shared" si="231"/>
        <v>2.8360897430204677</v>
      </c>
      <c r="AY802" s="79"/>
      <c r="AZ802" s="79"/>
    </row>
    <row r="803" spans="1:52" x14ac:dyDescent="0.2">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0.1195503235691774</v>
      </c>
      <c r="T803" s="27">
        <f t="shared" si="232"/>
        <v>0.11973238900774033</v>
      </c>
      <c r="U803" s="27">
        <f t="shared" si="232"/>
        <v>0.11993816652481025</v>
      </c>
      <c r="V803" s="27">
        <f t="shared" si="232"/>
        <v>0.12017030175701968</v>
      </c>
      <c r="W803" s="27">
        <f t="shared" si="232"/>
        <v>0.12043143682964785</v>
      </c>
      <c r="X803" s="27">
        <f t="shared" si="232"/>
        <v>0.12071612652319091</v>
      </c>
      <c r="Y803" s="27">
        <f t="shared" si="232"/>
        <v>0.12088927246048492</v>
      </c>
      <c r="Z803" s="27">
        <f t="shared" si="232"/>
        <v>0.12108266651499933</v>
      </c>
      <c r="AA803" s="27">
        <f t="shared" si="232"/>
        <v>0.12129489002398719</v>
      </c>
      <c r="AB803" s="27">
        <f t="shared" si="232"/>
        <v>0.12153074787723062</v>
      </c>
      <c r="AC803" s="27">
        <f t="shared" si="232"/>
        <v>0.12178444503760315</v>
      </c>
      <c r="AD803" s="27">
        <f t="shared" si="232"/>
        <v>0.12195021859922818</v>
      </c>
      <c r="AE803" s="27">
        <f t="shared" si="232"/>
        <v>0.12213630016303641</v>
      </c>
      <c r="AF803" s="27">
        <f t="shared" si="232"/>
        <v>0.12233971704233786</v>
      </c>
      <c r="AG803" s="27">
        <f t="shared" si="232"/>
        <v>0.12256258176640643</v>
      </c>
      <c r="AH803" s="27">
        <f t="shared" si="232"/>
        <v>0.12279204268449652</v>
      </c>
      <c r="AI803" s="27">
        <f t="shared" si="232"/>
        <v>0.12293267358180958</v>
      </c>
      <c r="AJ803" s="27">
        <f t="shared" si="232"/>
        <v>0.1230880284078129</v>
      </c>
      <c r="AK803" s="27">
        <f t="shared" si="232"/>
        <v>0.12325414703713089</v>
      </c>
      <c r="AL803" s="27">
        <f t="shared" si="232"/>
        <v>0.12343300581478904</v>
      </c>
      <c r="AM803" s="27">
        <f t="shared" si="232"/>
        <v>0.12362298848343736</v>
      </c>
      <c r="AN803" s="27">
        <f t="shared" si="232"/>
        <v>0.12373316293630814</v>
      </c>
      <c r="AO803" s="27">
        <f t="shared" si="232"/>
        <v>0.12385166980530417</v>
      </c>
      <c r="AP803" s="27">
        <f t="shared" si="232"/>
        <v>0.12398002361906417</v>
      </c>
      <c r="AQ803" s="27">
        <f t="shared" si="232"/>
        <v>0.12411840156820916</v>
      </c>
      <c r="AR803" s="27">
        <f t="shared" si="232"/>
        <v>0.12426670691930036</v>
      </c>
      <c r="AS803" s="27">
        <f t="shared" si="232"/>
        <v>0.12433302167931155</v>
      </c>
      <c r="AT803" s="27">
        <f t="shared" si="232"/>
        <v>0.12439474489368146</v>
      </c>
      <c r="AU803" s="27">
        <f t="shared" si="232"/>
        <v>0.1244631713501356</v>
      </c>
      <c r="AV803" s="27">
        <f t="shared" si="232"/>
        <v>0.12453939785824997</v>
      </c>
      <c r="AW803" s="27">
        <f t="shared" si="232"/>
        <v>0.12462263971956801</v>
      </c>
      <c r="AY803" s="79"/>
      <c r="AZ803" s="79"/>
    </row>
    <row r="804" spans="1:52" x14ac:dyDescent="0.2">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6.3928512589691663E-2</v>
      </c>
      <c r="T804" s="27">
        <f t="shared" si="233"/>
        <v>6.4025870525110232E-2</v>
      </c>
      <c r="U804" s="27">
        <f t="shared" si="233"/>
        <v>6.4135908291616708E-2</v>
      </c>
      <c r="V804" s="27">
        <f t="shared" si="233"/>
        <v>6.4260040620762821E-2</v>
      </c>
      <c r="W804" s="27">
        <f t="shared" si="233"/>
        <v>6.4399680366434092E-2</v>
      </c>
      <c r="X804" s="27">
        <f t="shared" si="233"/>
        <v>6.4551915744093219E-2</v>
      </c>
      <c r="Y804" s="27">
        <f t="shared" si="233"/>
        <v>6.4644504052528431E-2</v>
      </c>
      <c r="Z804" s="27">
        <f t="shared" si="233"/>
        <v>6.4747919868393122E-2</v>
      </c>
      <c r="AA804" s="27">
        <f t="shared" si="233"/>
        <v>6.4861404573922254E-2</v>
      </c>
      <c r="AB804" s="27">
        <f t="shared" si="233"/>
        <v>6.4987527542813464E-2</v>
      </c>
      <c r="AC804" s="27">
        <f t="shared" si="233"/>
        <v>6.5123189928548972E-2</v>
      </c>
      <c r="AD804" s="27">
        <f t="shared" si="233"/>
        <v>6.5211835922177344E-2</v>
      </c>
      <c r="AE804" s="27">
        <f t="shared" si="233"/>
        <v>6.5311341446206636E-2</v>
      </c>
      <c r="AF804" s="27">
        <f t="shared" si="233"/>
        <v>6.5420116881865359E-2</v>
      </c>
      <c r="AG804" s="27">
        <f t="shared" si="233"/>
        <v>6.5539291886106743E-2</v>
      </c>
      <c r="AH804" s="27">
        <f t="shared" si="233"/>
        <v>6.5661994148660446E-2</v>
      </c>
      <c r="AI804" s="27">
        <f t="shared" si="233"/>
        <v>6.5737195317682587E-2</v>
      </c>
      <c r="AJ804" s="27">
        <f t="shared" si="233"/>
        <v>6.5820269981585744E-2</v>
      </c>
      <c r="AK804" s="27">
        <f t="shared" si="233"/>
        <v>6.5909100497210327E-2</v>
      </c>
      <c r="AL804" s="27">
        <f t="shared" si="233"/>
        <v>6.6004743698148058E-2</v>
      </c>
      <c r="AM804" s="27">
        <f t="shared" si="233"/>
        <v>6.6106335304610589E-2</v>
      </c>
      <c r="AN804" s="27">
        <f t="shared" si="233"/>
        <v>6.6165250150569468E-2</v>
      </c>
      <c r="AO804" s="27">
        <f t="shared" si="233"/>
        <v>6.6228620684754519E-2</v>
      </c>
      <c r="AP804" s="27">
        <f t="shared" si="233"/>
        <v>6.6297256788396222E-2</v>
      </c>
      <c r="AQ804" s="27">
        <f t="shared" si="233"/>
        <v>6.6371253212662962E-2</v>
      </c>
      <c r="AR804" s="27">
        <f t="shared" si="233"/>
        <v>6.6450558230176079E-2</v>
      </c>
      <c r="AS804" s="27">
        <f t="shared" si="233"/>
        <v>6.6486019480666153E-2</v>
      </c>
      <c r="AT804" s="27">
        <f t="shared" si="233"/>
        <v>6.6519025441412388E-2</v>
      </c>
      <c r="AU804" s="27">
        <f t="shared" si="233"/>
        <v>6.6555615903506504E-2</v>
      </c>
      <c r="AV804" s="27">
        <f t="shared" si="233"/>
        <v>6.6596377376484356E-2</v>
      </c>
      <c r="AW804" s="27">
        <f t="shared" si="233"/>
        <v>6.6640890249560589E-2</v>
      </c>
      <c r="AY804" s="79"/>
      <c r="AZ804" s="79"/>
    </row>
    <row r="805" spans="1:52" x14ac:dyDescent="0.2">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1.4486129996083083E-2</v>
      </c>
      <c r="L805" s="27">
        <f t="shared" si="234"/>
        <v>1.4523786941695514E-2</v>
      </c>
      <c r="M805" s="27">
        <f t="shared" si="234"/>
        <v>1.457573336741831E-2</v>
      </c>
      <c r="N805" s="27">
        <f t="shared" si="234"/>
        <v>1.4639017833045652E-2</v>
      </c>
      <c r="O805" s="27">
        <f t="shared" si="234"/>
        <v>1.4713550078172181E-2</v>
      </c>
      <c r="P805" s="27">
        <f t="shared" si="234"/>
        <v>1.4798876460462532E-2</v>
      </c>
      <c r="Q805" s="27">
        <f t="shared" si="234"/>
        <v>1.4890706011157254E-2</v>
      </c>
      <c r="R805" s="27">
        <f t="shared" si="234"/>
        <v>1.4988675221399694E-2</v>
      </c>
      <c r="S805" s="27">
        <f t="shared" si="234"/>
        <v>1.5078679643027025E-2</v>
      </c>
      <c r="T805" s="27">
        <f t="shared" si="234"/>
        <v>1.5122495296339114E-2</v>
      </c>
      <c r="U805" s="27">
        <f t="shared" si="234"/>
        <v>1.516958973789732E-2</v>
      </c>
      <c r="V805" s="27">
        <f t="shared" si="234"/>
        <v>1.5220538890996555E-2</v>
      </c>
      <c r="W805" s="27">
        <f t="shared" si="234"/>
        <v>1.5275902163367263E-2</v>
      </c>
      <c r="X805" s="27">
        <f t="shared" si="234"/>
        <v>1.5334694454120529E-2</v>
      </c>
      <c r="Y805" s="27">
        <f t="shared" si="234"/>
        <v>1.5371448915304845E-2</v>
      </c>
      <c r="Z805" s="27">
        <f t="shared" si="234"/>
        <v>1.5411207509365298E-2</v>
      </c>
      <c r="AA805" s="27">
        <f t="shared" si="234"/>
        <v>1.545373639870192E-2</v>
      </c>
      <c r="AB805" s="27">
        <f t="shared" si="234"/>
        <v>1.5499966763922934E-2</v>
      </c>
      <c r="AC805" s="27">
        <f t="shared" si="234"/>
        <v>1.5548833641447303E-2</v>
      </c>
      <c r="AD805" s="27">
        <f t="shared" si="234"/>
        <v>1.5580602349578561E-2</v>
      </c>
      <c r="AE805" s="27">
        <f t="shared" si="234"/>
        <v>1.5615591404277505E-2</v>
      </c>
      <c r="AF805" s="27">
        <f t="shared" si="234"/>
        <v>1.5653259744642323E-2</v>
      </c>
      <c r="AG805" s="27">
        <f t="shared" si="234"/>
        <v>1.5694012741398929E-2</v>
      </c>
      <c r="AH805" s="27">
        <f t="shared" si="234"/>
        <v>1.5735477279761712E-2</v>
      </c>
      <c r="AI805" s="27">
        <f t="shared" si="234"/>
        <v>1.5760021720349279E-2</v>
      </c>
      <c r="AJ805" s="27">
        <f t="shared" si="234"/>
        <v>1.5786883711006117E-2</v>
      </c>
      <c r="AK805" s="27">
        <f t="shared" si="234"/>
        <v>1.5815340273420818E-2</v>
      </c>
      <c r="AL805" s="27">
        <f t="shared" si="234"/>
        <v>1.5845764593107773E-2</v>
      </c>
      <c r="AM805" s="27">
        <f t="shared" si="234"/>
        <v>1.5877866318833773E-2</v>
      </c>
      <c r="AN805" s="27">
        <f t="shared" si="234"/>
        <v>1.5894983838021428E-2</v>
      </c>
      <c r="AO805" s="27">
        <f t="shared" si="234"/>
        <v>1.5913339031971951E-2</v>
      </c>
      <c r="AP805" s="27">
        <f t="shared" si="234"/>
        <v>1.593321505910849E-2</v>
      </c>
      <c r="AQ805" s="27">
        <f t="shared" si="234"/>
        <v>1.5954648527995344E-2</v>
      </c>
      <c r="AR805" s="27">
        <f t="shared" si="234"/>
        <v>1.597762528830339E-2</v>
      </c>
      <c r="AS805" s="27">
        <f t="shared" si="234"/>
        <v>1.598544144020398E-2</v>
      </c>
      <c r="AT805" s="27">
        <f t="shared" si="234"/>
        <v>1.5992226212116378E-2</v>
      </c>
      <c r="AU805" s="27">
        <f t="shared" si="234"/>
        <v>1.600003943689176E-2</v>
      </c>
      <c r="AV805" s="27">
        <f t="shared" si="234"/>
        <v>1.6009082551352239E-2</v>
      </c>
      <c r="AW805" s="27">
        <f t="shared" si="234"/>
        <v>1.6019215529788255E-2</v>
      </c>
      <c r="AY805" s="79"/>
      <c r="AZ805" s="79"/>
    </row>
    <row r="806" spans="1:52" x14ac:dyDescent="0.2">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0.11605647283191661</v>
      </c>
      <c r="O806" s="27">
        <f t="shared" si="235"/>
        <v>0.11664735601685972</v>
      </c>
      <c r="P806" s="27">
        <f t="shared" si="235"/>
        <v>0.11732381389682567</v>
      </c>
      <c r="Q806" s="27">
        <f t="shared" si="235"/>
        <v>0.11805182815822723</v>
      </c>
      <c r="R806" s="27">
        <f t="shared" si="235"/>
        <v>0.11882851694408277</v>
      </c>
      <c r="S806" s="27">
        <f t="shared" si="235"/>
        <v>0.11954206178926803</v>
      </c>
      <c r="T806" s="27">
        <f t="shared" si="235"/>
        <v>0.11988942731858297</v>
      </c>
      <c r="U806" s="27">
        <f t="shared" si="235"/>
        <v>0.12026278670919023</v>
      </c>
      <c r="V806" s="27">
        <f t="shared" si="235"/>
        <v>0.12066670581564304</v>
      </c>
      <c r="W806" s="27">
        <f t="shared" si="235"/>
        <v>0.12110561955897305</v>
      </c>
      <c r="X806" s="27">
        <f t="shared" si="235"/>
        <v>0.121571718171076</v>
      </c>
      <c r="Y806" s="27">
        <f t="shared" si="235"/>
        <v>0.12186310337017453</v>
      </c>
      <c r="Z806" s="27">
        <f t="shared" si="235"/>
        <v>0.12217830499394715</v>
      </c>
      <c r="AA806" s="27">
        <f t="shared" si="235"/>
        <v>0.12251546920442616</v>
      </c>
      <c r="AB806" s="27">
        <f t="shared" si="235"/>
        <v>0.12288197829584693</v>
      </c>
      <c r="AC806" s="27">
        <f t="shared" si="235"/>
        <v>0.12326938935774111</v>
      </c>
      <c r="AD806" s="27">
        <f t="shared" si="235"/>
        <v>0.12352124807218419</v>
      </c>
      <c r="AE806" s="27">
        <f t="shared" si="235"/>
        <v>0.12379863732892218</v>
      </c>
      <c r="AF806" s="27">
        <f t="shared" si="235"/>
        <v>0.12409726765849963</v>
      </c>
      <c r="AG806" s="27">
        <f t="shared" si="235"/>
        <v>0.12442035279404921</v>
      </c>
      <c r="AH806" s="27">
        <f t="shared" si="235"/>
        <v>0.12474907895074024</v>
      </c>
      <c r="AI806" s="27">
        <f t="shared" si="235"/>
        <v>0.12494366449156763</v>
      </c>
      <c r="AJ806" s="27">
        <f t="shared" si="235"/>
        <v>0.12515662330645747</v>
      </c>
      <c r="AK806" s="27">
        <f t="shared" si="235"/>
        <v>0.12538222370536653</v>
      </c>
      <c r="AL806" s="27">
        <f t="shared" si="235"/>
        <v>0.12562342426072123</v>
      </c>
      <c r="AM806" s="27">
        <f t="shared" si="235"/>
        <v>0.12587792310088028</v>
      </c>
      <c r="AN806" s="27">
        <f t="shared" si="235"/>
        <v>0.12601362885130757</v>
      </c>
      <c r="AO806" s="27">
        <f t="shared" si="235"/>
        <v>0.12615914674686166</v>
      </c>
      <c r="AP806" s="27">
        <f t="shared" si="235"/>
        <v>0.1263167216354017</v>
      </c>
      <c r="AQ806" s="27">
        <f t="shared" si="235"/>
        <v>0.12648664374547289</v>
      </c>
      <c r="AR806" s="27">
        <f t="shared" si="235"/>
        <v>0.12666880089487106</v>
      </c>
      <c r="AS806" s="27">
        <f t="shared" si="235"/>
        <v>0.12673076646052897</v>
      </c>
      <c r="AT806" s="27">
        <f t="shared" si="235"/>
        <v>0.12678455536263306</v>
      </c>
      <c r="AU806" s="27">
        <f t="shared" si="235"/>
        <v>0.1268464977223743</v>
      </c>
      <c r="AV806" s="27">
        <f t="shared" si="235"/>
        <v>0.12691819050802894</v>
      </c>
      <c r="AW806" s="27">
        <f t="shared" si="235"/>
        <v>0.12699852361165501</v>
      </c>
      <c r="AY806" s="79"/>
      <c r="AZ806" s="79"/>
    </row>
    <row r="807" spans="1:52" x14ac:dyDescent="0.2">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2">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2">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9.6937181363551561E-2</v>
      </c>
      <c r="M809" s="27">
        <f t="shared" si="238"/>
        <v>9.6980665528366608E-2</v>
      </c>
      <c r="N809" s="27">
        <f t="shared" si="238"/>
        <v>9.6090308702663593E-2</v>
      </c>
      <c r="O809" s="27">
        <f t="shared" si="238"/>
        <v>9.4636150647850539E-2</v>
      </c>
      <c r="P809" s="27">
        <f t="shared" si="238"/>
        <v>9.2641437622218353E-2</v>
      </c>
      <c r="Q809" s="27">
        <f t="shared" si="238"/>
        <v>9.1193054757597203E-2</v>
      </c>
      <c r="R809" s="27">
        <f t="shared" si="238"/>
        <v>8.9872834352323586E-2</v>
      </c>
      <c r="S809" s="27">
        <f t="shared" si="238"/>
        <v>8.007614881771638E-2</v>
      </c>
      <c r="T809" s="27">
        <f t="shared" si="238"/>
        <v>8.1326396788510474E-2</v>
      </c>
      <c r="U809" s="27">
        <f t="shared" si="238"/>
        <v>8.1857388582928847E-2</v>
      </c>
      <c r="V809" s="27">
        <f t="shared" si="238"/>
        <v>8.2207086470719101E-2</v>
      </c>
      <c r="W809" s="27">
        <f t="shared" si="238"/>
        <v>8.285461390877466E-2</v>
      </c>
      <c r="X809" s="27">
        <f t="shared" si="238"/>
        <v>8.333689669834958E-2</v>
      </c>
      <c r="Y809" s="27">
        <f t="shared" si="238"/>
        <v>8.3589871912565908E-2</v>
      </c>
      <c r="Z809" s="27">
        <f t="shared" si="238"/>
        <v>8.3744868407458789E-2</v>
      </c>
      <c r="AA809" s="27">
        <f t="shared" si="238"/>
        <v>8.3765893880963477E-2</v>
      </c>
      <c r="AB809" s="27">
        <f t="shared" si="238"/>
        <v>8.4252320791482468E-2</v>
      </c>
      <c r="AC809" s="27">
        <f t="shared" si="238"/>
        <v>8.467721169561411E-2</v>
      </c>
      <c r="AD809" s="27">
        <f t="shared" si="238"/>
        <v>8.5288552318902811E-2</v>
      </c>
      <c r="AE809" s="27">
        <f t="shared" si="238"/>
        <v>8.6321222168383255E-2</v>
      </c>
      <c r="AF809" s="27">
        <f t="shared" si="238"/>
        <v>8.7530536010928472E-2</v>
      </c>
      <c r="AG809" s="27">
        <f t="shared" si="238"/>
        <v>8.9167849032446608E-2</v>
      </c>
      <c r="AH809" s="27">
        <f t="shared" si="238"/>
        <v>9.0051741731639295E-2</v>
      </c>
      <c r="AI809" s="27">
        <f t="shared" si="238"/>
        <v>9.0823732502808008E-2</v>
      </c>
      <c r="AJ809" s="27">
        <f t="shared" si="238"/>
        <v>9.1793903682288E-2</v>
      </c>
      <c r="AK809" s="27">
        <f t="shared" si="238"/>
        <v>9.2636221139642705E-2</v>
      </c>
      <c r="AL809" s="27">
        <f t="shared" si="238"/>
        <v>9.3568236692189041E-2</v>
      </c>
      <c r="AM809" s="27">
        <f t="shared" si="238"/>
        <v>9.4477344703207677E-2</v>
      </c>
      <c r="AN809" s="27">
        <f t="shared" si="238"/>
        <v>9.5701309146604296E-2</v>
      </c>
      <c r="AO809" s="27">
        <f t="shared" si="238"/>
        <v>9.6764158959885563E-2</v>
      </c>
      <c r="AP809" s="27">
        <f t="shared" si="238"/>
        <v>9.7826064209534019E-2</v>
      </c>
      <c r="AQ809" s="27">
        <f t="shared" si="238"/>
        <v>9.8925683865692504E-2</v>
      </c>
      <c r="AR809" s="27">
        <f t="shared" si="238"/>
        <v>0.1000753787258143</v>
      </c>
      <c r="AS809" s="27">
        <f t="shared" si="238"/>
        <v>0.10157365781943821</v>
      </c>
      <c r="AT809" s="27">
        <f t="shared" si="238"/>
        <v>0.10203766217050345</v>
      </c>
      <c r="AU809" s="27">
        <f t="shared" si="238"/>
        <v>0.10240826928518969</v>
      </c>
      <c r="AV809" s="27">
        <f t="shared" si="238"/>
        <v>0.10279047259457187</v>
      </c>
      <c r="AW809" s="27">
        <f t="shared" si="238"/>
        <v>0.10314026973807801</v>
      </c>
      <c r="AY809" s="79"/>
      <c r="AZ809" s="79"/>
    </row>
    <row r="810" spans="1:52" x14ac:dyDescent="0.2">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3.7923788015899976E-2</v>
      </c>
      <c r="M810" s="27">
        <f t="shared" si="239"/>
        <v>3.7940799901590251E-2</v>
      </c>
      <c r="N810" s="27">
        <f t="shared" si="239"/>
        <v>3.759247428451009E-2</v>
      </c>
      <c r="O810" s="27">
        <f t="shared" si="239"/>
        <v>3.7023578211438583E-2</v>
      </c>
      <c r="P810" s="27">
        <f t="shared" si="239"/>
        <v>3.6243206089281214E-2</v>
      </c>
      <c r="Q810" s="27">
        <f t="shared" si="239"/>
        <v>3.5676569387541844E-2</v>
      </c>
      <c r="R810" s="27">
        <f t="shared" si="239"/>
        <v>3.5160072434777256E-2</v>
      </c>
      <c r="S810" s="27">
        <f t="shared" si="239"/>
        <v>3.132741070223205E-2</v>
      </c>
      <c r="T810" s="27">
        <f t="shared" si="239"/>
        <v>3.1816533021911265E-2</v>
      </c>
      <c r="U810" s="27">
        <f t="shared" si="239"/>
        <v>3.2024267762765575E-2</v>
      </c>
      <c r="V810" s="27">
        <f t="shared" si="239"/>
        <v>3.2161076656727829E-2</v>
      </c>
      <c r="W810" s="27">
        <f t="shared" si="239"/>
        <v>3.2414402500845374E-2</v>
      </c>
      <c r="X810" s="27">
        <f t="shared" si="239"/>
        <v>3.2603081292804072E-2</v>
      </c>
      <c r="Y810" s="27">
        <f t="shared" si="239"/>
        <v>3.2702050318540822E-2</v>
      </c>
      <c r="Z810" s="27">
        <f t="shared" si="239"/>
        <v>3.2762688085523954E-2</v>
      </c>
      <c r="AA810" s="27">
        <f t="shared" si="239"/>
        <v>3.2770913676457285E-2</v>
      </c>
      <c r="AB810" s="27">
        <f t="shared" si="239"/>
        <v>3.2961213732434436E-2</v>
      </c>
      <c r="AC810" s="27">
        <f t="shared" si="239"/>
        <v>3.3127439656806437E-2</v>
      </c>
      <c r="AD810" s="27">
        <f t="shared" si="239"/>
        <v>3.3366608486320448E-2</v>
      </c>
      <c r="AE810" s="27">
        <f t="shared" si="239"/>
        <v>3.377060983968385E-2</v>
      </c>
      <c r="AF810" s="27">
        <f t="shared" si="239"/>
        <v>3.4243717899607513E-2</v>
      </c>
      <c r="AG810" s="27">
        <f t="shared" si="239"/>
        <v>3.4884267903953659E-2</v>
      </c>
      <c r="AH810" s="27">
        <f t="shared" si="239"/>
        <v>3.523006462386518E-2</v>
      </c>
      <c r="AI810" s="27">
        <f t="shared" si="239"/>
        <v>3.5532083043879219E-2</v>
      </c>
      <c r="AJ810" s="27">
        <f t="shared" si="239"/>
        <v>3.5911633652141173E-2</v>
      </c>
      <c r="AK810" s="27">
        <f t="shared" si="239"/>
        <v>3.6241165295680604E-2</v>
      </c>
      <c r="AL810" s="27">
        <f t="shared" si="239"/>
        <v>3.6605788650157255E-2</v>
      </c>
      <c r="AM810" s="27">
        <f t="shared" si="239"/>
        <v>3.6961450110584139E-2</v>
      </c>
      <c r="AN810" s="27">
        <f t="shared" si="239"/>
        <v>3.7440289782188468E-2</v>
      </c>
      <c r="AO810" s="27">
        <f t="shared" si="239"/>
        <v>3.7856098148438051E-2</v>
      </c>
      <c r="AP810" s="27">
        <f t="shared" si="239"/>
        <v>3.82715369822701E-2</v>
      </c>
      <c r="AQ810" s="27">
        <f t="shared" si="239"/>
        <v>3.8701730455524434E-2</v>
      </c>
      <c r="AR810" s="27">
        <f t="shared" si="239"/>
        <v>3.9151514362431208E-2</v>
      </c>
      <c r="AS810" s="27">
        <f t="shared" si="239"/>
        <v>3.973767147919479E-2</v>
      </c>
      <c r="AT810" s="27">
        <f t="shared" si="239"/>
        <v>3.9919199375928846E-2</v>
      </c>
      <c r="AU810" s="27">
        <f t="shared" si="239"/>
        <v>4.0064188382797468E-2</v>
      </c>
      <c r="AV810" s="27">
        <f t="shared" si="239"/>
        <v>4.0213714055816842E-2</v>
      </c>
      <c r="AW810" s="27">
        <f t="shared" si="239"/>
        <v>4.0350561780624759E-2</v>
      </c>
      <c r="AY810" s="79"/>
      <c r="AZ810" s="79"/>
    </row>
    <row r="811" spans="1:52" x14ac:dyDescent="0.2">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0.32784224726088984</v>
      </c>
      <c r="L811" s="27">
        <f t="shared" si="240"/>
        <v>0.33450793008613738</v>
      </c>
      <c r="M811" s="27">
        <f t="shared" si="240"/>
        <v>0.34229948156355033</v>
      </c>
      <c r="N811" s="27">
        <f t="shared" si="240"/>
        <v>0.34828124731402299</v>
      </c>
      <c r="O811" s="27">
        <f t="shared" si="240"/>
        <v>0.35308310351311484</v>
      </c>
      <c r="P811" s="27">
        <f t="shared" si="240"/>
        <v>0.35667649320457151</v>
      </c>
      <c r="Q811" s="27">
        <f t="shared" si="240"/>
        <v>0.36128421068096001</v>
      </c>
      <c r="R811" s="27">
        <f t="shared" si="240"/>
        <v>0.36607496135357964</v>
      </c>
      <c r="S811" s="27">
        <f t="shared" si="240"/>
        <v>0.35143183243338239</v>
      </c>
      <c r="T811" s="27">
        <f t="shared" si="240"/>
        <v>0.36075285272545593</v>
      </c>
      <c r="U811" s="27">
        <f t="shared" si="240"/>
        <v>0.36853031698633509</v>
      </c>
      <c r="V811" s="27">
        <f t="shared" si="240"/>
        <v>0.37596763636775804</v>
      </c>
      <c r="W811" s="27">
        <f t="shared" si="240"/>
        <v>0.38423631077311071</v>
      </c>
      <c r="X811" s="27">
        <f t="shared" si="240"/>
        <v>0.39220730600957571</v>
      </c>
      <c r="Y811" s="27">
        <f t="shared" si="240"/>
        <v>0.39936428537617313</v>
      </c>
      <c r="Z811" s="27">
        <f t="shared" si="240"/>
        <v>0.40634242638516721</v>
      </c>
      <c r="AA811" s="27">
        <f t="shared" si="240"/>
        <v>0.41303118340854511</v>
      </c>
      <c r="AB811" s="27">
        <f t="shared" si="240"/>
        <v>0.42107387695618559</v>
      </c>
      <c r="AC811" s="27">
        <f t="shared" si="240"/>
        <v>0.42906142963568294</v>
      </c>
      <c r="AD811" s="27">
        <f t="shared" si="240"/>
        <v>0.43743347438516689</v>
      </c>
      <c r="AE811" s="27">
        <f t="shared" si="240"/>
        <v>0.44718290108725961</v>
      </c>
      <c r="AF811" s="27">
        <f t="shared" si="240"/>
        <v>0.45765280094933275</v>
      </c>
      <c r="AG811" s="27">
        <f t="shared" si="240"/>
        <v>0.46964954754544574</v>
      </c>
      <c r="AH811" s="27">
        <f t="shared" si="240"/>
        <v>0.47956610826401264</v>
      </c>
      <c r="AI811" s="27">
        <f t="shared" si="240"/>
        <v>0.48905427439468169</v>
      </c>
      <c r="AJ811" s="27">
        <f t="shared" si="240"/>
        <v>0.49936104134598547</v>
      </c>
      <c r="AK811" s="27">
        <f t="shared" si="240"/>
        <v>0.5094502425603159</v>
      </c>
      <c r="AL811" s="27">
        <f t="shared" si="240"/>
        <v>0.52003660978561117</v>
      </c>
      <c r="AM811" s="27">
        <f t="shared" si="240"/>
        <v>0.53075624094362661</v>
      </c>
      <c r="AN811" s="27">
        <f t="shared" si="240"/>
        <v>0.54254535314858965</v>
      </c>
      <c r="AO811" s="27">
        <f t="shared" si="240"/>
        <v>0.55401935597193963</v>
      </c>
      <c r="AP811" s="27">
        <f t="shared" si="240"/>
        <v>0.56573487647354037</v>
      </c>
      <c r="AQ811" s="27">
        <f t="shared" si="240"/>
        <v>0.57784177154062866</v>
      </c>
      <c r="AR811" s="27">
        <f t="shared" si="240"/>
        <v>0.59040171392478091</v>
      </c>
      <c r="AS811" s="27">
        <f t="shared" si="240"/>
        <v>0.60432458622346374</v>
      </c>
      <c r="AT811" s="27">
        <f t="shared" si="240"/>
        <v>0.61453867581789445</v>
      </c>
      <c r="AU811" s="27">
        <f t="shared" si="240"/>
        <v>0.62457515677108666</v>
      </c>
      <c r="AV811" s="27">
        <f t="shared" si="240"/>
        <v>0.63484544126508857</v>
      </c>
      <c r="AW811" s="27">
        <f t="shared" si="240"/>
        <v>0.64517661361237144</v>
      </c>
      <c r="AY811" s="79"/>
      <c r="AZ811" s="79"/>
    </row>
    <row r="812" spans="1:52" x14ac:dyDescent="0.2">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1.7017151675634961</v>
      </c>
      <c r="L812" s="27">
        <f t="shared" si="241"/>
        <v>1.7241237147327644</v>
      </c>
      <c r="M812" s="27">
        <f t="shared" si="241"/>
        <v>1.7601182693498112</v>
      </c>
      <c r="N812" s="27">
        <f t="shared" si="241"/>
        <v>1.7704533576020511</v>
      </c>
      <c r="O812" s="27">
        <f t="shared" si="241"/>
        <v>1.7641159598844758</v>
      </c>
      <c r="P812" s="27">
        <f t="shared" si="241"/>
        <v>1.7411735022142167</v>
      </c>
      <c r="Q812" s="27">
        <f t="shared" si="241"/>
        <v>1.7315152516158574</v>
      </c>
      <c r="R812" s="27">
        <f t="shared" si="241"/>
        <v>1.7240481490859678</v>
      </c>
      <c r="S812" s="27">
        <f t="shared" si="241"/>
        <v>1.4738757031674365</v>
      </c>
      <c r="T812" s="27">
        <f t="shared" si="241"/>
        <v>1.5388372787954712</v>
      </c>
      <c r="U812" s="27">
        <f t="shared" si="241"/>
        <v>1.5836036619864218</v>
      </c>
      <c r="V812" s="27">
        <f t="shared" si="241"/>
        <v>1.6233328828738469</v>
      </c>
      <c r="W812" s="27">
        <f t="shared" si="241"/>
        <v>1.6722487915194271</v>
      </c>
      <c r="X812" s="27">
        <f t="shared" si="241"/>
        <v>1.7166486312949987</v>
      </c>
      <c r="Y812" s="27">
        <f t="shared" si="241"/>
        <v>1.7558377432347874</v>
      </c>
      <c r="Z812" s="27">
        <f t="shared" si="241"/>
        <v>1.7922488857917309</v>
      </c>
      <c r="AA812" s="27">
        <f t="shared" si="241"/>
        <v>1.8246587141077992</v>
      </c>
      <c r="AB812" s="27">
        <f t="shared" si="241"/>
        <v>1.8721447091119181</v>
      </c>
      <c r="AC812" s="27">
        <f t="shared" si="241"/>
        <v>1.9182061569635991</v>
      </c>
      <c r="AD812" s="27">
        <f t="shared" si="241"/>
        <v>1.9720971341440943</v>
      </c>
      <c r="AE812" s="27">
        <f t="shared" si="241"/>
        <v>2.0407669485031263</v>
      </c>
      <c r="AF812" s="27">
        <f t="shared" si="241"/>
        <v>2.1165368943229095</v>
      </c>
      <c r="AG812" s="27">
        <f t="shared" si="241"/>
        <v>2.2082604288024275</v>
      </c>
      <c r="AH812" s="27">
        <f t="shared" si="241"/>
        <v>2.275680198252084</v>
      </c>
      <c r="AI812" s="27">
        <f t="shared" si="241"/>
        <v>2.3413904736766207</v>
      </c>
      <c r="AJ812" s="27">
        <f t="shared" si="241"/>
        <v>2.415218944506448</v>
      </c>
      <c r="AK812" s="27">
        <f t="shared" si="241"/>
        <v>2.4857625444009255</v>
      </c>
      <c r="AL812" s="27">
        <f t="shared" si="241"/>
        <v>2.5608054567251783</v>
      </c>
      <c r="AM812" s="27">
        <f t="shared" si="241"/>
        <v>2.6363672729917886</v>
      </c>
      <c r="AN812" s="27">
        <f t="shared" si="241"/>
        <v>2.7260471010137848</v>
      </c>
      <c r="AO812" s="27">
        <f t="shared" si="241"/>
        <v>2.8113754255419443</v>
      </c>
      <c r="AP812" s="27">
        <f t="shared" si="241"/>
        <v>2.8983044964731111</v>
      </c>
      <c r="AQ812" s="27">
        <f t="shared" si="241"/>
        <v>2.9883855152257053</v>
      </c>
      <c r="AR812" s="27">
        <f t="shared" si="241"/>
        <v>3.0822159477018669</v>
      </c>
      <c r="AS812" s="27">
        <f t="shared" si="241"/>
        <v>3.1927841339465477</v>
      </c>
      <c r="AT812" s="27">
        <f t="shared" si="241"/>
        <v>3.2639921874822613</v>
      </c>
      <c r="AU812" s="27">
        <f t="shared" si="241"/>
        <v>3.3326892535191242</v>
      </c>
      <c r="AV812" s="27">
        <f t="shared" si="241"/>
        <v>3.4031153641230509</v>
      </c>
      <c r="AW812" s="27">
        <f t="shared" si="241"/>
        <v>3.4734928434212469</v>
      </c>
      <c r="AY812" s="79"/>
      <c r="AZ812" s="79"/>
    </row>
    <row r="813" spans="1:52" x14ac:dyDescent="0.2">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1.3660093635870424E-2</v>
      </c>
      <c r="L813" s="27">
        <f t="shared" si="242"/>
        <v>1.3937830420255738E-2</v>
      </c>
      <c r="M813" s="27">
        <f t="shared" si="242"/>
        <v>1.4262478398481276E-2</v>
      </c>
      <c r="N813" s="27">
        <f t="shared" si="242"/>
        <v>1.4511718638084306E-2</v>
      </c>
      <c r="O813" s="27">
        <f t="shared" si="242"/>
        <v>1.4711795979713135E-2</v>
      </c>
      <c r="P813" s="27">
        <f t="shared" si="242"/>
        <v>1.4861520550190493E-2</v>
      </c>
      <c r="Q813" s="27">
        <f t="shared" si="242"/>
        <v>1.5053508778373347E-2</v>
      </c>
      <c r="R813" s="27">
        <f t="shared" si="242"/>
        <v>1.5253123389732504E-2</v>
      </c>
      <c r="S813" s="27">
        <f t="shared" si="242"/>
        <v>1.4642993018057613E-2</v>
      </c>
      <c r="T813" s="27">
        <f t="shared" si="242"/>
        <v>1.5031368863560678E-2</v>
      </c>
      <c r="U813" s="27">
        <f t="shared" si="242"/>
        <v>1.5355429874430639E-2</v>
      </c>
      <c r="V813" s="27">
        <f t="shared" si="242"/>
        <v>1.5665318181989931E-2</v>
      </c>
      <c r="W813" s="27">
        <f t="shared" si="242"/>
        <v>1.6009846282212959E-2</v>
      </c>
      <c r="X813" s="27">
        <f t="shared" si="242"/>
        <v>1.6341971083732341E-2</v>
      </c>
      <c r="Y813" s="27">
        <f t="shared" si="242"/>
        <v>1.6640178557340561E-2</v>
      </c>
      <c r="Z813" s="27">
        <f t="shared" si="242"/>
        <v>1.693093443271531E-2</v>
      </c>
      <c r="AA813" s="27">
        <f t="shared" si="242"/>
        <v>1.7209632642022729E-2</v>
      </c>
      <c r="AB813" s="27">
        <f t="shared" si="242"/>
        <v>1.7544744873174416E-2</v>
      </c>
      <c r="AC813" s="27">
        <f t="shared" si="242"/>
        <v>1.7877559568153477E-2</v>
      </c>
      <c r="AD813" s="27">
        <f t="shared" si="242"/>
        <v>1.8226394766048638E-2</v>
      </c>
      <c r="AE813" s="27">
        <f t="shared" si="242"/>
        <v>1.8632620878635837E-2</v>
      </c>
      <c r="AF813" s="27">
        <f t="shared" si="242"/>
        <v>1.906886670622222E-2</v>
      </c>
      <c r="AG813" s="27">
        <f t="shared" si="242"/>
        <v>1.9568731147726923E-2</v>
      </c>
      <c r="AH813" s="27">
        <f t="shared" si="242"/>
        <v>1.9981921177667211E-2</v>
      </c>
      <c r="AI813" s="27">
        <f t="shared" si="242"/>
        <v>2.0377261433111755E-2</v>
      </c>
      <c r="AJ813" s="27">
        <f t="shared" si="242"/>
        <v>2.0806710056082745E-2</v>
      </c>
      <c r="AK813" s="27">
        <f t="shared" si="242"/>
        <v>2.1227093440013181E-2</v>
      </c>
      <c r="AL813" s="27">
        <f t="shared" si="242"/>
        <v>2.1668192074400485E-2</v>
      </c>
      <c r="AM813" s="27">
        <f t="shared" si="242"/>
        <v>2.2114843372651131E-2</v>
      </c>
      <c r="AN813" s="27">
        <f t="shared" si="242"/>
        <v>2.2606056381191265E-2</v>
      </c>
      <c r="AO813" s="27">
        <f t="shared" si="242"/>
        <v>2.3084139832164171E-2</v>
      </c>
      <c r="AP813" s="27">
        <f t="shared" si="242"/>
        <v>2.3572286519730874E-2</v>
      </c>
      <c r="AQ813" s="27">
        <f t="shared" si="242"/>
        <v>2.4076740480859553E-2</v>
      </c>
      <c r="AR813" s="27">
        <f t="shared" si="242"/>
        <v>2.4600071413532563E-2</v>
      </c>
      <c r="AS813" s="27">
        <f t="shared" si="242"/>
        <v>2.5180191092644345E-2</v>
      </c>
      <c r="AT813" s="27">
        <f t="shared" si="242"/>
        <v>2.5605778159078961E-2</v>
      </c>
      <c r="AU813" s="27">
        <f t="shared" si="242"/>
        <v>2.6023964865461973E-2</v>
      </c>
      <c r="AV813" s="27">
        <f t="shared" si="242"/>
        <v>2.6451893386045391E-2</v>
      </c>
      <c r="AW813" s="27">
        <f t="shared" si="242"/>
        <v>2.6882358900515501E-2</v>
      </c>
      <c r="AY813" s="79"/>
      <c r="AZ813" s="79"/>
    </row>
    <row r="814" spans="1:52" x14ac:dyDescent="0.2">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7.0904798648479067E-2</v>
      </c>
      <c r="L814" s="27">
        <f t="shared" si="243"/>
        <v>7.1838488113865256E-2</v>
      </c>
      <c r="M814" s="27">
        <f t="shared" si="243"/>
        <v>7.333826122290886E-2</v>
      </c>
      <c r="N814" s="27">
        <f t="shared" si="243"/>
        <v>7.3768889900085552E-2</v>
      </c>
      <c r="O814" s="27">
        <f t="shared" si="243"/>
        <v>7.3504831661853232E-2</v>
      </c>
      <c r="P814" s="27">
        <f t="shared" si="243"/>
        <v>7.2548895925592424E-2</v>
      </c>
      <c r="Q814" s="27">
        <f t="shared" si="243"/>
        <v>7.2146468817327461E-2</v>
      </c>
      <c r="R814" s="27">
        <f t="shared" si="243"/>
        <v>7.1835339545248733E-2</v>
      </c>
      <c r="S814" s="27">
        <f t="shared" si="243"/>
        <v>6.1411487631976583E-2</v>
      </c>
      <c r="T814" s="27">
        <f t="shared" si="243"/>
        <v>6.4118219949811373E-2</v>
      </c>
      <c r="U814" s="27">
        <f t="shared" si="243"/>
        <v>6.5983485916100967E-2</v>
      </c>
      <c r="V814" s="27">
        <f t="shared" si="243"/>
        <v>6.7638870119743691E-2</v>
      </c>
      <c r="W814" s="27">
        <f t="shared" si="243"/>
        <v>6.9677032979976197E-2</v>
      </c>
      <c r="X814" s="27">
        <f t="shared" si="243"/>
        <v>7.1527026303958338E-2</v>
      </c>
      <c r="Y814" s="27">
        <f t="shared" si="243"/>
        <v>7.3159905968116196E-2</v>
      </c>
      <c r="Z814" s="27">
        <f t="shared" si="243"/>
        <v>7.4677036907988839E-2</v>
      </c>
      <c r="AA814" s="27">
        <f t="shared" si="243"/>
        <v>7.6027446421158371E-2</v>
      </c>
      <c r="AB814" s="27">
        <f t="shared" si="243"/>
        <v>7.8006029546329986E-2</v>
      </c>
      <c r="AC814" s="27">
        <f t="shared" si="243"/>
        <v>7.9925256540150022E-2</v>
      </c>
      <c r="AD814" s="27">
        <f t="shared" si="243"/>
        <v>8.2170713922670655E-2</v>
      </c>
      <c r="AE814" s="27">
        <f t="shared" si="243"/>
        <v>8.5031956187630361E-2</v>
      </c>
      <c r="AF814" s="27">
        <f t="shared" si="243"/>
        <v>8.8189037263454617E-2</v>
      </c>
      <c r="AG814" s="27">
        <f t="shared" si="243"/>
        <v>9.2010851200101232E-2</v>
      </c>
      <c r="AH814" s="27">
        <f t="shared" si="243"/>
        <v>9.4820008260503588E-2</v>
      </c>
      <c r="AI814" s="27">
        <f t="shared" si="243"/>
        <v>9.755793640319263E-2</v>
      </c>
      <c r="AJ814" s="27">
        <f t="shared" si="243"/>
        <v>0.10063412268776877</v>
      </c>
      <c r="AK814" s="27">
        <f t="shared" si="243"/>
        <v>0.10357343935003867</v>
      </c>
      <c r="AL814" s="27">
        <f t="shared" si="243"/>
        <v>0.10670022736354919</v>
      </c>
      <c r="AM814" s="27">
        <f t="shared" si="243"/>
        <v>0.10984863637465794</v>
      </c>
      <c r="AN814" s="27">
        <f t="shared" si="243"/>
        <v>0.11358529587557446</v>
      </c>
      <c r="AO814" s="27">
        <f t="shared" si="243"/>
        <v>0.11714064273091444</v>
      </c>
      <c r="AP814" s="27">
        <f t="shared" si="243"/>
        <v>0.12076268735304639</v>
      </c>
      <c r="AQ814" s="27">
        <f t="shared" si="243"/>
        <v>0.12451606313440448</v>
      </c>
      <c r="AR814" s="27">
        <f t="shared" si="243"/>
        <v>0.12842566448757792</v>
      </c>
      <c r="AS814" s="27">
        <f t="shared" si="243"/>
        <v>0.1330326722477729</v>
      </c>
      <c r="AT814" s="27">
        <f t="shared" si="243"/>
        <v>0.1359996744784277</v>
      </c>
      <c r="AU814" s="27">
        <f t="shared" si="243"/>
        <v>0.13886205222996365</v>
      </c>
      <c r="AV814" s="27">
        <f t="shared" si="243"/>
        <v>0.14179647350512722</v>
      </c>
      <c r="AW814" s="27">
        <f t="shared" si="243"/>
        <v>0.14472886847588542</v>
      </c>
      <c r="AY814" s="79"/>
      <c r="AZ814" s="79"/>
    </row>
    <row r="815" spans="1:52" x14ac:dyDescent="0.2">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6.60388696259374</v>
      </c>
      <c r="U815" s="27">
        <f t="shared" si="244"/>
        <v>6.6020342469478921</v>
      </c>
      <c r="V815" s="27">
        <f t="shared" si="244"/>
        <v>6.6005840725031204</v>
      </c>
      <c r="W815" s="27">
        <f t="shared" si="244"/>
        <v>6.5992416571177221</v>
      </c>
      <c r="X815" s="27">
        <f t="shared" si="244"/>
        <v>6.5977411232427086</v>
      </c>
      <c r="Y815" s="27">
        <f t="shared" si="244"/>
        <v>6.5963380636148372</v>
      </c>
      <c r="Z815" s="27">
        <f t="shared" si="244"/>
        <v>6.5950885900535399</v>
      </c>
      <c r="AA815" s="27">
        <f t="shared" si="244"/>
        <v>6.593899664910774</v>
      </c>
      <c r="AB815" s="27">
        <f t="shared" si="244"/>
        <v>6.5927919026350441</v>
      </c>
      <c r="AC815" s="27">
        <f t="shared" si="244"/>
        <v>6.5914248070564794</v>
      </c>
      <c r="AD815" s="27">
        <f t="shared" si="244"/>
        <v>6.5900953819081538</v>
      </c>
      <c r="AE815" s="27">
        <f t="shared" si="244"/>
        <v>6.5886770470789005</v>
      </c>
      <c r="AF815" s="27">
        <f t="shared" si="244"/>
        <v>6.5870194021035937</v>
      </c>
      <c r="AG815" s="27">
        <f t="shared" si="244"/>
        <v>6.5852622329414547</v>
      </c>
      <c r="AH815" s="27">
        <f t="shared" si="244"/>
        <v>6.5832642389355076</v>
      </c>
      <c r="AI815" s="27">
        <f t="shared" si="244"/>
        <v>6.5816933184770097</v>
      </c>
      <c r="AJ815" s="27">
        <f t="shared" si="244"/>
        <v>6.5801985919199808</v>
      </c>
      <c r="AK815" s="27">
        <f t="shared" si="244"/>
        <v>6.5785915117586082</v>
      </c>
      <c r="AL815" s="27">
        <f t="shared" si="244"/>
        <v>6.5770555695996213</v>
      </c>
      <c r="AM815" s="27">
        <f t="shared" si="244"/>
        <v>6.5754680730045454</v>
      </c>
      <c r="AN815" s="27">
        <f t="shared" si="244"/>
        <v>6.5738921443316158</v>
      </c>
      <c r="AO815" s="27">
        <f t="shared" si="244"/>
        <v>6.5721499435540869</v>
      </c>
      <c r="AP815" s="27">
        <f t="shared" si="244"/>
        <v>6.5704963238558332</v>
      </c>
      <c r="AQ815" s="27">
        <f t="shared" si="244"/>
        <v>6.5688413494168394</v>
      </c>
      <c r="AR815" s="27">
        <f t="shared" si="244"/>
        <v>6.5671634182939496</v>
      </c>
      <c r="AS815" s="27">
        <f t="shared" si="244"/>
        <v>6.5654557216665381</v>
      </c>
      <c r="AT815" s="27">
        <f t="shared" si="244"/>
        <v>6.5635649622881891</v>
      </c>
      <c r="AU815" s="27">
        <f t="shared" si="244"/>
        <v>6.5622389108641883</v>
      </c>
      <c r="AV815" s="27">
        <f t="shared" si="244"/>
        <v>6.560960344070546</v>
      </c>
      <c r="AW815" s="27">
        <f t="shared" si="244"/>
        <v>6.5596714127254918</v>
      </c>
      <c r="AY815" s="79"/>
      <c r="AZ815" s="79"/>
    </row>
    <row r="816" spans="1:52" x14ac:dyDescent="0.2">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4.358565395311869E-2</v>
      </c>
      <c r="U816" s="27">
        <f t="shared" si="245"/>
        <v>4.3573426029856095E-2</v>
      </c>
      <c r="V816" s="27">
        <f t="shared" si="245"/>
        <v>4.3563854878520596E-2</v>
      </c>
      <c r="W816" s="27">
        <f t="shared" si="245"/>
        <v>4.3554994936976968E-2</v>
      </c>
      <c r="X816" s="27">
        <f t="shared" si="245"/>
        <v>4.354509141340189E-2</v>
      </c>
      <c r="Y816" s="27">
        <f t="shared" si="245"/>
        <v>4.3535831219857934E-2</v>
      </c>
      <c r="Z816" s="27">
        <f t="shared" si="245"/>
        <v>4.3527584694353361E-2</v>
      </c>
      <c r="AA816" s="27">
        <f t="shared" si="244"/>
        <v>4.3519737788411117E-2</v>
      </c>
      <c r="AB816" s="27">
        <f t="shared" si="244"/>
        <v>4.35124265573913E-2</v>
      </c>
      <c r="AC816" s="27">
        <f t="shared" si="244"/>
        <v>4.350340372657277E-2</v>
      </c>
      <c r="AD816" s="27">
        <f t="shared" si="244"/>
        <v>4.3494629520593811E-2</v>
      </c>
      <c r="AE816" s="27">
        <f t="shared" si="244"/>
        <v>4.3485268510720758E-2</v>
      </c>
      <c r="AF816" s="27">
        <f t="shared" si="244"/>
        <v>4.347432805388373E-2</v>
      </c>
      <c r="AG816" s="27">
        <f t="shared" si="244"/>
        <v>4.3462730737413614E-2</v>
      </c>
      <c r="AH816" s="27">
        <f t="shared" si="244"/>
        <v>4.3449543976974349E-2</v>
      </c>
      <c r="AI816" s="27">
        <f t="shared" si="244"/>
        <v>4.343917590194827E-2</v>
      </c>
      <c r="AJ816" s="27">
        <f t="shared" si="244"/>
        <v>4.3429310706671886E-2</v>
      </c>
      <c r="AK816" s="27">
        <f t="shared" si="244"/>
        <v>4.3418703977606825E-2</v>
      </c>
      <c r="AL816" s="27">
        <f t="shared" si="244"/>
        <v>4.340856675935751E-2</v>
      </c>
      <c r="AM816" s="27">
        <f t="shared" si="244"/>
        <v>4.3398089281830012E-2</v>
      </c>
      <c r="AN816" s="27">
        <f t="shared" si="244"/>
        <v>4.3387688152588685E-2</v>
      </c>
      <c r="AO816" s="27">
        <f t="shared" si="244"/>
        <v>4.3376189627456985E-2</v>
      </c>
      <c r="AP816" s="27">
        <f t="shared" si="244"/>
        <v>4.3365275737448507E-2</v>
      </c>
      <c r="AQ816" s="27">
        <f t="shared" si="244"/>
        <v>4.3354352906151139E-2</v>
      </c>
      <c r="AR816" s="27">
        <f t="shared" si="244"/>
        <v>4.3343278560740071E-2</v>
      </c>
      <c r="AS816" s="27">
        <f t="shared" si="244"/>
        <v>4.3332007762999163E-2</v>
      </c>
      <c r="AT816" s="27">
        <f t="shared" si="244"/>
        <v>4.3319528751102059E-2</v>
      </c>
      <c r="AU816" s="27">
        <f t="shared" si="244"/>
        <v>4.3310776811703651E-2</v>
      </c>
      <c r="AV816" s="27">
        <f t="shared" si="244"/>
        <v>4.3302338270865603E-2</v>
      </c>
      <c r="AW816" s="27">
        <f t="shared" si="244"/>
        <v>4.3293831323988244E-2</v>
      </c>
      <c r="AY816" s="79"/>
      <c r="AZ816" s="79"/>
    </row>
    <row r="817" spans="1:52" x14ac:dyDescent="0.2">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2.968676648093143</v>
      </c>
      <c r="U817" s="27">
        <f t="shared" si="244"/>
        <v>2.9825082583829583</v>
      </c>
      <c r="V817" s="27">
        <f t="shared" si="244"/>
        <v>2.9933346622173946</v>
      </c>
      <c r="W817" s="27">
        <f t="shared" si="244"/>
        <v>3.0033565813928953</v>
      </c>
      <c r="X817" s="27">
        <f t="shared" si="244"/>
        <v>3.0145589479472883</v>
      </c>
      <c r="Y817" s="27">
        <f t="shared" si="244"/>
        <v>3.0250336120057435</v>
      </c>
      <c r="Z817" s="27">
        <f t="shared" si="244"/>
        <v>3.0343616658849326</v>
      </c>
      <c r="AA817" s="27">
        <f t="shared" si="244"/>
        <v>3.0432376902631781</v>
      </c>
      <c r="AB817" s="27">
        <f t="shared" si="244"/>
        <v>3.0515077861767024</v>
      </c>
      <c r="AC817" s="27">
        <f t="shared" si="244"/>
        <v>3.0617139574874526</v>
      </c>
      <c r="AD817" s="27">
        <f t="shared" si="244"/>
        <v>3.0716388969147959</v>
      </c>
      <c r="AE817" s="27">
        <f t="shared" si="244"/>
        <v>3.0822275993217993</v>
      </c>
      <c r="AF817" s="27">
        <f t="shared" si="244"/>
        <v>3.0946028925022198</v>
      </c>
      <c r="AG817" s="27">
        <f t="shared" si="244"/>
        <v>3.1077211921821801</v>
      </c>
      <c r="AH817" s="27">
        <f t="shared" si="244"/>
        <v>3.122637390743785</v>
      </c>
      <c r="AI817" s="27">
        <f t="shared" si="244"/>
        <v>3.1343652344778912</v>
      </c>
      <c r="AJ817" s="27">
        <f t="shared" si="244"/>
        <v>3.1455242459932262</v>
      </c>
      <c r="AK817" s="27">
        <f t="shared" si="244"/>
        <v>3.1575220431438074</v>
      </c>
      <c r="AL817" s="27">
        <f t="shared" si="244"/>
        <v>3.1689887533313184</v>
      </c>
      <c r="AM817" s="27">
        <f t="shared" si="244"/>
        <v>3.1808403476591942</v>
      </c>
      <c r="AN817" s="27">
        <f t="shared" si="244"/>
        <v>3.1926055806550666</v>
      </c>
      <c r="AO817" s="27">
        <f t="shared" si="244"/>
        <v>3.2056121325538434</v>
      </c>
      <c r="AP817" s="27">
        <f t="shared" si="244"/>
        <v>3.217957374677253</v>
      </c>
      <c r="AQ817" s="27">
        <f t="shared" si="244"/>
        <v>3.2303127307358399</v>
      </c>
      <c r="AR817" s="27">
        <f t="shared" si="244"/>
        <v>3.24283947192085</v>
      </c>
      <c r="AS817" s="27">
        <f t="shared" si="244"/>
        <v>3.2555884300766866</v>
      </c>
      <c r="AT817" s="27">
        <f t="shared" si="244"/>
        <v>3.2697040591705311</v>
      </c>
      <c r="AU817" s="27">
        <f t="shared" si="244"/>
        <v>3.2796038117645905</v>
      </c>
      <c r="AV817" s="27">
        <f t="shared" si="244"/>
        <v>3.2891490637080194</v>
      </c>
      <c r="AW817" s="27">
        <f t="shared" si="244"/>
        <v>3.2987716931142437</v>
      </c>
      <c r="AY817" s="79"/>
      <c r="AZ817" s="79"/>
    </row>
    <row r="818" spans="1:52" x14ac:dyDescent="0.2">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0.32056321299147922</v>
      </c>
      <c r="M818" s="27">
        <f t="shared" si="244"/>
        <v>0.32309177745176459</v>
      </c>
      <c r="N818" s="27">
        <f t="shared" si="244"/>
        <v>0.32471664946511047</v>
      </c>
      <c r="O818" s="27">
        <f t="shared" si="244"/>
        <v>0.32579638434951891</v>
      </c>
      <c r="P818" s="27">
        <f t="shared" si="244"/>
        <v>0.32632035510276458</v>
      </c>
      <c r="Q818" s="27">
        <f t="shared" si="244"/>
        <v>0.32747800149861978</v>
      </c>
      <c r="R818" s="27">
        <f t="shared" si="244"/>
        <v>0.32880601635823298</v>
      </c>
      <c r="S818" s="27">
        <f t="shared" si="244"/>
        <v>0.31980488008437191</v>
      </c>
      <c r="T818" s="27">
        <f t="shared" si="244"/>
        <v>0.32348013385904834</v>
      </c>
      <c r="U818" s="27">
        <f t="shared" si="244"/>
        <v>0.3263600829079687</v>
      </c>
      <c r="V818" s="27">
        <f t="shared" si="244"/>
        <v>0.32908851818149565</v>
      </c>
      <c r="W818" s="27">
        <f t="shared" si="244"/>
        <v>0.33227832556349268</v>
      </c>
      <c r="X818" s="27">
        <f t="shared" si="244"/>
        <v>0.33533311826905887</v>
      </c>
      <c r="Y818" s="27">
        <f t="shared" si="244"/>
        <v>0.33789515194056902</v>
      </c>
      <c r="Z818" s="27">
        <f t="shared" si="244"/>
        <v>0.34038602610303131</v>
      </c>
      <c r="AA818" s="27">
        <f t="shared" si="244"/>
        <v>0.34274865356811024</v>
      </c>
      <c r="AB818" s="27">
        <f t="shared" si="244"/>
        <v>0.34582201192682688</v>
      </c>
      <c r="AC818" s="27">
        <f t="shared" si="244"/>
        <v>0.34887956660233338</v>
      </c>
      <c r="AD818" s="27">
        <f t="shared" si="244"/>
        <v>0.35206948034993701</v>
      </c>
      <c r="AE818" s="27">
        <f t="shared" si="244"/>
        <v>0.3559611034908382</v>
      </c>
      <c r="AF818" s="27">
        <f t="shared" si="244"/>
        <v>0.36021553712523996</v>
      </c>
      <c r="AG818" s="27">
        <f t="shared" si="244"/>
        <v>0.36523063944756523</v>
      </c>
      <c r="AH818" s="27">
        <f t="shared" si="244"/>
        <v>0.36920261310751928</v>
      </c>
      <c r="AI818" s="27">
        <f t="shared" si="244"/>
        <v>0.3728925335928876</v>
      </c>
      <c r="AJ818" s="27">
        <f t="shared" si="244"/>
        <v>0.37698699496053195</v>
      </c>
      <c r="AK818" s="27">
        <f t="shared" si="244"/>
        <v>0.38097151646383681</v>
      </c>
      <c r="AL818" s="27">
        <f t="shared" si="244"/>
        <v>0.38519729456570295</v>
      </c>
      <c r="AM818" s="27">
        <f t="shared" si="244"/>
        <v>0.38948381880632194</v>
      </c>
      <c r="AN818" s="27">
        <f t="shared" si="244"/>
        <v>0.3942210595490877</v>
      </c>
      <c r="AO818" s="27">
        <f t="shared" si="244"/>
        <v>0.39879649772923048</v>
      </c>
      <c r="AP818" s="27">
        <f t="shared" si="244"/>
        <v>0.40348070497447158</v>
      </c>
      <c r="AQ818" s="27">
        <f t="shared" si="244"/>
        <v>0.40834470639522963</v>
      </c>
      <c r="AR818" s="27">
        <f t="shared" si="244"/>
        <v>0.41341630943614366</v>
      </c>
      <c r="AS818" s="27">
        <f t="shared" si="244"/>
        <v>0.41906350167167566</v>
      </c>
      <c r="AT818" s="27">
        <f t="shared" si="244"/>
        <v>0.42292582986675353</v>
      </c>
      <c r="AU818" s="27">
        <f t="shared" si="244"/>
        <v>0.42669932950648143</v>
      </c>
      <c r="AV818" s="27">
        <f t="shared" si="244"/>
        <v>0.43057975647849034</v>
      </c>
      <c r="AW818" s="27">
        <f t="shared" si="244"/>
        <v>0.43448428362104141</v>
      </c>
      <c r="AY818" s="79"/>
      <c r="AZ818" s="79"/>
    </row>
    <row r="819" spans="1:52" x14ac:dyDescent="0.2">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0.93731746283627526</v>
      </c>
      <c r="M819" s="27">
        <f t="shared" si="244"/>
        <v>0.94471091139331731</v>
      </c>
      <c r="N819" s="27">
        <f t="shared" si="244"/>
        <v>0.94946198965576145</v>
      </c>
      <c r="O819" s="27">
        <f t="shared" si="244"/>
        <v>0.95261910289076102</v>
      </c>
      <c r="P819" s="27">
        <f t="shared" si="244"/>
        <v>0.95415117805450056</v>
      </c>
      <c r="Q819" s="27">
        <f t="shared" si="244"/>
        <v>0.95753610227115837</v>
      </c>
      <c r="R819" s="27">
        <f t="shared" si="244"/>
        <v>0.96141917889497119</v>
      </c>
      <c r="S819" s="27">
        <f t="shared" si="244"/>
        <v>0.93510011958643091</v>
      </c>
      <c r="T819" s="27">
        <f t="shared" si="244"/>
        <v>0.94584645417427005</v>
      </c>
      <c r="U819" s="27">
        <f t="shared" si="244"/>
        <v>0.95426734099543964</v>
      </c>
      <c r="V819" s="27">
        <f t="shared" si="244"/>
        <v>0.96224520596699892</v>
      </c>
      <c r="W819" s="27">
        <f t="shared" si="244"/>
        <v>0.97157210949510064</v>
      </c>
      <c r="X819" s="27">
        <f t="shared" si="244"/>
        <v>0.98050423405659315</v>
      </c>
      <c r="Y819" s="27">
        <f t="shared" si="244"/>
        <v>0.98799554560875424</v>
      </c>
      <c r="Z819" s="27">
        <f t="shared" si="244"/>
        <v>0.99527878883687138</v>
      </c>
      <c r="AA819" s="27">
        <f t="shared" si="244"/>
        <v>1.0021870424712456</v>
      </c>
      <c r="AB819" s="27">
        <f t="shared" si="244"/>
        <v>1.011173452459766</v>
      </c>
      <c r="AC819" s="27">
        <f t="shared" si="244"/>
        <v>1.0201136529406156</v>
      </c>
      <c r="AD819" s="27">
        <f t="shared" si="244"/>
        <v>1.0294408674786415</v>
      </c>
      <c r="AE819" s="27">
        <f t="shared" si="244"/>
        <v>1.0408198597675704</v>
      </c>
      <c r="AF819" s="27">
        <f t="shared" si="244"/>
        <v>1.0532596993324077</v>
      </c>
      <c r="AG819" s="27">
        <f t="shared" si="244"/>
        <v>1.0679237119019074</v>
      </c>
      <c r="AH819" s="27">
        <f t="shared" si="244"/>
        <v>1.0795376467594282</v>
      </c>
      <c r="AI819" s="27">
        <f t="shared" si="244"/>
        <v>1.0903268663805361</v>
      </c>
      <c r="AJ819" s="27">
        <f t="shared" si="244"/>
        <v>1.102298951714306</v>
      </c>
      <c r="AK819" s="27">
        <f t="shared" si="244"/>
        <v>1.1139495760989377</v>
      </c>
      <c r="AL819" s="27">
        <f t="shared" si="244"/>
        <v>1.1263056277244112</v>
      </c>
      <c r="AM819" s="27">
        <f t="shared" si="244"/>
        <v>1.1388392992836296</v>
      </c>
      <c r="AN819" s="27">
        <f t="shared" si="244"/>
        <v>1.152690852718028</v>
      </c>
      <c r="AO819" s="27">
        <f t="shared" si="244"/>
        <v>1.1660693001897589</v>
      </c>
      <c r="AP819" s="27">
        <f t="shared" si="244"/>
        <v>1.1797657852278758</v>
      </c>
      <c r="AQ819" s="27">
        <f t="shared" si="244"/>
        <v>1.1939879831787625</v>
      </c>
      <c r="AR819" s="27">
        <f t="shared" si="244"/>
        <v>1.2088172021975669</v>
      </c>
      <c r="AS819" s="27">
        <f t="shared" si="244"/>
        <v>1.225329427193572</v>
      </c>
      <c r="AT819" s="27">
        <f t="shared" si="244"/>
        <v>1.2366227619173775</v>
      </c>
      <c r="AU819" s="27">
        <f t="shared" si="244"/>
        <v>1.2476563645423218</v>
      </c>
      <c r="AV819" s="27">
        <f t="shared" si="244"/>
        <v>1.2590026195607404</v>
      </c>
      <c r="AW819" s="27">
        <f t="shared" si="244"/>
        <v>1.2704193427732338</v>
      </c>
      <c r="AY819" s="79"/>
      <c r="AZ819" s="79"/>
    </row>
    <row r="820" spans="1:52" x14ac:dyDescent="0.2">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5.0141199304605817E-2</v>
      </c>
      <c r="M820" s="27">
        <f t="shared" si="244"/>
        <v>5.0536707115294892E-2</v>
      </c>
      <c r="N820" s="27">
        <f t="shared" si="244"/>
        <v>5.0790863013925151E-2</v>
      </c>
      <c r="O820" s="27">
        <f t="shared" si="244"/>
        <v>5.0959750770976343E-2</v>
      </c>
      <c r="P820" s="27">
        <f t="shared" si="244"/>
        <v>5.1041708153806091E-2</v>
      </c>
      <c r="Q820" s="27">
        <f t="shared" si="244"/>
        <v>5.122278251388987E-2</v>
      </c>
      <c r="R820" s="27">
        <f t="shared" si="244"/>
        <v>5.1430505218981168E-2</v>
      </c>
      <c r="S820" s="27">
        <f t="shared" si="244"/>
        <v>5.0022583942975041E-2</v>
      </c>
      <c r="T820" s="27">
        <f t="shared" si="244"/>
        <v>5.0597452251447961E-2</v>
      </c>
      <c r="U820" s="27">
        <f t="shared" si="244"/>
        <v>5.1047922216174907E-2</v>
      </c>
      <c r="V820" s="27">
        <f t="shared" si="244"/>
        <v>5.147469300987563E-2</v>
      </c>
      <c r="W820" s="27">
        <f t="shared" si="244"/>
        <v>5.1973629759952025E-2</v>
      </c>
      <c r="X820" s="27">
        <f t="shared" si="244"/>
        <v>5.2451448061230796E-2</v>
      </c>
      <c r="Y820" s="27">
        <f t="shared" si="244"/>
        <v>5.285219099036944E-2</v>
      </c>
      <c r="Z820" s="27">
        <f t="shared" si="244"/>
        <v>5.3241803437341126E-2</v>
      </c>
      <c r="AA820" s="27">
        <f t="shared" si="244"/>
        <v>5.361135605538344E-2</v>
      </c>
      <c r="AB820" s="27">
        <f t="shared" si="244"/>
        <v>5.4092078320926051E-2</v>
      </c>
      <c r="AC820" s="27">
        <f t="shared" si="244"/>
        <v>5.457032863835528E-2</v>
      </c>
      <c r="AD820" s="27">
        <f t="shared" si="244"/>
        <v>5.5069282025709015E-2</v>
      </c>
      <c r="AE820" s="27">
        <f t="shared" si="244"/>
        <v>5.5677993954022266E-2</v>
      </c>
      <c r="AF820" s="27">
        <f t="shared" si="244"/>
        <v>5.634345523013079E-2</v>
      </c>
      <c r="AG820" s="27">
        <f t="shared" si="244"/>
        <v>5.7127897221244069E-2</v>
      </c>
      <c r="AH820" s="27">
        <f t="shared" si="244"/>
        <v>5.774917725228023E-2</v>
      </c>
      <c r="AI820" s="27">
        <f t="shared" si="244"/>
        <v>5.8326339668230698E-2</v>
      </c>
      <c r="AJ820" s="27">
        <f t="shared" si="244"/>
        <v>5.8966778730355766E-2</v>
      </c>
      <c r="AK820" s="27">
        <f t="shared" si="244"/>
        <v>5.9590021444222652E-2</v>
      </c>
      <c r="AL820" s="27">
        <f t="shared" si="244"/>
        <v>6.025100053800389E-2</v>
      </c>
      <c r="AM820" s="27">
        <f t="shared" si="244"/>
        <v>6.0921481296750873E-2</v>
      </c>
      <c r="AN820" s="27">
        <f t="shared" si="244"/>
        <v>6.1662461305093973E-2</v>
      </c>
      <c r="AO820" s="27">
        <f t="shared" si="244"/>
        <v>6.2378132811988125E-2</v>
      </c>
      <c r="AP820" s="27">
        <f t="shared" si="244"/>
        <v>6.3110817535465588E-2</v>
      </c>
      <c r="AQ820" s="27">
        <f t="shared" si="244"/>
        <v>6.3871624935604179E-2</v>
      </c>
      <c r="AR820" s="27">
        <f t="shared" si="244"/>
        <v>6.4664904540257612E-2</v>
      </c>
      <c r="AS820" s="27">
        <f t="shared" si="244"/>
        <v>6.5548215475254884E-2</v>
      </c>
      <c r="AT820" s="27">
        <f t="shared" si="244"/>
        <v>6.6152345206804408E-2</v>
      </c>
      <c r="AU820" s="27">
        <f t="shared" si="244"/>
        <v>6.6742580735534546E-2</v>
      </c>
      <c r="AV820" s="27">
        <f t="shared" si="244"/>
        <v>6.7349541404460839E-2</v>
      </c>
      <c r="AW820" s="27">
        <f t="shared" si="244"/>
        <v>6.7960271724443314E-2</v>
      </c>
      <c r="AY820" s="79"/>
      <c r="AZ820" s="79"/>
    </row>
    <row r="821" spans="1:52" x14ac:dyDescent="0.2">
      <c r="A821" s="95" t="str">
        <f t="shared" si="224"/>
        <v>BD Organic</v>
      </c>
      <c r="B821" s="95" t="s">
        <v>1228</v>
      </c>
      <c r="C821" s="95" t="s">
        <v>1127</v>
      </c>
      <c r="D821" t="s">
        <v>369</v>
      </c>
      <c r="E821" t="s">
        <v>55</v>
      </c>
      <c r="F821" t="s">
        <v>421</v>
      </c>
      <c r="G821" t="s">
        <v>1158</v>
      </c>
      <c r="H821" t="s">
        <v>1159</v>
      </c>
      <c r="I821" t="s">
        <v>139</v>
      </c>
      <c r="J821" t="s">
        <v>287</v>
      </c>
      <c r="K821" s="27">
        <f t="shared" si="245"/>
        <v>0.3999997899835232</v>
      </c>
      <c r="L821" s="27">
        <f t="shared" si="244"/>
        <v>0.39653071954810204</v>
      </c>
      <c r="M821" s="27">
        <f t="shared" si="244"/>
        <v>0.39521014945095023</v>
      </c>
      <c r="N821" s="27">
        <f t="shared" si="244"/>
        <v>0.38993263522397309</v>
      </c>
      <c r="O821" s="27">
        <f t="shared" si="244"/>
        <v>0.38227219443770111</v>
      </c>
      <c r="P821" s="27">
        <f t="shared" si="244"/>
        <v>0.37238723301511378</v>
      </c>
      <c r="Q821" s="27">
        <f t="shared" si="244"/>
        <v>0.36459067483623875</v>
      </c>
      <c r="R821" s="27">
        <f t="shared" si="244"/>
        <v>0.3572142444544395</v>
      </c>
      <c r="S821" s="27">
        <f t="shared" si="244"/>
        <v>0.31703545795580812</v>
      </c>
      <c r="T821" s="27">
        <f t="shared" si="244"/>
        <v>0.32309971218055339</v>
      </c>
      <c r="U821" s="27">
        <f t="shared" si="244"/>
        <v>0.32634203711003062</v>
      </c>
      <c r="V821" s="27">
        <f t="shared" si="244"/>
        <v>0.32883794885575124</v>
      </c>
      <c r="W821" s="27">
        <f t="shared" si="244"/>
        <v>0.33244914541099557</v>
      </c>
      <c r="X821" s="27">
        <f t="shared" si="244"/>
        <v>0.33537982425623064</v>
      </c>
      <c r="Y821" s="27">
        <f t="shared" si="244"/>
        <v>0.33726910277056216</v>
      </c>
      <c r="Z821" s="27">
        <f t="shared" si="244"/>
        <v>0.33873976472971684</v>
      </c>
      <c r="AA821" s="27">
        <f t="shared" si="244"/>
        <v>0.3396512538265225</v>
      </c>
      <c r="AB821" s="27">
        <f t="shared" si="244"/>
        <v>0.34234961980351264</v>
      </c>
      <c r="AC821" s="27">
        <f t="shared" si="244"/>
        <v>0.34477749763229165</v>
      </c>
      <c r="AD821" s="27">
        <f t="shared" si="244"/>
        <v>0.34490271847402698</v>
      </c>
      <c r="AE821" s="27">
        <f t="shared" si="244"/>
        <v>0.34652917307942177</v>
      </c>
      <c r="AF821" s="27">
        <f t="shared" si="244"/>
        <v>0.34867994569293842</v>
      </c>
      <c r="AG821" s="27">
        <f t="shared" si="244"/>
        <v>0.35229087700726325</v>
      </c>
      <c r="AH821" s="27">
        <f t="shared" si="244"/>
        <v>0.35286760038592668</v>
      </c>
      <c r="AI821" s="27">
        <f t="shared" si="244"/>
        <v>0.35280706113320703</v>
      </c>
      <c r="AJ821" s="27">
        <f t="shared" si="244"/>
        <v>0.35333685278149574</v>
      </c>
      <c r="AK821" s="27">
        <f t="shared" si="244"/>
        <v>0.35323906806904226</v>
      </c>
      <c r="AL821" s="27">
        <f t="shared" si="244"/>
        <v>0.35331388529093138</v>
      </c>
      <c r="AM821" s="27">
        <f t="shared" si="244"/>
        <v>0.35314408948749232</v>
      </c>
      <c r="AN821" s="27">
        <f t="shared" si="244"/>
        <v>0.35567872633842856</v>
      </c>
      <c r="AO821" s="27">
        <f t="shared" si="244"/>
        <v>0.35753295708802146</v>
      </c>
      <c r="AP821" s="27">
        <f t="shared" si="244"/>
        <v>0.35928020343080169</v>
      </c>
      <c r="AQ821" s="27">
        <f t="shared" si="244"/>
        <v>0.36105415112579775</v>
      </c>
      <c r="AR821" s="27">
        <f t="shared" si="244"/>
        <v>0.36289326988326759</v>
      </c>
      <c r="AS821" s="27">
        <f t="shared" si="244"/>
        <v>0.36577537997432297</v>
      </c>
      <c r="AT821" s="27">
        <f t="shared" si="244"/>
        <v>0.36496360671057504</v>
      </c>
      <c r="AU821" s="27">
        <f t="shared" si="244"/>
        <v>0.36374650903258482</v>
      </c>
      <c r="AV821" s="27">
        <f t="shared" si="244"/>
        <v>0.36248592595380585</v>
      </c>
      <c r="AW821" s="27">
        <f t="shared" si="244"/>
        <v>0.36103102436723483</v>
      </c>
      <c r="AY821" s="79"/>
      <c r="AZ821" s="79"/>
    </row>
    <row r="822" spans="1:52" x14ac:dyDescent="0.2">
      <c r="A822" s="95" t="str">
        <f t="shared" si="224"/>
        <v>BD Organic</v>
      </c>
      <c r="B822" s="95" t="s">
        <v>1228</v>
      </c>
      <c r="C822" s="95" t="s">
        <v>1127</v>
      </c>
      <c r="D822" t="s">
        <v>369</v>
      </c>
      <c r="E822" t="s">
        <v>55</v>
      </c>
      <c r="F822" t="s">
        <v>421</v>
      </c>
      <c r="G822" t="s">
        <v>1160</v>
      </c>
      <c r="H822" t="s">
        <v>1161</v>
      </c>
      <c r="I822" t="s">
        <v>139</v>
      </c>
      <c r="J822" t="s">
        <v>287</v>
      </c>
      <c r="K822" s="27">
        <f t="shared" si="245"/>
        <v>2.6602988559851246</v>
      </c>
      <c r="L822" s="27">
        <f t="shared" si="244"/>
        <v>2.6372269335947092</v>
      </c>
      <c r="M822" s="27">
        <f t="shared" si="244"/>
        <v>2.6284441511866339</v>
      </c>
      <c r="N822" s="27">
        <f t="shared" si="244"/>
        <v>2.5933447201068058</v>
      </c>
      <c r="O822" s="27">
        <f t="shared" si="244"/>
        <v>2.5423970387070205</v>
      </c>
      <c r="P822" s="27">
        <f t="shared" ref="L822:AW828" si="246">P1470</f>
        <v>2.4766546252796311</v>
      </c>
      <c r="Q822" s="27">
        <f t="shared" si="246"/>
        <v>2.4248016610449818</v>
      </c>
      <c r="R822" s="27">
        <f t="shared" si="246"/>
        <v>2.3757428620222045</v>
      </c>
      <c r="S822" s="27">
        <f t="shared" si="246"/>
        <v>2.1085237723282266</v>
      </c>
      <c r="T822" s="27">
        <f t="shared" si="246"/>
        <v>2.1488556149453371</v>
      </c>
      <c r="U822" s="27">
        <f t="shared" si="246"/>
        <v>2.1704195095188212</v>
      </c>
      <c r="V822" s="27">
        <f t="shared" si="246"/>
        <v>2.1870191961387908</v>
      </c>
      <c r="W822" s="27">
        <f t="shared" si="246"/>
        <v>2.211036363910428</v>
      </c>
      <c r="X822" s="27">
        <f t="shared" si="246"/>
        <v>2.2305275780922154</v>
      </c>
      <c r="Y822" s="27">
        <f t="shared" si="246"/>
        <v>2.2430926983652055</v>
      </c>
      <c r="Z822" s="27">
        <f t="shared" si="246"/>
        <v>2.252873704319335</v>
      </c>
      <c r="AA822" s="27">
        <f t="shared" si="246"/>
        <v>2.2589357910058689</v>
      </c>
      <c r="AB822" s="27">
        <f t="shared" si="246"/>
        <v>2.2768819502323812</v>
      </c>
      <c r="AC822" s="27">
        <f t="shared" si="246"/>
        <v>2.2930291602362631</v>
      </c>
      <c r="AD822" s="27">
        <f t="shared" si="246"/>
        <v>2.2938619728285596</v>
      </c>
      <c r="AE822" s="27">
        <f t="shared" si="246"/>
        <v>2.3046791168231131</v>
      </c>
      <c r="AF822" s="27">
        <f t="shared" si="246"/>
        <v>2.3189833691414923</v>
      </c>
      <c r="AG822" s="27">
        <f t="shared" si="246"/>
        <v>2.3429987728619159</v>
      </c>
      <c r="AH822" s="27">
        <f t="shared" si="246"/>
        <v>2.346834416236983</v>
      </c>
      <c r="AI822" s="27">
        <f t="shared" si="246"/>
        <v>2.3464317847637033</v>
      </c>
      <c r="AJ822" s="27">
        <f t="shared" si="246"/>
        <v>2.3499552969033255</v>
      </c>
      <c r="AK822" s="27">
        <f t="shared" si="246"/>
        <v>2.3493049551651861</v>
      </c>
      <c r="AL822" s="27">
        <f t="shared" si="246"/>
        <v>2.3498025458509408</v>
      </c>
      <c r="AM822" s="27">
        <f t="shared" si="246"/>
        <v>2.3486732763039284</v>
      </c>
      <c r="AN822" s="27">
        <f t="shared" si="246"/>
        <v>2.3655305139418807</v>
      </c>
      <c r="AO822" s="27">
        <f t="shared" si="246"/>
        <v>2.3778625402713889</v>
      </c>
      <c r="AP822" s="27">
        <f t="shared" si="246"/>
        <v>2.3894830399896865</v>
      </c>
      <c r="AQ822" s="27">
        <f t="shared" si="246"/>
        <v>2.4012811237431047</v>
      </c>
      <c r="AR822" s="27">
        <f t="shared" si="246"/>
        <v>2.413512643981452</v>
      </c>
      <c r="AS822" s="27">
        <f t="shared" si="246"/>
        <v>2.4326808394906876</v>
      </c>
      <c r="AT822" s="27">
        <f t="shared" si="246"/>
        <v>2.4272819379438721</v>
      </c>
      <c r="AU822" s="27">
        <f t="shared" si="246"/>
        <v>2.4191873247929188</v>
      </c>
      <c r="AV822" s="27">
        <f t="shared" si="246"/>
        <v>2.4108035010851898</v>
      </c>
      <c r="AW822" s="27">
        <f t="shared" si="246"/>
        <v>2.4011273134389794</v>
      </c>
      <c r="AY822" s="79"/>
      <c r="AZ822" s="79"/>
    </row>
    <row r="823" spans="1:52" x14ac:dyDescent="0.2">
      <c r="A823" s="95" t="str">
        <f t="shared" si="224"/>
        <v>BD Organic</v>
      </c>
      <c r="B823" s="95" t="s">
        <v>1228</v>
      </c>
      <c r="C823" s="95" t="s">
        <v>1127</v>
      </c>
      <c r="D823" t="s">
        <v>369</v>
      </c>
      <c r="E823" t="s">
        <v>55</v>
      </c>
      <c r="F823" t="s">
        <v>421</v>
      </c>
      <c r="G823" t="s">
        <v>1162</v>
      </c>
      <c r="H823" t="s">
        <v>1163</v>
      </c>
      <c r="I823" t="s">
        <v>139</v>
      </c>
      <c r="J823" t="s">
        <v>287</v>
      </c>
      <c r="K823" s="27">
        <f t="shared" si="245"/>
        <v>0.34358078636628736</v>
      </c>
      <c r="L823" s="27">
        <f t="shared" si="246"/>
        <v>0.35516571939691516</v>
      </c>
      <c r="M823" s="27">
        <f t="shared" si="246"/>
        <v>0.36891582276573964</v>
      </c>
      <c r="N823" s="27">
        <f t="shared" si="246"/>
        <v>0.37917034791782095</v>
      </c>
      <c r="O823" s="27">
        <f t="shared" si="246"/>
        <v>0.38707850955818868</v>
      </c>
      <c r="P823" s="27">
        <f t="shared" si="246"/>
        <v>0.39252728601928993</v>
      </c>
      <c r="Q823" s="27">
        <f t="shared" si="246"/>
        <v>0.39996713645364929</v>
      </c>
      <c r="R823" s="27">
        <f t="shared" si="246"/>
        <v>0.40776627193753145</v>
      </c>
      <c r="S823" s="27">
        <f t="shared" si="246"/>
        <v>0.37652794837094722</v>
      </c>
      <c r="T823" s="27">
        <f t="shared" si="246"/>
        <v>0.39297526852441034</v>
      </c>
      <c r="U823" s="27">
        <f t="shared" si="246"/>
        <v>0.40635032563114942</v>
      </c>
      <c r="V823" s="27">
        <f t="shared" si="246"/>
        <v>0.41906397887076929</v>
      </c>
      <c r="W823" s="27">
        <f t="shared" si="246"/>
        <v>0.4334881601814114</v>
      </c>
      <c r="X823" s="27">
        <f t="shared" si="246"/>
        <v>0.44733744019305588</v>
      </c>
      <c r="Y823" s="27">
        <f t="shared" si="246"/>
        <v>0.46006881076150558</v>
      </c>
      <c r="Z823" s="27">
        <f t="shared" si="246"/>
        <v>0.47246549989332448</v>
      </c>
      <c r="AA823" s="27">
        <f t="shared" si="246"/>
        <v>0.4842972828341911</v>
      </c>
      <c r="AB823" s="27">
        <f t="shared" si="246"/>
        <v>0.49893915197034427</v>
      </c>
      <c r="AC823" s="27">
        <f t="shared" si="246"/>
        <v>0.51350643977275245</v>
      </c>
      <c r="AD823" s="27">
        <f t="shared" si="246"/>
        <v>0.53072839151044782</v>
      </c>
      <c r="AE823" s="27">
        <f t="shared" si="246"/>
        <v>0.55094843194330412</v>
      </c>
      <c r="AF823" s="27">
        <f t="shared" si="246"/>
        <v>0.57283458620168215</v>
      </c>
      <c r="AG823" s="27">
        <f t="shared" si="246"/>
        <v>0.59810752351139296</v>
      </c>
      <c r="AH823" s="27">
        <f t="shared" si="246"/>
        <v>0.61918227343437504</v>
      </c>
      <c r="AI823" s="27">
        <f t="shared" si="246"/>
        <v>0.63993352160681027</v>
      </c>
      <c r="AJ823" s="27">
        <f t="shared" si="246"/>
        <v>0.66259501614961847</v>
      </c>
      <c r="AK823" s="27">
        <f t="shared" si="246"/>
        <v>0.68496632766069843</v>
      </c>
      <c r="AL823" s="27">
        <f t="shared" si="246"/>
        <v>0.70858354272657831</v>
      </c>
      <c r="AM823" s="27">
        <f t="shared" si="246"/>
        <v>0.73267251576118442</v>
      </c>
      <c r="AN823" s="27">
        <f t="shared" si="246"/>
        <v>0.75875206021259933</v>
      </c>
      <c r="AO823" s="27">
        <f t="shared" si="246"/>
        <v>0.78430196742523084</v>
      </c>
      <c r="AP823" s="27">
        <f t="shared" si="246"/>
        <v>0.81053600981631879</v>
      </c>
      <c r="AQ823" s="27">
        <f t="shared" si="246"/>
        <v>0.83778993006127533</v>
      </c>
      <c r="AR823" s="27">
        <f t="shared" si="246"/>
        <v>0.86620935276117805</v>
      </c>
      <c r="AS823" s="27">
        <f t="shared" si="246"/>
        <v>0.89826083748814867</v>
      </c>
      <c r="AT823" s="27">
        <f t="shared" si="246"/>
        <v>0.9222529178926514</v>
      </c>
      <c r="AU823" s="27">
        <f t="shared" si="246"/>
        <v>0.94598858331962243</v>
      </c>
      <c r="AV823" s="27">
        <f t="shared" si="246"/>
        <v>0.9703863283837505</v>
      </c>
      <c r="AW823" s="27">
        <f t="shared" si="246"/>
        <v>0.99506234412260963</v>
      </c>
      <c r="AY823" s="79"/>
      <c r="AZ823" s="79"/>
    </row>
    <row r="824" spans="1:52" x14ac:dyDescent="0.2">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5.9536061137450337E-2</v>
      </c>
      <c r="T824" s="27">
        <f t="shared" si="246"/>
        <v>5.9626729725854671E-2</v>
      </c>
      <c r="U824" s="27">
        <f t="shared" si="246"/>
        <v>5.9729206929355502E-2</v>
      </c>
      <c r="V824" s="27">
        <f t="shared" si="246"/>
        <v>5.9844810274995809E-2</v>
      </c>
      <c r="W824" s="27">
        <f t="shared" si="246"/>
        <v>5.9974855541164628E-2</v>
      </c>
      <c r="X824" s="27">
        <f t="shared" si="246"/>
        <v>6.0116631008549089E-2</v>
      </c>
      <c r="Y824" s="27">
        <f t="shared" si="246"/>
        <v>6.0202857685321479E-2</v>
      </c>
      <c r="Z824" s="27">
        <f t="shared" si="246"/>
        <v>6.0299167924469661E-2</v>
      </c>
      <c r="AA824" s="27">
        <f t="shared" si="246"/>
        <v>6.0404855231945616E-2</v>
      </c>
      <c r="AB824" s="27">
        <f t="shared" si="246"/>
        <v>6.052231244286084E-2</v>
      </c>
      <c r="AC824" s="27">
        <f t="shared" si="246"/>
        <v>6.064865362872638E-2</v>
      </c>
      <c r="AD824" s="27">
        <f t="shared" si="246"/>
        <v>6.0731208862415634E-2</v>
      </c>
      <c r="AE824" s="27">
        <f t="shared" si="246"/>
        <v>6.0823877481192126E-2</v>
      </c>
      <c r="AF824" s="27">
        <f t="shared" si="246"/>
        <v>6.0925179087084252E-2</v>
      </c>
      <c r="AG824" s="27">
        <f t="shared" si="246"/>
        <v>6.1036165719670403E-2</v>
      </c>
      <c r="AH824" s="27">
        <f t="shared" si="246"/>
        <v>6.1150437256879263E-2</v>
      </c>
      <c r="AI824" s="27">
        <f t="shared" si="246"/>
        <v>6.1220471443741167E-2</v>
      </c>
      <c r="AJ824" s="27">
        <f t="shared" si="246"/>
        <v>6.1297838147090833E-2</v>
      </c>
      <c r="AK824" s="27">
        <f t="shared" si="246"/>
        <v>6.1380565224491167E-2</v>
      </c>
      <c r="AL824" s="27">
        <f t="shared" si="246"/>
        <v>6.1469636895764942E-2</v>
      </c>
      <c r="AM824" s="27">
        <f t="shared" si="246"/>
        <v>6.1564248264751806E-2</v>
      </c>
      <c r="AN824" s="27">
        <f t="shared" si="246"/>
        <v>6.1619115142281453E-2</v>
      </c>
      <c r="AO824" s="27">
        <f t="shared" si="246"/>
        <v>6.1678131563041472E-2</v>
      </c>
      <c r="AP824" s="27">
        <f t="shared" si="246"/>
        <v>6.1742051762293963E-2</v>
      </c>
      <c r="AQ824" s="27">
        <f t="shared" si="246"/>
        <v>6.1810963980968171E-2</v>
      </c>
      <c r="AR824" s="27">
        <f t="shared" si="246"/>
        <v>6.1884820045811577E-2</v>
      </c>
      <c r="AS824" s="27">
        <f t="shared" si="246"/>
        <v>6.1917844796297146E-2</v>
      </c>
      <c r="AT824" s="27">
        <f t="shared" si="246"/>
        <v>6.1948582957053369E-2</v>
      </c>
      <c r="AU824" s="27">
        <f t="shared" si="246"/>
        <v>6.1982659332367518E-2</v>
      </c>
      <c r="AV824" s="27">
        <f t="shared" si="246"/>
        <v>6.2020620133408491E-2</v>
      </c>
      <c r="AW824" s="27">
        <f t="shared" si="246"/>
        <v>6.2062074580344864E-2</v>
      </c>
      <c r="AY824" s="79"/>
      <c r="AZ824" s="79"/>
    </row>
    <row r="825" spans="1:52" x14ac:dyDescent="0.2">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4.8454260958953527E-2</v>
      </c>
      <c r="T825" s="27">
        <f t="shared" si="246"/>
        <v>4.8528052865226608E-2</v>
      </c>
      <c r="U825" s="27">
        <f t="shared" si="246"/>
        <v>4.8611455379029278E-2</v>
      </c>
      <c r="V825" s="27">
        <f t="shared" si="246"/>
        <v>4.8705540788281515E-2</v>
      </c>
      <c r="W825" s="27">
        <f t="shared" si="246"/>
        <v>4.8811379957736697E-2</v>
      </c>
      <c r="X825" s="27">
        <f t="shared" si="246"/>
        <v>4.8926765916481318E-2</v>
      </c>
      <c r="Y825" s="27">
        <f t="shared" si="246"/>
        <v>4.8996942710480308E-2</v>
      </c>
      <c r="Z825" s="27">
        <f t="shared" si="246"/>
        <v>4.9075326153582635E-2</v>
      </c>
      <c r="AA825" s="27">
        <f t="shared" si="246"/>
        <v>4.9161341255667866E-2</v>
      </c>
      <c r="AB825" s="27">
        <f t="shared" si="246"/>
        <v>4.9256935459255795E-2</v>
      </c>
      <c r="AC825" s="27">
        <f t="shared" si="246"/>
        <v>4.9359760010844099E-2</v>
      </c>
      <c r="AD825" s="27">
        <f t="shared" si="246"/>
        <v>4.9426948749236969E-2</v>
      </c>
      <c r="AE825" s="27">
        <f t="shared" si="246"/>
        <v>4.9502368408366512E-2</v>
      </c>
      <c r="AF825" s="27">
        <f t="shared" si="246"/>
        <v>4.9584814145516069E-2</v>
      </c>
      <c r="AG825" s="27">
        <f t="shared" si="246"/>
        <v>4.967514217789748E-2</v>
      </c>
      <c r="AH825" s="27">
        <f t="shared" si="246"/>
        <v>4.9768143676120806E-2</v>
      </c>
      <c r="AI825" s="27">
        <f t="shared" si="246"/>
        <v>4.9825141984396873E-2</v>
      </c>
      <c r="AJ825" s="27">
        <f t="shared" si="246"/>
        <v>4.9888107964376358E-2</v>
      </c>
      <c r="AK825" s="27">
        <f t="shared" si="246"/>
        <v>4.9955436560191149E-2</v>
      </c>
      <c r="AL825" s="27">
        <f t="shared" si="246"/>
        <v>5.0027928792990776E-2</v>
      </c>
      <c r="AM825" s="27">
        <f t="shared" si="246"/>
        <v>5.0104929586711242E-2</v>
      </c>
      <c r="AN825" s="27">
        <f t="shared" si="246"/>
        <v>5.0149583766901075E-2</v>
      </c>
      <c r="AO825" s="27">
        <f t="shared" si="246"/>
        <v>5.0197615111228118E-2</v>
      </c>
      <c r="AP825" s="27">
        <f t="shared" si="246"/>
        <v>5.0249637464671662E-2</v>
      </c>
      <c r="AQ825" s="27">
        <f t="shared" si="246"/>
        <v>5.0305722643353402E-2</v>
      </c>
      <c r="AR825" s="27">
        <f t="shared" si="246"/>
        <v>5.0365831440794026E-2</v>
      </c>
      <c r="AS825" s="27">
        <f t="shared" si="246"/>
        <v>5.0392709098596028E-2</v>
      </c>
      <c r="AT825" s="27">
        <f t="shared" si="246"/>
        <v>5.0417725783177193E-2</v>
      </c>
      <c r="AU825" s="27">
        <f t="shared" si="246"/>
        <v>5.0445459320641074E-2</v>
      </c>
      <c r="AV825" s="27">
        <f t="shared" si="246"/>
        <v>5.0476354252632014E-2</v>
      </c>
      <c r="AW825" s="27">
        <f t="shared" si="246"/>
        <v>5.0510092537486409E-2</v>
      </c>
      <c r="AY825" s="79"/>
      <c r="AZ825" s="79"/>
    </row>
    <row r="826" spans="1:52" x14ac:dyDescent="0.2">
      <c r="A826" s="95" t="str">
        <f t="shared" si="224"/>
        <v>BD Organic</v>
      </c>
      <c r="B826" s="95" t="s">
        <v>1228</v>
      </c>
      <c r="C826" s="95" t="s">
        <v>1127</v>
      </c>
      <c r="D826" t="s">
        <v>369</v>
      </c>
      <c r="E826" t="s">
        <v>55</v>
      </c>
      <c r="F826" t="s">
        <v>421</v>
      </c>
      <c r="G826" t="s">
        <v>1168</v>
      </c>
      <c r="H826" t="s">
        <v>1169</v>
      </c>
      <c r="I826" t="s">
        <v>139</v>
      </c>
      <c r="J826" t="s">
        <v>287</v>
      </c>
      <c r="K826" s="27">
        <f t="shared" si="245"/>
        <v>7.2140927380493743E-3</v>
      </c>
      <c r="L826" s="27">
        <f t="shared" si="246"/>
        <v>7.2328458969643655E-3</v>
      </c>
      <c r="M826" s="27">
        <f t="shared" si="246"/>
        <v>7.2587152169743185E-3</v>
      </c>
      <c r="N826" s="27">
        <f t="shared" si="246"/>
        <v>7.2902308808567339E-3</v>
      </c>
      <c r="O826" s="27">
        <f t="shared" si="246"/>
        <v>7.3273479389297461E-3</v>
      </c>
      <c r="P826" s="27">
        <f t="shared" si="246"/>
        <v>7.3698404773103405E-3</v>
      </c>
      <c r="Q826" s="27">
        <f t="shared" si="246"/>
        <v>7.4155715935563127E-3</v>
      </c>
      <c r="R826" s="27">
        <f t="shared" si="246"/>
        <v>7.4643602602570466E-3</v>
      </c>
      <c r="S826" s="27">
        <f t="shared" si="246"/>
        <v>7.5091824622274591E-3</v>
      </c>
      <c r="T826" s="27">
        <f t="shared" si="246"/>
        <v>7.5310026575768785E-3</v>
      </c>
      <c r="U826" s="27">
        <f t="shared" si="246"/>
        <v>7.5544556894728667E-3</v>
      </c>
      <c r="V826" s="27">
        <f t="shared" si="246"/>
        <v>7.5798283677162839E-3</v>
      </c>
      <c r="W826" s="27">
        <f t="shared" si="246"/>
        <v>7.6073992773568969E-3</v>
      </c>
      <c r="X826" s="27">
        <f t="shared" si="246"/>
        <v>7.6366778381520258E-3</v>
      </c>
      <c r="Y826" s="27">
        <f t="shared" si="246"/>
        <v>7.6549815598218112E-3</v>
      </c>
      <c r="Z826" s="27">
        <f t="shared" si="246"/>
        <v>7.6747813396639188E-3</v>
      </c>
      <c r="AA826" s="27">
        <f t="shared" si="246"/>
        <v>7.695960726553556E-3</v>
      </c>
      <c r="AB826" s="27">
        <f t="shared" si="246"/>
        <v>7.7189834484336205E-3</v>
      </c>
      <c r="AC826" s="27">
        <f t="shared" si="246"/>
        <v>7.7433191534407569E-3</v>
      </c>
      <c r="AD826" s="27">
        <f t="shared" si="246"/>
        <v>7.7591399700901245E-3</v>
      </c>
      <c r="AE826" s="27">
        <f t="shared" si="246"/>
        <v>7.7765645193301983E-3</v>
      </c>
      <c r="AF826" s="27">
        <f t="shared" si="246"/>
        <v>7.7953233528318755E-3</v>
      </c>
      <c r="AG826" s="27">
        <f t="shared" si="246"/>
        <v>7.8156183452166659E-3</v>
      </c>
      <c r="AH826" s="27">
        <f t="shared" si="246"/>
        <v>7.8362676853213336E-3</v>
      </c>
      <c r="AI826" s="27">
        <f t="shared" si="246"/>
        <v>7.8484908167339423E-3</v>
      </c>
      <c r="AJ826" s="27">
        <f t="shared" si="246"/>
        <v>7.8618680880810435E-3</v>
      </c>
      <c r="AK826" s="27">
        <f t="shared" si="246"/>
        <v>7.8760394561635683E-3</v>
      </c>
      <c r="AL826" s="27">
        <f t="shared" si="246"/>
        <v>7.8911907673676705E-3</v>
      </c>
      <c r="AM826" s="27">
        <f t="shared" si="246"/>
        <v>7.9071774267792192E-3</v>
      </c>
      <c r="AN826" s="27">
        <f t="shared" si="246"/>
        <v>7.9157019513346714E-3</v>
      </c>
      <c r="AO826" s="27">
        <f t="shared" si="246"/>
        <v>7.9248428379220318E-3</v>
      </c>
      <c r="AP826" s="27">
        <f t="shared" si="246"/>
        <v>7.9347410994360257E-3</v>
      </c>
      <c r="AQ826" s="27">
        <f t="shared" si="246"/>
        <v>7.9454149669416808E-3</v>
      </c>
      <c r="AR826" s="27">
        <f t="shared" si="246"/>
        <v>7.9568573935750887E-3</v>
      </c>
      <c r="AS826" s="27">
        <f t="shared" si="246"/>
        <v>7.9607498372215833E-3</v>
      </c>
      <c r="AT826" s="27">
        <f t="shared" si="246"/>
        <v>7.9641286536339551E-3</v>
      </c>
      <c r="AU826" s="27">
        <f t="shared" si="246"/>
        <v>7.9680196395720947E-3</v>
      </c>
      <c r="AV826" s="27">
        <f t="shared" si="246"/>
        <v>7.9725231105734155E-3</v>
      </c>
      <c r="AW826" s="27">
        <f t="shared" si="246"/>
        <v>7.9775693338345506E-3</v>
      </c>
      <c r="AY826" s="79"/>
      <c r="AZ826" s="79"/>
    </row>
    <row r="827" spans="1:52" x14ac:dyDescent="0.2">
      <c r="A827" s="95" t="str">
        <f t="shared" si="224"/>
        <v>BD Organic</v>
      </c>
      <c r="B827" s="95" t="s">
        <v>1228</v>
      </c>
      <c r="C827" s="95" t="s">
        <v>1127</v>
      </c>
      <c r="D827" t="s">
        <v>369</v>
      </c>
      <c r="E827" t="s">
        <v>55</v>
      </c>
      <c r="F827" t="s">
        <v>421</v>
      </c>
      <c r="G827" t="s">
        <v>1170</v>
      </c>
      <c r="H827" t="s">
        <v>1171</v>
      </c>
      <c r="I827" t="s">
        <v>139</v>
      </c>
      <c r="J827" t="s">
        <v>287</v>
      </c>
      <c r="K827" s="27">
        <f t="shared" si="245"/>
        <v>8.7045671471293523E-2</v>
      </c>
      <c r="L827" s="27">
        <f t="shared" si="246"/>
        <v>8.7271948200639354E-2</v>
      </c>
      <c r="M827" s="27">
        <f t="shared" si="246"/>
        <v>8.7584088952434122E-2</v>
      </c>
      <c r="N827" s="27">
        <f t="shared" si="246"/>
        <v>8.7964358824768801E-2</v>
      </c>
      <c r="O827" s="27">
        <f t="shared" si="246"/>
        <v>8.8412215452112072E-2</v>
      </c>
      <c r="P827" s="27">
        <f t="shared" si="246"/>
        <v>8.8924932944132923E-2</v>
      </c>
      <c r="Q827" s="27">
        <f t="shared" si="246"/>
        <v>8.9476727309038565E-2</v>
      </c>
      <c r="R827" s="27">
        <f t="shared" si="246"/>
        <v>9.0065414259340087E-2</v>
      </c>
      <c r="S827" s="27">
        <f t="shared" si="246"/>
        <v>9.0606241610610233E-2</v>
      </c>
      <c r="T827" s="27">
        <f t="shared" si="246"/>
        <v>9.0869525383745986E-2</v>
      </c>
      <c r="U827" s="27">
        <f t="shared" si="246"/>
        <v>9.1152511059637925E-2</v>
      </c>
      <c r="V827" s="27">
        <f t="shared" si="246"/>
        <v>9.14586593023788E-2</v>
      </c>
      <c r="W827" s="27">
        <f t="shared" si="246"/>
        <v>9.1791331535726078E-2</v>
      </c>
      <c r="X827" s="27">
        <f t="shared" si="246"/>
        <v>9.2144608389332791E-2</v>
      </c>
      <c r="Y827" s="27">
        <f t="shared" si="246"/>
        <v>9.2365462182182861E-2</v>
      </c>
      <c r="Z827" s="27">
        <f t="shared" si="246"/>
        <v>9.2604367501801177E-2</v>
      </c>
      <c r="AA827" s="27">
        <f t="shared" si="246"/>
        <v>9.2859919241999239E-2</v>
      </c>
      <c r="AB827" s="27">
        <f t="shared" si="246"/>
        <v>9.3137712771680009E-2</v>
      </c>
      <c r="AC827" s="27">
        <f t="shared" si="246"/>
        <v>9.3431348833759018E-2</v>
      </c>
      <c r="AD827" s="27">
        <f t="shared" si="246"/>
        <v>9.3622243747156081E-2</v>
      </c>
      <c r="AE827" s="27">
        <f t="shared" si="246"/>
        <v>9.3832489393249188E-2</v>
      </c>
      <c r="AF827" s="27">
        <f t="shared" si="246"/>
        <v>9.4058834592495047E-2</v>
      </c>
      <c r="AG827" s="27">
        <f t="shared" si="246"/>
        <v>9.4303715176067421E-2</v>
      </c>
      <c r="AH827" s="27">
        <f t="shared" si="246"/>
        <v>9.4552871340274972E-2</v>
      </c>
      <c r="AI827" s="27">
        <f t="shared" si="246"/>
        <v>9.4700356369914307E-2</v>
      </c>
      <c r="AJ827" s="27">
        <f t="shared" si="246"/>
        <v>9.4861767320555526E-2</v>
      </c>
      <c r="AK827" s="27">
        <f t="shared" si="246"/>
        <v>9.5032759889573118E-2</v>
      </c>
      <c r="AL827" s="27">
        <f t="shared" si="246"/>
        <v>9.5215576510501124E-2</v>
      </c>
      <c r="AM827" s="27">
        <f t="shared" si="246"/>
        <v>9.5408472492517202E-2</v>
      </c>
      <c r="AN827" s="27">
        <f t="shared" si="246"/>
        <v>9.5511329912132736E-2</v>
      </c>
      <c r="AO827" s="27">
        <f t="shared" si="246"/>
        <v>9.5621624392635218E-2</v>
      </c>
      <c r="AP827" s="27">
        <f t="shared" si="246"/>
        <v>9.5741057403988084E-2</v>
      </c>
      <c r="AQ827" s="27">
        <f t="shared" si="246"/>
        <v>9.5869848923304843E-2</v>
      </c>
      <c r="AR827" s="27">
        <f t="shared" si="246"/>
        <v>9.6007913922706994E-2</v>
      </c>
      <c r="AS827" s="27">
        <f t="shared" si="246"/>
        <v>9.6054880378944288E-2</v>
      </c>
      <c r="AT827" s="27">
        <f t="shared" si="246"/>
        <v>9.6095649378466819E-2</v>
      </c>
      <c r="AU827" s="27">
        <f t="shared" si="246"/>
        <v>9.6142598245908498E-2</v>
      </c>
      <c r="AV827" s="27">
        <f t="shared" si="246"/>
        <v>9.6196937394502191E-2</v>
      </c>
      <c r="AW827" s="27">
        <f t="shared" si="246"/>
        <v>9.6257825424100524E-2</v>
      </c>
      <c r="AY827" s="79"/>
      <c r="AZ827" s="79"/>
    </row>
    <row r="828" spans="1:52" x14ac:dyDescent="0.2">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2">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2">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0.12395129293471778</v>
      </c>
      <c r="M830" s="27">
        <f t="shared" si="247"/>
        <v>0.12400689511310996</v>
      </c>
      <c r="N830" s="27">
        <f t="shared" si="247"/>
        <v>0.12286841678965586</v>
      </c>
      <c r="O830" s="27">
        <f t="shared" si="247"/>
        <v>0.12100901910045005</v>
      </c>
      <c r="P830" s="27">
        <f t="shared" si="247"/>
        <v>0.11845842648899832</v>
      </c>
      <c r="Q830" s="27">
        <f t="shared" si="247"/>
        <v>0.11660641339960408</v>
      </c>
      <c r="R830" s="27">
        <f t="shared" si="247"/>
        <v>0.11491827863139022</v>
      </c>
      <c r="S830" s="27">
        <f t="shared" si="247"/>
        <v>0.10239148734853588</v>
      </c>
      <c r="T830" s="27">
        <f t="shared" si="247"/>
        <v>0.10399015001119098</v>
      </c>
      <c r="U830" s="27">
        <f t="shared" si="247"/>
        <v>0.10466911672478917</v>
      </c>
      <c r="V830" s="27">
        <f t="shared" si="247"/>
        <v>0.10511626718572097</v>
      </c>
      <c r="W830" s="27">
        <f t="shared" si="247"/>
        <v>0.10594424528482288</v>
      </c>
      <c r="X830" s="27">
        <f t="shared" si="247"/>
        <v>0.10656092894002199</v>
      </c>
      <c r="Y830" s="27">
        <f t="shared" si="247"/>
        <v>0.10688440239408244</v>
      </c>
      <c r="Z830" s="27">
        <f t="shared" si="247"/>
        <v>0.10708259276512562</v>
      </c>
      <c r="AA830" s="27">
        <f t="shared" si="247"/>
        <v>0.10710947754337903</v>
      </c>
      <c r="AB830" s="27">
        <f t="shared" si="247"/>
        <v>0.1077314601885206</v>
      </c>
      <c r="AC830" s="27">
        <f t="shared" si="247"/>
        <v>0.10827475819020069</v>
      </c>
      <c r="AD830" s="27">
        <f t="shared" si="247"/>
        <v>0.1090564650607147</v>
      </c>
      <c r="AE830" s="27">
        <f t="shared" si="247"/>
        <v>0.11037691569913123</v>
      </c>
      <c r="AF830" s="27">
        <f t="shared" si="247"/>
        <v>0.11192323685515045</v>
      </c>
      <c r="AG830" s="27">
        <f t="shared" si="247"/>
        <v>0.1140168304907534</v>
      </c>
      <c r="AH830" s="27">
        <f t="shared" si="247"/>
        <v>0.11514704328773583</v>
      </c>
      <c r="AI830" s="27">
        <f t="shared" si="247"/>
        <v>0.11613416972234052</v>
      </c>
      <c r="AJ830" s="27">
        <f t="shared" si="247"/>
        <v>0.1173747047819844</v>
      </c>
      <c r="AK830" s="27">
        <f t="shared" si="247"/>
        <v>0.11845175629546961</v>
      </c>
      <c r="AL830" s="27">
        <f t="shared" si="247"/>
        <v>0.11964350265273288</v>
      </c>
      <c r="AM830" s="27">
        <f t="shared" si="247"/>
        <v>0.12080595767564568</v>
      </c>
      <c r="AN830" s="27">
        <f t="shared" si="247"/>
        <v>0.12237101221025357</v>
      </c>
      <c r="AO830" s="27">
        <f t="shared" si="247"/>
        <v>0.12373005325826542</v>
      </c>
      <c r="AP830" s="27">
        <f t="shared" si="247"/>
        <v>0.12508788651498504</v>
      </c>
      <c r="AQ830" s="27">
        <f t="shared" si="247"/>
        <v>0.12649394429591121</v>
      </c>
      <c r="AR830" s="27">
        <f t="shared" si="247"/>
        <v>0.12796403206190518</v>
      </c>
      <c r="AS830" s="27">
        <f t="shared" si="247"/>
        <v>0.12987984628529636</v>
      </c>
      <c r="AT830" s="27">
        <f t="shared" si="247"/>
        <v>0.13047315773125404</v>
      </c>
      <c r="AU830" s="27">
        <f t="shared" si="247"/>
        <v>0.13094704432863591</v>
      </c>
      <c r="AV830" s="27">
        <f t="shared" si="247"/>
        <v>0.13143575870732388</v>
      </c>
      <c r="AW830" s="27">
        <f t="shared" si="247"/>
        <v>0.13188303608420418</v>
      </c>
      <c r="AY830" s="79"/>
      <c r="AZ830" s="79"/>
    </row>
    <row r="831" spans="1:52" x14ac:dyDescent="0.2">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3.1446916354757506E-2</v>
      </c>
      <c r="M831" s="27">
        <f t="shared" si="247"/>
        <v>3.1461022839745632E-2</v>
      </c>
      <c r="N831" s="27">
        <f t="shared" si="247"/>
        <v>3.1172186541537576E-2</v>
      </c>
      <c r="O831" s="27">
        <f t="shared" si="247"/>
        <v>3.0700450247237842E-2</v>
      </c>
      <c r="P831" s="27">
        <f t="shared" si="247"/>
        <v>3.0053355161673644E-2</v>
      </c>
      <c r="Q831" s="27">
        <f t="shared" si="247"/>
        <v>2.9583492368545926E-2</v>
      </c>
      <c r="R831" s="27">
        <f t="shared" si="247"/>
        <v>2.9155206131309681E-2</v>
      </c>
      <c r="S831" s="27">
        <f t="shared" si="247"/>
        <v>2.5977111346345238E-2</v>
      </c>
      <c r="T831" s="27">
        <f t="shared" si="247"/>
        <v>2.6382698168730914E-2</v>
      </c>
      <c r="U831" s="27">
        <f t="shared" si="247"/>
        <v>2.6554954616765158E-2</v>
      </c>
      <c r="V831" s="27">
        <f t="shared" si="247"/>
        <v>2.6668398396252971E-2</v>
      </c>
      <c r="W831" s="27">
        <f t="shared" si="247"/>
        <v>2.6878459601824591E-2</v>
      </c>
      <c r="X831" s="27">
        <f t="shared" si="247"/>
        <v>2.7034914600100463E-2</v>
      </c>
      <c r="Y831" s="27">
        <f t="shared" si="247"/>
        <v>2.7116981050655197E-2</v>
      </c>
      <c r="Z831" s="27">
        <f t="shared" si="247"/>
        <v>2.7167262704625481E-2</v>
      </c>
      <c r="AA831" s="27">
        <f t="shared" si="247"/>
        <v>2.7174083475534235E-2</v>
      </c>
      <c r="AB831" s="27">
        <f t="shared" si="247"/>
        <v>2.7331882847793948E-2</v>
      </c>
      <c r="AC831" s="27">
        <f t="shared" si="247"/>
        <v>2.7469719625531634E-2</v>
      </c>
      <c r="AD831" s="27">
        <f t="shared" si="247"/>
        <v>2.7668041643712917E-2</v>
      </c>
      <c r="AE831" s="27">
        <f t="shared" si="247"/>
        <v>2.8003045013131105E-2</v>
      </c>
      <c r="AF831" s="27">
        <f t="shared" si="247"/>
        <v>2.8395352595404884E-2</v>
      </c>
      <c r="AG831" s="27">
        <f t="shared" si="247"/>
        <v>2.8926505295637978E-2</v>
      </c>
      <c r="AH831" s="27">
        <f t="shared" si="247"/>
        <v>2.9213244598216302E-2</v>
      </c>
      <c r="AI831" s="27">
        <f t="shared" si="247"/>
        <v>2.9463682344250404E-2</v>
      </c>
      <c r="AJ831" s="27">
        <f t="shared" si="247"/>
        <v>2.9778410826157509E-2</v>
      </c>
      <c r="AK831" s="27">
        <f t="shared" si="247"/>
        <v>3.0051662908103689E-2</v>
      </c>
      <c r="AL831" s="27">
        <f t="shared" si="247"/>
        <v>3.0354013509905672E-2</v>
      </c>
      <c r="AM831" s="27">
        <f t="shared" si="247"/>
        <v>3.0648932788327074E-2</v>
      </c>
      <c r="AN831" s="27">
        <f t="shared" si="247"/>
        <v>3.1045993100286617E-2</v>
      </c>
      <c r="AO831" s="27">
        <f t="shared" si="247"/>
        <v>3.1390787003985711E-2</v>
      </c>
      <c r="AP831" s="27">
        <f t="shared" si="247"/>
        <v>3.1735274486421723E-2</v>
      </c>
      <c r="AQ831" s="27">
        <f t="shared" si="247"/>
        <v>3.2091996714805643E-2</v>
      </c>
      <c r="AR831" s="27">
        <f t="shared" si="247"/>
        <v>3.2464963594914874E-2</v>
      </c>
      <c r="AS831" s="27">
        <f t="shared" si="247"/>
        <v>3.2951012979377248E-2</v>
      </c>
      <c r="AT831" s="27">
        <f t="shared" si="247"/>
        <v>3.3101538358916271E-2</v>
      </c>
      <c r="AU831" s="27">
        <f t="shared" si="247"/>
        <v>3.3221765198319694E-2</v>
      </c>
      <c r="AV831" s="27">
        <f t="shared" si="247"/>
        <v>3.3345753902463859E-2</v>
      </c>
      <c r="AW831" s="27">
        <f t="shared" si="247"/>
        <v>3.3459229881012437E-2</v>
      </c>
      <c r="AY831" s="79"/>
      <c r="AZ831" s="79"/>
    </row>
    <row r="832" spans="1:52" x14ac:dyDescent="0.2">
      <c r="A832" s="95" t="str">
        <f t="shared" si="224"/>
        <v>BD Organic</v>
      </c>
      <c r="B832" s="95" t="s">
        <v>1228</v>
      </c>
      <c r="C832" s="95" t="s">
        <v>1127</v>
      </c>
      <c r="D832" t="s">
        <v>369</v>
      </c>
      <c r="E832" t="s">
        <v>55</v>
      </c>
      <c r="F832" t="s">
        <v>421</v>
      </c>
      <c r="G832" t="s">
        <v>1180</v>
      </c>
      <c r="H832" t="s">
        <v>1181</v>
      </c>
      <c r="I832" t="s">
        <v>139</v>
      </c>
      <c r="J832" t="s">
        <v>287</v>
      </c>
      <c r="K832" s="27">
        <f t="shared" si="245"/>
        <v>0.15700744358616764</v>
      </c>
      <c r="L832" s="27">
        <f t="shared" si="247"/>
        <v>0.16019971617730661</v>
      </c>
      <c r="M832" s="27">
        <f t="shared" si="247"/>
        <v>0.16393118028621728</v>
      </c>
      <c r="N832" s="27">
        <f t="shared" si="247"/>
        <v>0.1667959170810015</v>
      </c>
      <c r="O832" s="27">
        <f t="shared" si="247"/>
        <v>0.16909558154641688</v>
      </c>
      <c r="P832" s="27">
        <f t="shared" si="247"/>
        <v>0.1708164974258628</v>
      </c>
      <c r="Q832" s="27">
        <f t="shared" si="247"/>
        <v>0.17302318661183388</v>
      </c>
      <c r="R832" s="27">
        <f t="shared" si="247"/>
        <v>0.17531753251219051</v>
      </c>
      <c r="S832" s="27">
        <f t="shared" si="247"/>
        <v>0.16830476873000083</v>
      </c>
      <c r="T832" s="27">
        <f t="shared" si="247"/>
        <v>0.17276871314198702</v>
      </c>
      <c r="U832" s="27">
        <f t="shared" si="247"/>
        <v>0.1764934307199863</v>
      </c>
      <c r="V832" s="27">
        <f t="shared" si="247"/>
        <v>0.18005524898156572</v>
      </c>
      <c r="W832" s="27">
        <f t="shared" si="247"/>
        <v>0.1840152127784149</v>
      </c>
      <c r="X832" s="27">
        <f t="shared" si="247"/>
        <v>0.18783261457873554</v>
      </c>
      <c r="Y832" s="27">
        <f t="shared" si="247"/>
        <v>0.1912601747651877</v>
      </c>
      <c r="Z832" s="27">
        <f t="shared" si="247"/>
        <v>0.19460208719398481</v>
      </c>
      <c r="AA832" s="27">
        <f t="shared" si="247"/>
        <v>0.1978054102854529</v>
      </c>
      <c r="AB832" s="27">
        <f t="shared" si="247"/>
        <v>0.20165714923615963</v>
      </c>
      <c r="AC832" s="27">
        <f t="shared" si="247"/>
        <v>0.2054824805874291</v>
      </c>
      <c r="AD832" s="27">
        <f t="shared" si="247"/>
        <v>0.20949194963752207</v>
      </c>
      <c r="AE832" s="27">
        <f t="shared" si="247"/>
        <v>0.21416106283362638</v>
      </c>
      <c r="AF832" s="27">
        <f t="shared" si="247"/>
        <v>0.21917521895804776</v>
      </c>
      <c r="AG832" s="27">
        <f t="shared" si="247"/>
        <v>0.2249205996408121</v>
      </c>
      <c r="AH832" s="27">
        <f t="shared" si="247"/>
        <v>0.22966975525024821</v>
      </c>
      <c r="AI832" s="27">
        <f t="shared" si="247"/>
        <v>0.23421374773731693</v>
      </c>
      <c r="AJ832" s="27">
        <f t="shared" si="247"/>
        <v>0.23914977762419984</v>
      </c>
      <c r="AK832" s="27">
        <f t="shared" si="247"/>
        <v>0.24398161276357982</v>
      </c>
      <c r="AL832" s="27">
        <f t="shared" si="247"/>
        <v>0.24905154645514979</v>
      </c>
      <c r="AM832" s="27">
        <f t="shared" si="247"/>
        <v>0.25418530178524701</v>
      </c>
      <c r="AN832" s="27">
        <f t="shared" si="247"/>
        <v>0.25983124395687562</v>
      </c>
      <c r="AO832" s="27">
        <f t="shared" si="247"/>
        <v>0.26532627660152752</v>
      </c>
      <c r="AP832" s="27">
        <f t="shared" si="247"/>
        <v>0.27093697485535539</v>
      </c>
      <c r="AQ832" s="27">
        <f t="shared" si="247"/>
        <v>0.27673510691469561</v>
      </c>
      <c r="AR832" s="27">
        <f t="shared" si="247"/>
        <v>0.28275020857350047</v>
      </c>
      <c r="AS832" s="27">
        <f t="shared" si="247"/>
        <v>0.28941803313014858</v>
      </c>
      <c r="AT832" s="27">
        <f t="shared" si="247"/>
        <v>0.29430967875904612</v>
      </c>
      <c r="AU832" s="27">
        <f t="shared" si="247"/>
        <v>0.29911626555567689</v>
      </c>
      <c r="AV832" s="27">
        <f t="shared" si="247"/>
        <v>0.30403482357185191</v>
      </c>
      <c r="AW832" s="27">
        <f t="shared" si="247"/>
        <v>0.30898254148510845</v>
      </c>
      <c r="AY832" s="79"/>
      <c r="AZ832" s="79"/>
    </row>
    <row r="833" spans="1:52" x14ac:dyDescent="0.2">
      <c r="A833" s="95" t="str">
        <f t="shared" si="224"/>
        <v>BD Organic</v>
      </c>
      <c r="B833" s="95" t="s">
        <v>1228</v>
      </c>
      <c r="C833" s="95" t="s">
        <v>1127</v>
      </c>
      <c r="D833" t="s">
        <v>369</v>
      </c>
      <c r="E833" t="s">
        <v>55</v>
      </c>
      <c r="F833" t="s">
        <v>421</v>
      </c>
      <c r="G833" t="s">
        <v>1182</v>
      </c>
      <c r="H833" t="s">
        <v>1183</v>
      </c>
      <c r="I833" t="s">
        <v>139</v>
      </c>
      <c r="J833" t="s">
        <v>287</v>
      </c>
      <c r="K833" s="27">
        <f t="shared" si="245"/>
        <v>0.78620275218739033</v>
      </c>
      <c r="L833" s="27">
        <f t="shared" si="247"/>
        <v>0.7965556372017637</v>
      </c>
      <c r="M833" s="27">
        <f t="shared" si="247"/>
        <v>0.8131853402467214</v>
      </c>
      <c r="N833" s="27">
        <f t="shared" si="247"/>
        <v>0.81796021384654038</v>
      </c>
      <c r="O833" s="27">
        <f t="shared" si="247"/>
        <v>0.81503229757580642</v>
      </c>
      <c r="P833" s="27">
        <f t="shared" si="247"/>
        <v>0.80443274266431908</v>
      </c>
      <c r="Q833" s="27">
        <f t="shared" si="247"/>
        <v>0.79997057217510736</v>
      </c>
      <c r="R833" s="27">
        <f t="shared" si="247"/>
        <v>0.79652072541357799</v>
      </c>
      <c r="S833" s="27">
        <f t="shared" si="247"/>
        <v>0.68093953459407419</v>
      </c>
      <c r="T833" s="27">
        <f t="shared" si="247"/>
        <v>0.71095217743742134</v>
      </c>
      <c r="U833" s="27">
        <f t="shared" si="247"/>
        <v>0.73163451860770856</v>
      </c>
      <c r="V833" s="27">
        <f t="shared" si="247"/>
        <v>0.74998966017271962</v>
      </c>
      <c r="W833" s="27">
        <f t="shared" si="247"/>
        <v>0.77258910732812447</v>
      </c>
      <c r="X833" s="27">
        <f t="shared" si="247"/>
        <v>0.79310210321227914</v>
      </c>
      <c r="Y833" s="27">
        <f t="shared" si="247"/>
        <v>0.81120771116014501</v>
      </c>
      <c r="Z833" s="27">
        <f t="shared" si="247"/>
        <v>0.82802988036578451</v>
      </c>
      <c r="AA833" s="27">
        <f t="shared" si="247"/>
        <v>0.84300341806804124</v>
      </c>
      <c r="AB833" s="27">
        <f t="shared" si="247"/>
        <v>0.86494223642860679</v>
      </c>
      <c r="AC833" s="27">
        <f t="shared" si="247"/>
        <v>0.88622290534488479</v>
      </c>
      <c r="AD833" s="27">
        <f t="shared" si="247"/>
        <v>0.91112086440699802</v>
      </c>
      <c r="AE833" s="27">
        <f t="shared" si="247"/>
        <v>0.94284673608655079</v>
      </c>
      <c r="AF833" s="27">
        <f t="shared" si="247"/>
        <v>0.97785291166286403</v>
      </c>
      <c r="AG833" s="27">
        <f t="shared" si="247"/>
        <v>1.0202297421822766</v>
      </c>
      <c r="AH833" s="27">
        <f t="shared" si="247"/>
        <v>1.0513780855146408</v>
      </c>
      <c r="AI833" s="27">
        <f t="shared" si="247"/>
        <v>1.0817366322153388</v>
      </c>
      <c r="AJ833" s="27">
        <f t="shared" si="247"/>
        <v>1.1158458345440128</v>
      </c>
      <c r="AK833" s="27">
        <f t="shared" si="247"/>
        <v>1.1484374065317347</v>
      </c>
      <c r="AL833" s="27">
        <f t="shared" si="247"/>
        <v>1.1831076882134564</v>
      </c>
      <c r="AM833" s="27">
        <f t="shared" si="247"/>
        <v>1.2180177066709783</v>
      </c>
      <c r="AN833" s="27">
        <f t="shared" si="247"/>
        <v>1.2594503323832682</v>
      </c>
      <c r="AO833" s="27">
        <f t="shared" si="247"/>
        <v>1.298872537028497</v>
      </c>
      <c r="AP833" s="27">
        <f t="shared" si="247"/>
        <v>1.3390342962428967</v>
      </c>
      <c r="AQ833" s="27">
        <f t="shared" si="247"/>
        <v>1.3806522745115721</v>
      </c>
      <c r="AR833" s="27">
        <f t="shared" si="247"/>
        <v>1.4240025047133247</v>
      </c>
      <c r="AS833" s="27">
        <f t="shared" si="247"/>
        <v>1.4750856789053959</v>
      </c>
      <c r="AT833" s="27">
        <f t="shared" si="247"/>
        <v>1.5079842325146011</v>
      </c>
      <c r="AU833" s="27">
        <f t="shared" si="247"/>
        <v>1.5397226946349756</v>
      </c>
      <c r="AV833" s="27">
        <f t="shared" si="247"/>
        <v>1.5722599858562425</v>
      </c>
      <c r="AW833" s="27">
        <f t="shared" si="247"/>
        <v>1.6047748091186307</v>
      </c>
      <c r="AY833" s="79"/>
      <c r="AZ833" s="79"/>
    </row>
    <row r="834" spans="1:52" x14ac:dyDescent="0.2">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2">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1.0836040032789309</v>
      </c>
      <c r="M835" s="27">
        <f t="shared" si="247"/>
        <v>1.0921513426512339</v>
      </c>
      <c r="N835" s="27">
        <f t="shared" si="247"/>
        <v>1.0976439186771809</v>
      </c>
      <c r="O835" s="27">
        <f t="shared" si="247"/>
        <v>1.1012937605673541</v>
      </c>
      <c r="P835" s="27">
        <f t="shared" si="247"/>
        <v>1.1030649457277464</v>
      </c>
      <c r="Q835" s="27">
        <f t="shared" si="247"/>
        <v>1.1069781529146336</v>
      </c>
      <c r="R835" s="27">
        <f t="shared" si="247"/>
        <v>1.1114672588381171</v>
      </c>
      <c r="S835" s="27">
        <f t="shared" si="247"/>
        <v>1.0810406006779549</v>
      </c>
      <c r="T835" s="27">
        <f t="shared" si="247"/>
        <v>1.0934641088719885</v>
      </c>
      <c r="U835" s="27">
        <f t="shared" si="247"/>
        <v>1.1031992381450169</v>
      </c>
      <c r="V835" s="27">
        <f t="shared" si="247"/>
        <v>1.1124222034300566</v>
      </c>
      <c r="W835" s="27">
        <f t="shared" si="247"/>
        <v>1.123204750861388</v>
      </c>
      <c r="X835" s="27">
        <f t="shared" si="247"/>
        <v>1.1335309064238068</v>
      </c>
      <c r="Y835" s="27">
        <f t="shared" si="247"/>
        <v>1.1421913822066523</v>
      </c>
      <c r="Z835" s="27">
        <f t="shared" si="247"/>
        <v>1.1506113165744176</v>
      </c>
      <c r="AA835" s="27">
        <f t="shared" si="247"/>
        <v>1.1585977369609775</v>
      </c>
      <c r="AB835" s="27">
        <f t="shared" si="247"/>
        <v>1.1689866502425044</v>
      </c>
      <c r="AC835" s="27">
        <f t="shared" si="247"/>
        <v>1.179322142127879</v>
      </c>
      <c r="AD835" s="27">
        <f t="shared" si="247"/>
        <v>1.1901050491082561</v>
      </c>
      <c r="AE835" s="27">
        <f t="shared" si="247"/>
        <v>1.2032599534885204</v>
      </c>
      <c r="AF835" s="27">
        <f t="shared" ref="L835:AW837" si="248">AF1483</f>
        <v>1.2176412709045177</v>
      </c>
      <c r="AG835" s="27">
        <f t="shared" si="248"/>
        <v>1.2345938865918005</v>
      </c>
      <c r="AH835" s="27">
        <f t="shared" si="248"/>
        <v>1.2480204008779516</v>
      </c>
      <c r="AI835" s="27">
        <f t="shared" si="248"/>
        <v>1.2604934871451285</v>
      </c>
      <c r="AJ835" s="27">
        <f t="shared" si="248"/>
        <v>1.2743340482246315</v>
      </c>
      <c r="AK835" s="27">
        <f t="shared" si="248"/>
        <v>1.2878029781490608</v>
      </c>
      <c r="AL835" s="27">
        <f t="shared" si="248"/>
        <v>1.302087430895273</v>
      </c>
      <c r="AM835" s="27">
        <f t="shared" si="248"/>
        <v>1.3165772246053524</v>
      </c>
      <c r="AN835" s="27">
        <f t="shared" si="248"/>
        <v>1.3325905811769112</v>
      </c>
      <c r="AO835" s="27">
        <f t="shared" si="248"/>
        <v>1.3480569944390275</v>
      </c>
      <c r="AP835" s="27">
        <f t="shared" si="248"/>
        <v>1.3638910811882956</v>
      </c>
      <c r="AQ835" s="27">
        <f t="shared" si="248"/>
        <v>1.3803329285303612</v>
      </c>
      <c r="AR835" s="27">
        <f t="shared" si="248"/>
        <v>1.3974765343324473</v>
      </c>
      <c r="AS835" s="27">
        <f t="shared" si="248"/>
        <v>1.4165658117844762</v>
      </c>
      <c r="AT835" s="27">
        <f t="shared" si="248"/>
        <v>1.4296216900778926</v>
      </c>
      <c r="AU835" s="27">
        <f t="shared" si="248"/>
        <v>1.4423773000489271</v>
      </c>
      <c r="AV835" s="27">
        <f t="shared" si="248"/>
        <v>1.4554943578736881</v>
      </c>
      <c r="AW835" s="27">
        <f t="shared" si="248"/>
        <v>1.468692881818767</v>
      </c>
      <c r="AY835" s="79"/>
      <c r="AZ835" s="79"/>
    </row>
    <row r="836" spans="1:52" x14ac:dyDescent="0.2">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0.73794174034663862</v>
      </c>
      <c r="M836" s="27">
        <f t="shared" si="248"/>
        <v>0.74376253694082328</v>
      </c>
      <c r="N836" s="27">
        <f t="shared" si="248"/>
        <v>0.74750301879518044</v>
      </c>
      <c r="O836" s="27">
        <f t="shared" si="248"/>
        <v>0.74998858609492669</v>
      </c>
      <c r="P836" s="27">
        <f t="shared" si="248"/>
        <v>0.75119477530775824</v>
      </c>
      <c r="Q836" s="27">
        <f t="shared" si="248"/>
        <v>0.7538596961765357</v>
      </c>
      <c r="R836" s="27">
        <f t="shared" si="248"/>
        <v>0.75691680802528427</v>
      </c>
      <c r="S836" s="27">
        <f t="shared" si="248"/>
        <v>0.73619604563634833</v>
      </c>
      <c r="T836" s="27">
        <f t="shared" si="248"/>
        <v>0.74465653971921864</v>
      </c>
      <c r="U836" s="27">
        <f t="shared" si="248"/>
        <v>0.75128622936275991</v>
      </c>
      <c r="V836" s="27">
        <f t="shared" si="248"/>
        <v>0.75756713182620983</v>
      </c>
      <c r="W836" s="27">
        <f t="shared" si="248"/>
        <v>0.76491012040208251</v>
      </c>
      <c r="X836" s="27">
        <f t="shared" si="248"/>
        <v>0.77194230299255218</v>
      </c>
      <c r="Y836" s="27">
        <f t="shared" si="248"/>
        <v>0.77784014625640541</v>
      </c>
      <c r="Z836" s="27">
        <f t="shared" si="248"/>
        <v>0.78357417917078342</v>
      </c>
      <c r="AA836" s="27">
        <f t="shared" si="248"/>
        <v>0.78901298609781978</v>
      </c>
      <c r="AB836" s="27">
        <f t="shared" si="248"/>
        <v>0.79608790712439581</v>
      </c>
      <c r="AC836" s="27">
        <f t="shared" si="248"/>
        <v>0.80312644781467857</v>
      </c>
      <c r="AD836" s="27">
        <f t="shared" si="248"/>
        <v>0.81046968124591112</v>
      </c>
      <c r="AE836" s="27">
        <f t="shared" si="248"/>
        <v>0.81942826113588163</v>
      </c>
      <c r="AF836" s="27">
        <f t="shared" si="248"/>
        <v>0.8292220366944113</v>
      </c>
      <c r="AG836" s="27">
        <f t="shared" si="248"/>
        <v>0.84076688396873545</v>
      </c>
      <c r="AH836" s="27">
        <f t="shared" si="248"/>
        <v>0.84991043206299322</v>
      </c>
      <c r="AI836" s="27">
        <f t="shared" si="248"/>
        <v>0.85840468915289159</v>
      </c>
      <c r="AJ836" s="27">
        <f t="shared" si="248"/>
        <v>0.86783020594636673</v>
      </c>
      <c r="AK836" s="27">
        <f t="shared" si="248"/>
        <v>0.87700263938050371</v>
      </c>
      <c r="AL836" s="27">
        <f t="shared" si="248"/>
        <v>0.8867304494361532</v>
      </c>
      <c r="AM836" s="27">
        <f t="shared" si="248"/>
        <v>0.89659809809315782</v>
      </c>
      <c r="AN836" s="27">
        <f t="shared" si="248"/>
        <v>0.90750330348317998</v>
      </c>
      <c r="AO836" s="27">
        <f t="shared" si="248"/>
        <v>0.91803603673723821</v>
      </c>
      <c r="AP836" s="27">
        <f t="shared" si="248"/>
        <v>0.92881915815170113</v>
      </c>
      <c r="AQ836" s="27">
        <f t="shared" si="248"/>
        <v>0.94001616868821003</v>
      </c>
      <c r="AR836" s="27">
        <f t="shared" si="248"/>
        <v>0.95169108153748594</v>
      </c>
      <c r="AS836" s="27">
        <f t="shared" si="248"/>
        <v>0.9646910100928292</v>
      </c>
      <c r="AT836" s="27">
        <f t="shared" si="248"/>
        <v>0.97358215254011127</v>
      </c>
      <c r="AU836" s="27">
        <f t="shared" si="248"/>
        <v>0.98226881020538814</v>
      </c>
      <c r="AV836" s="27">
        <f t="shared" si="248"/>
        <v>0.99120161633211146</v>
      </c>
      <c r="AW836" s="27">
        <f t="shared" si="248"/>
        <v>1.0001899014441695</v>
      </c>
      <c r="AY836" s="79"/>
      <c r="AZ836" s="79"/>
    </row>
    <row r="837" spans="1:52" x14ac:dyDescent="0.2">
      <c r="A837" s="95" t="str">
        <f t="shared" si="224"/>
        <v>BD U&amp;D</v>
      </c>
      <c r="B837" s="95" t="s">
        <v>1228</v>
      </c>
      <c r="C837" s="95" t="s">
        <v>1336</v>
      </c>
      <c r="D837" t="s">
        <v>369</v>
      </c>
      <c r="E837" t="s">
        <v>55</v>
      </c>
      <c r="F837" t="s">
        <v>422</v>
      </c>
      <c r="G837" t="s">
        <v>1158</v>
      </c>
      <c r="H837" t="s">
        <v>1243</v>
      </c>
      <c r="I837" t="s">
        <v>139</v>
      </c>
      <c r="J837" t="s">
        <v>287</v>
      </c>
      <c r="K837" s="27">
        <f t="shared" si="245"/>
        <v>15.353527292296844</v>
      </c>
      <c r="L837" s="27">
        <f t="shared" si="248"/>
        <v>15.220371053361493</v>
      </c>
      <c r="M837" s="27">
        <f t="shared" si="248"/>
        <v>15.169682504177887</v>
      </c>
      <c r="N837" s="27">
        <f t="shared" si="248"/>
        <v>14.967111251021189</v>
      </c>
      <c r="O837" s="27">
        <f t="shared" si="248"/>
        <v>14.673074129931962</v>
      </c>
      <c r="P837" s="27">
        <f t="shared" si="248"/>
        <v>14.293651368256896</v>
      </c>
      <c r="Q837" s="27">
        <f t="shared" si="248"/>
        <v>13.994389539168758</v>
      </c>
      <c r="R837" s="27">
        <f t="shared" si="248"/>
        <v>13.711253827544139</v>
      </c>
      <c r="S837" s="27">
        <f t="shared" si="248"/>
        <v>12.169037780121926</v>
      </c>
      <c r="T837" s="27">
        <f t="shared" si="248"/>
        <v>12.401807134203059</v>
      </c>
      <c r="U837" s="27">
        <f t="shared" si="248"/>
        <v>12.526260010284002</v>
      </c>
      <c r="V837" s="27">
        <f t="shared" si="248"/>
        <v>12.622062683352066</v>
      </c>
      <c r="W837" s="27">
        <f t="shared" si="248"/>
        <v>12.760674268300837</v>
      </c>
      <c r="X837" s="27">
        <f t="shared" si="248"/>
        <v>12.873164971451276</v>
      </c>
      <c r="Y837" s="27">
        <f t="shared" si="248"/>
        <v>12.945682732607438</v>
      </c>
      <c r="Z837" s="27">
        <f t="shared" si="248"/>
        <v>13.002132383564884</v>
      </c>
      <c r="AA837" s="27">
        <f t="shared" si="248"/>
        <v>13.037118833745307</v>
      </c>
      <c r="AB837" s="27">
        <f t="shared" si="248"/>
        <v>13.140692477306542</v>
      </c>
      <c r="AC837" s="27">
        <f t="shared" si="248"/>
        <v>13.233883747502103</v>
      </c>
      <c r="AD837" s="27">
        <f t="shared" si="248"/>
        <v>13.23869020405356</v>
      </c>
      <c r="AE837" s="27">
        <f t="shared" si="248"/>
        <v>13.301119774765679</v>
      </c>
      <c r="AF837" s="27">
        <f t="shared" si="248"/>
        <v>13.383674683163292</v>
      </c>
      <c r="AG837" s="27">
        <f t="shared" si="248"/>
        <v>13.522276087147475</v>
      </c>
      <c r="AH837" s="27">
        <f t="shared" si="248"/>
        <v>13.544412944106279</v>
      </c>
      <c r="AI837" s="27">
        <f t="shared" si="248"/>
        <v>13.542089215214004</v>
      </c>
      <c r="AJ837" s="27">
        <f t="shared" si="248"/>
        <v>13.562424652219031</v>
      </c>
      <c r="AK837" s="27">
        <f t="shared" si="248"/>
        <v>13.558671299619801</v>
      </c>
      <c r="AL837" s="27">
        <f t="shared" si="248"/>
        <v>13.561543071773121</v>
      </c>
      <c r="AM837" s="27">
        <f t="shared" si="248"/>
        <v>13.555025657095664</v>
      </c>
      <c r="AN837" s="27">
        <f t="shared" si="248"/>
        <v>13.65231474834372</v>
      </c>
      <c r="AO837" s="27">
        <f t="shared" si="248"/>
        <v>13.72348724176244</v>
      </c>
      <c r="AP837" s="27">
        <f t="shared" si="248"/>
        <v>13.790553263000465</v>
      </c>
      <c r="AQ837" s="27">
        <f t="shared" si="248"/>
        <v>13.858644184626581</v>
      </c>
      <c r="AR837" s="27">
        <f t="shared" si="248"/>
        <v>13.929236621781989</v>
      </c>
      <c r="AS837" s="27">
        <f t="shared" si="248"/>
        <v>14.039863069721484</v>
      </c>
      <c r="AT837" s="27">
        <f t="shared" si="248"/>
        <v>14.008704095961466</v>
      </c>
      <c r="AU837" s="27">
        <f t="shared" si="248"/>
        <v>13.961987215392144</v>
      </c>
      <c r="AV837" s="27">
        <f t="shared" si="248"/>
        <v>13.913601198226885</v>
      </c>
      <c r="AW837" s="27">
        <f t="shared" si="248"/>
        <v>13.857756490863558</v>
      </c>
      <c r="AY837" s="79"/>
      <c r="AZ837" s="79"/>
    </row>
    <row r="838" spans="1:52" x14ac:dyDescent="0.2">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9.6543103644621464</v>
      </c>
      <c r="L838" s="94">
        <f>IF('Net zero activities &amp; levers'!$C$10="Off",'Activity data'!AE70*UDCPPEF*NtoN2O*kgtoGg,IF('Net zero activities &amp; levers'!$C$10="On",'Net zero Activity data'!AE70*UDCPPEF*NtoN2O*kgtoGg,"ERROR"))</f>
        <v>9.5705816138517683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9.22644086627548</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7.6519007866750153</v>
      </c>
      <c r="T838" s="94">
        <f>IF('Net zero activities &amp; levers'!$C$10="Off",'Activity data'!AM70*UDCPPEF*NtoN2O*kgtoGg,IF('Net zero activities &amp; levers'!$C$10="On",'Net zero Activity data'!AM70*UDCPPEF*NtoN2O*kgtoGg,"ERROR"))</f>
        <v>7.6327351442858351</v>
      </c>
      <c r="U838" s="94">
        <f>IF('Net zero activities &amp; levers'!$C$10="Off",'Activity data'!AN70*UDCPPEF*NtoN2O*kgtoGg,IF('Net zero activities &amp; levers'!$C$10="On",'Net zero Activity data'!AN70*UDCPPEF*NtoN2O*kgtoGg,"ERROR"))</f>
        <v>7.543818106826901</v>
      </c>
      <c r="V838" s="94">
        <f>IF('Net zero activities &amp; levers'!$C$10="Off",'Activity data'!AO70*UDCPPEF*NtoN2O*kgtoGg,IF('Net zero activities &amp; levers'!$C$10="On",'Net zero Activity data'!AO70*UDCPPEF*NtoN2O*kgtoGg,"ERROR"))</f>
        <v>7.4364296589225045</v>
      </c>
      <c r="W838" s="94">
        <f>IF('Net zero activities &amp; levers'!$C$10="Off",'Activity data'!AP70*UDCPPEF*NtoN2O*kgtoGg,IF('Net zero activities &amp; levers'!$C$10="On",'Net zero Activity data'!AP70*UDCPPEF*NtoN2O*kgtoGg,"ERROR"))</f>
        <v>7.3529084138146414</v>
      </c>
      <c r="X838" s="94">
        <f>IF('Net zero activities &amp; levers'!$C$10="Off",'Activity data'!AQ70*UDCPPEF*NtoN2O*kgtoGg,IF('Net zero activities &amp; levers'!$C$10="On",'Net zero Activity data'!AQ70*UDCPPEF*NtoN2O*kgtoGg,"ERROR"))</f>
        <v>7.252812253925657</v>
      </c>
      <c r="Y838" s="94">
        <f>IF('Net zero activities &amp; levers'!$C$10="Off",'Activity data'!AR70*UDCPPEF*NtoN2O*kgtoGg,IF('Net zero activities &amp; levers'!$C$10="On",'Net zero Activity data'!AR70*UDCPPEF*NtoN2O*kgtoGg,"ERROR"))</f>
        <v>7.129561605010335</v>
      </c>
      <c r="Z838" s="94">
        <f>IF('Net zero activities &amp; levers'!$C$10="Off",'Activity data'!AS70*UDCPPEF*NtoN2O*kgtoGg,IF('Net zero activities &amp; levers'!$C$10="On",'Net zero Activity data'!AS70*UDCPPEF*NtoN2O*kgtoGg,"ERROR"))</f>
        <v>6.9975710723064584</v>
      </c>
      <c r="AA838" s="94">
        <f>IF('Net zero activities &amp; levers'!$C$10="Off",'Activity data'!AT70*UDCPPEF*NtoN2O*kgtoGg,IF('Net zero activities &amp; levers'!$C$10="On",'Net zero Activity data'!AT70*UDCPPEF*NtoN2O*kgtoGg,"ERROR"))</f>
        <v>6.8546313544625823</v>
      </c>
      <c r="AB838" s="94">
        <f>IF('Net zero activities &amp; levers'!$C$10="Off",'Activity data'!AU70*UDCPPEF*NtoN2O*kgtoGg,IF('Net zero activities &amp; levers'!$C$10="On",'Net zero Activity data'!AU70*UDCPPEF*NtoN2O*kgtoGg,"ERROR"))</f>
        <v>6.7477967268306234</v>
      </c>
      <c r="AC838" s="94">
        <f>IF('Net zero activities &amp; levers'!$C$10="Off",'Activity data'!AV70*UDCPPEF*NtoN2O*kgtoGg,IF('Net zero activities &amp; levers'!$C$10="On",'Net zero Activity data'!AV70*UDCPPEF*NtoN2O*kgtoGg,"ERROR"))</f>
        <v>6.6349908281675098</v>
      </c>
      <c r="AD838" s="94">
        <f>IF('Net zero activities &amp; levers'!$C$10="Off",'Activity data'!AW70*UDCPPEF*NtoN2O*kgtoGg,IF('Net zero activities &amp; levers'!$C$10="On",'Net zero Activity data'!AW70*UDCPPEF*NtoN2O*kgtoGg,"ERROR"))</f>
        <v>6.5925963076830341</v>
      </c>
      <c r="AE838" s="94">
        <f>IF('Net zero activities &amp; levers'!$C$10="Off",'Activity data'!AX70*UDCPPEF*NtoN2O*kgtoGg,IF('Net zero activities &amp; levers'!$C$10="On",'Net zero Activity data'!AX70*UDCPPEF*NtoN2O*kgtoGg,"ERROR"))</f>
        <v>6.5787808834592152</v>
      </c>
      <c r="AF838" s="94">
        <f>IF('Net zero activities &amp; levers'!$C$10="Off",'Activity data'!AY70*UDCPPEF*NtoN2O*kgtoGg,IF('Net zero activities &amp; levers'!$C$10="On",'Net zero Activity data'!AY70*UDCPPEF*NtoN2O*kgtoGg,"ERROR"))</f>
        <v>6.5745422692615296</v>
      </c>
      <c r="AG838" s="94">
        <f>IF('Net zero activities &amp; levers'!$C$10="Off",'Activity data'!AZ70*UDCPPEF*NtoN2O*kgtoGg,IF('Net zero activities &amp; levers'!$C$10="On",'Net zero Activity data'!AZ70*UDCPPEF*NtoN2O*kgtoGg,"ERROR"))</f>
        <v>6.59720431892897</v>
      </c>
      <c r="AH838" s="94">
        <f>IF('Net zero activities &amp; levers'!$C$10="Off",'Activity data'!BA70*UDCPPEF*NtoN2O*kgtoGg,IF('Net zero activities &amp; levers'!$C$10="On",'Net zero Activity data'!BA70*UDCPPEF*NtoN2O*kgtoGg,"ERROR"))</f>
        <v>6.5626196276626914</v>
      </c>
      <c r="AI838" s="94">
        <f>IF('Net zero activities &amp; levers'!$C$10="Off",'Activity data'!BB70*UDCPPEF*NtoN2O*kgtoGg,IF('Net zero activities &amp; levers'!$C$10="On",'Net zero Activity data'!BB70*UDCPPEF*NtoN2O*kgtoGg,"ERROR"))</f>
        <v>6.5162302946585431</v>
      </c>
      <c r="AJ838" s="94">
        <f>IF('Net zero activities &amp; levers'!$C$10="Off",'Activity data'!BC70*UDCPPEF*NtoN2O*kgtoGg,IF('Net zero activities &amp; levers'!$C$10="On",'Net zero Activity data'!BC70*UDCPPEF*NtoN2O*kgtoGg,"ERROR"))</f>
        <v>6.4807976838114829</v>
      </c>
      <c r="AK838" s="94">
        <f>IF('Net zero activities &amp; levers'!$C$10="Off",'Activity data'!BD70*UDCPPEF*NtoN2O*kgtoGg,IF('Net zero activities &amp; levers'!$C$10="On",'Net zero Activity data'!BD70*UDCPPEF*NtoN2O*kgtoGg,"ERROR"))</f>
        <v>6.4339126478585147</v>
      </c>
      <c r="AL838" s="94">
        <f>IF('Net zero activities &amp; levers'!$C$10="Off",'Activity data'!BE70*UDCPPEF*NtoN2O*kgtoGg,IF('Net zero activities &amp; levers'!$C$10="On",'Net zero Activity data'!BE70*UDCPPEF*NtoN2O*kgtoGg,"ERROR"))</f>
        <v>6.3902880234416326</v>
      </c>
      <c r="AM838" s="94">
        <f>IF('Net zero activities &amp; levers'!$C$10="Off",'Activity data'!BF70*UDCPPEF*NtoN2O*kgtoGg,IF('Net zero activities &amp; levers'!$C$10="On",'Net zero Activity data'!BF70*UDCPPEF*NtoN2O*kgtoGg,"ERROR"))</f>
        <v>6.3423648916965352</v>
      </c>
      <c r="AN838" s="94">
        <f>IF('Net zero activities &amp; levers'!$C$10="Off",'Activity data'!BG70*UDCPPEF*NtoN2O*kgtoGg,IF('Net zero activities &amp; levers'!$C$10="On",'Net zero Activity data'!BG70*UDCPPEF*NtoN2O*kgtoGg,"ERROR"))</f>
        <v>6.3428266896734504</v>
      </c>
      <c r="AO838" s="94">
        <f>IF('Net zero activities &amp; levers'!$C$10="Off",'Activity data'!BH70*UDCPPEF*NtoN2O*kgtoGg,IF('Net zero activities &amp; levers'!$C$10="On",'Net zero Activity data'!BH70*UDCPPEF*NtoN2O*kgtoGg,"ERROR"))</f>
        <v>6.3307138398780198</v>
      </c>
      <c r="AP838" s="94">
        <f>IF('Net zero activities &amp; levers'!$C$10="Off",'Activity data'!BI70*UDCPPEF*NtoN2O*kgtoGg,IF('Net zero activities &amp; levers'!$C$10="On",'Net zero Activity data'!BI70*UDCPPEF*NtoN2O*kgtoGg,"ERROR"))</f>
        <v>6.3163671759185416</v>
      </c>
      <c r="AQ838" s="94">
        <f>IF('Net zero activities &amp; levers'!$C$10="Off",'Activity data'!BJ70*UDCPPEF*NtoN2O*kgtoGg,IF('Net zero activities &amp; levers'!$C$10="On",'Net zero Activity data'!BJ70*UDCPPEF*NtoN2O*kgtoGg,"ERROR"))</f>
        <v>6.3021623092637791</v>
      </c>
      <c r="AR838" s="94">
        <f>IF('Net zero activities &amp; levers'!$C$10="Off",'Activity data'!BK70*UDCPPEF*NtoN2O*kgtoGg,IF('Net zero activities &amp; levers'!$C$10="On",'Net zero Activity data'!BK70*UDCPPEF*NtoN2O*kgtoGg,"ERROR"))</f>
        <v>6.28875754250328</v>
      </c>
      <c r="AS838" s="94">
        <f>IF('Net zero activities &amp; levers'!$C$10="Off",'Activity data'!BL70*UDCPPEF*NtoN2O*kgtoGg,IF('Net zero activities &amp; levers'!$C$10="On",'Net zero Activity data'!BL70*UDCPPEF*NtoN2O*kgtoGg,"ERROR"))</f>
        <v>6.292952963885071</v>
      </c>
      <c r="AT838" s="94">
        <f>IF('Net zero activities &amp; levers'!$C$10="Off",'Activity data'!BM70*UDCPPEF*NtoN2O*kgtoGg,IF('Net zero activities &amp; levers'!$C$10="On",'Net zero Activity data'!BM70*UDCPPEF*NtoN2O*kgtoGg,"ERROR"))</f>
        <v>6.2334557651832476</v>
      </c>
      <c r="AU838" s="94">
        <f>IF('Net zero activities &amp; levers'!$C$10="Off",'Activity data'!BN70*UDCPPEF*NtoN2O*kgtoGg,IF('Net zero activities &amp; levers'!$C$10="On",'Net zero Activity data'!BN70*UDCPPEF*NtoN2O*kgtoGg,"ERROR"))</f>
        <v>6.1674059313563463</v>
      </c>
      <c r="AV838" s="94">
        <f>IF('Net zero activities &amp; levers'!$C$10="Off",'Activity data'!BO70*UDCPPEF*NtoN2O*kgtoGg,IF('Net zero activities &amp; levers'!$C$10="On",'Net zero Activity data'!BO70*UDCPPEF*NtoN2O*kgtoGg,"ERROR"))</f>
        <v>6.1010437505527531</v>
      </c>
      <c r="AW838" s="94">
        <f>IF('Net zero activities &amp; levers'!$C$10="Off",'Activity data'!BP70*UDCPPEF*NtoN2O*kgtoGg,IF('Net zero activities &amp; levers'!$C$10="On",'Net zero Activity data'!BP70*UDCPPEF*NtoN2O*kgtoGg,"ERROR"))</f>
        <v>6.0318641785180809</v>
      </c>
      <c r="AY838" s="79"/>
      <c r="AZ838" s="79"/>
    </row>
    <row r="839" spans="1:52" x14ac:dyDescent="0.2">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2">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5.9177410166742819</v>
      </c>
      <c r="T840" s="27">
        <f t="shared" si="250"/>
        <v>5.9267532558831455</v>
      </c>
      <c r="U840" s="27">
        <f t="shared" si="250"/>
        <v>5.9369392429781076</v>
      </c>
      <c r="V840" s="27">
        <f t="shared" si="250"/>
        <v>5.9484299369724756</v>
      </c>
      <c r="W840" s="27">
        <f t="shared" si="250"/>
        <v>5.9613561230675689</v>
      </c>
      <c r="X840" s="27">
        <f t="shared" si="250"/>
        <v>5.9754482628979506</v>
      </c>
      <c r="Y840" s="27">
        <f t="shared" si="250"/>
        <v>5.9840189867940028</v>
      </c>
      <c r="Z840" s="27">
        <f t="shared" si="250"/>
        <v>5.9935919924924663</v>
      </c>
      <c r="AA840" s="27">
        <f t="shared" si="250"/>
        <v>6.0040970561873648</v>
      </c>
      <c r="AB840" s="27">
        <f t="shared" si="250"/>
        <v>6.015772019922915</v>
      </c>
      <c r="AC840" s="27">
        <f t="shared" si="250"/>
        <v>6.0283300293613564</v>
      </c>
      <c r="AD840" s="27">
        <f t="shared" si="250"/>
        <v>6.0365358206617943</v>
      </c>
      <c r="AE840" s="27">
        <f t="shared" si="250"/>
        <v>6.0457468580703022</v>
      </c>
      <c r="AF840" s="27">
        <f t="shared" si="250"/>
        <v>6.0558159935957239</v>
      </c>
      <c r="AG840" s="27">
        <f t="shared" si="250"/>
        <v>6.0668477974371191</v>
      </c>
      <c r="AH840" s="27">
        <f t="shared" si="250"/>
        <v>6.0782061128825768</v>
      </c>
      <c r="AI840" s="27">
        <f t="shared" si="250"/>
        <v>6.0851673422995747</v>
      </c>
      <c r="AJ840" s="27">
        <f t="shared" si="250"/>
        <v>6.0928574061867389</v>
      </c>
      <c r="AK840" s="27">
        <f t="shared" si="250"/>
        <v>6.1010802783379781</v>
      </c>
      <c r="AL840" s="27">
        <f t="shared" si="250"/>
        <v>6.1099337878320572</v>
      </c>
      <c r="AM840" s="27">
        <f t="shared" si="250"/>
        <v>6.1193379299301505</v>
      </c>
      <c r="AN840" s="27">
        <f t="shared" si="250"/>
        <v>6.1247915653472518</v>
      </c>
      <c r="AO840" s="27">
        <f t="shared" si="250"/>
        <v>6.1306576553625556</v>
      </c>
      <c r="AP840" s="27">
        <f t="shared" si="250"/>
        <v>6.1370111691436762</v>
      </c>
      <c r="AQ840" s="27">
        <f t="shared" si="250"/>
        <v>6.1438608776263539</v>
      </c>
      <c r="AR840" s="27">
        <f t="shared" si="250"/>
        <v>6.1512019925053671</v>
      </c>
      <c r="AS840" s="27">
        <f t="shared" si="250"/>
        <v>6.1544845731259219</v>
      </c>
      <c r="AT840" s="27">
        <f t="shared" si="250"/>
        <v>6.1575398722372316</v>
      </c>
      <c r="AU840" s="27">
        <f t="shared" si="250"/>
        <v>6.1609269818317118</v>
      </c>
      <c r="AV840" s="27">
        <f t="shared" si="250"/>
        <v>6.1647001939833732</v>
      </c>
      <c r="AW840" s="27">
        <f t="shared" si="250"/>
        <v>6.1688206661186156</v>
      </c>
      <c r="AY840" s="79"/>
      <c r="AZ840" s="79"/>
    </row>
    <row r="841" spans="1:52" x14ac:dyDescent="0.2">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0.66059463009348052</v>
      </c>
      <c r="T841" s="27">
        <f t="shared" si="251"/>
        <v>0.66160066209280566</v>
      </c>
      <c r="U841" s="27">
        <f t="shared" si="251"/>
        <v>0.66273771901337264</v>
      </c>
      <c r="V841" s="27">
        <f t="shared" si="251"/>
        <v>0.66402041974788251</v>
      </c>
      <c r="W841" s="27">
        <f t="shared" si="251"/>
        <v>0.66546336378648574</v>
      </c>
      <c r="X841" s="27">
        <f t="shared" si="251"/>
        <v>0.66703646268896311</v>
      </c>
      <c r="Y841" s="27">
        <f t="shared" si="251"/>
        <v>0.66799320854279376</v>
      </c>
      <c r="Z841" s="27">
        <f t="shared" si="251"/>
        <v>0.66906183864006219</v>
      </c>
      <c r="AA841" s="27">
        <f t="shared" si="251"/>
        <v>0.67023451393053002</v>
      </c>
      <c r="AB841" s="27">
        <f t="shared" si="251"/>
        <v>0.67153778460907243</v>
      </c>
      <c r="AC841" s="27">
        <f t="shared" si="251"/>
        <v>0.67293962926167272</v>
      </c>
      <c r="AD841" s="27">
        <f t="shared" si="251"/>
        <v>0.67385563786249902</v>
      </c>
      <c r="AE841" s="27">
        <f t="shared" si="251"/>
        <v>0.67488386161080183</v>
      </c>
      <c r="AF841" s="27">
        <f t="shared" si="251"/>
        <v>0.67600787444594213</v>
      </c>
      <c r="AG841" s="27">
        <f t="shared" si="251"/>
        <v>0.67723934948976972</v>
      </c>
      <c r="AH841" s="27">
        <f t="shared" si="251"/>
        <v>0.6785072728694912</v>
      </c>
      <c r="AI841" s="27">
        <f t="shared" si="251"/>
        <v>0.67928435161605349</v>
      </c>
      <c r="AJ841" s="27">
        <f t="shared" si="251"/>
        <v>0.68014278980971932</v>
      </c>
      <c r="AK841" s="27">
        <f t="shared" si="251"/>
        <v>0.68106070513784001</v>
      </c>
      <c r="AL841" s="27">
        <f t="shared" si="251"/>
        <v>0.68204901821419661</v>
      </c>
      <c r="AM841" s="27">
        <f t="shared" si="251"/>
        <v>0.68309879814764285</v>
      </c>
      <c r="AN841" s="27">
        <f t="shared" si="251"/>
        <v>0.68370758488921768</v>
      </c>
      <c r="AO841" s="27">
        <f t="shared" si="251"/>
        <v>0.68436241374246343</v>
      </c>
      <c r="AP841" s="27">
        <f t="shared" si="251"/>
        <v>0.68507165348009424</v>
      </c>
      <c r="AQ841" s="27">
        <f t="shared" si="251"/>
        <v>0.68583628319751733</v>
      </c>
      <c r="AR841" s="27">
        <f t="shared" si="251"/>
        <v>0.68665576837848608</v>
      </c>
      <c r="AS841" s="27">
        <f t="shared" si="251"/>
        <v>0.68702220130021696</v>
      </c>
      <c r="AT841" s="27">
        <f t="shared" si="251"/>
        <v>0.68736326289459471</v>
      </c>
      <c r="AU841" s="27">
        <f t="shared" si="251"/>
        <v>0.6877413643362339</v>
      </c>
      <c r="AV841" s="27">
        <f t="shared" si="251"/>
        <v>0.68816256622367178</v>
      </c>
      <c r="AW841" s="27">
        <f t="shared" si="251"/>
        <v>0.68862253257879269</v>
      </c>
      <c r="AY841" s="79"/>
      <c r="AZ841" s="79"/>
    </row>
    <row r="842" spans="1:52" x14ac:dyDescent="0.2">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0.72463138273575967</v>
      </c>
      <c r="O842" s="27">
        <f t="shared" si="252"/>
        <v>0.72832072886952293</v>
      </c>
      <c r="P842" s="27">
        <f t="shared" si="252"/>
        <v>0.7325443847928953</v>
      </c>
      <c r="Q842" s="27">
        <f t="shared" si="252"/>
        <v>0.73708994755228407</v>
      </c>
      <c r="R842" s="27">
        <f t="shared" si="252"/>
        <v>0.74193942345928476</v>
      </c>
      <c r="S842" s="27">
        <f t="shared" si="252"/>
        <v>0.74639464232983788</v>
      </c>
      <c r="T842" s="27">
        <f t="shared" si="252"/>
        <v>0.74856351716878611</v>
      </c>
      <c r="U842" s="27">
        <f t="shared" si="252"/>
        <v>0.7508946920259173</v>
      </c>
      <c r="V842" s="27">
        <f t="shared" si="252"/>
        <v>0.75341667510432941</v>
      </c>
      <c r="W842" s="27">
        <f t="shared" si="252"/>
        <v>0.75615715708667941</v>
      </c>
      <c r="X842" s="27">
        <f t="shared" si="252"/>
        <v>0.75906737547896641</v>
      </c>
      <c r="Y842" s="27">
        <f t="shared" si="252"/>
        <v>0.76088672130758961</v>
      </c>
      <c r="Z842" s="27">
        <f t="shared" si="252"/>
        <v>0.76285477171358229</v>
      </c>
      <c r="AA842" s="27">
        <f t="shared" si="252"/>
        <v>0.76495995173574494</v>
      </c>
      <c r="AB842" s="27">
        <f t="shared" si="252"/>
        <v>0.76724835481418519</v>
      </c>
      <c r="AC842" s="27">
        <f t="shared" si="252"/>
        <v>0.76966726525164153</v>
      </c>
      <c r="AD842" s="27">
        <f t="shared" si="252"/>
        <v>0.77123981630413885</v>
      </c>
      <c r="AE842" s="27">
        <f t="shared" si="252"/>
        <v>0.7729717745117366</v>
      </c>
      <c r="AF842" s="27">
        <f t="shared" si="252"/>
        <v>0.77483635735979484</v>
      </c>
      <c r="AG842" s="27">
        <f t="shared" si="252"/>
        <v>0.77685363069924696</v>
      </c>
      <c r="AH842" s="27">
        <f t="shared" si="252"/>
        <v>0.7789061253482048</v>
      </c>
      <c r="AI842" s="27">
        <f t="shared" si="252"/>
        <v>0.78012107515728923</v>
      </c>
      <c r="AJ842" s="27">
        <f t="shared" si="252"/>
        <v>0.78145074369480261</v>
      </c>
      <c r="AK842" s="27">
        <f t="shared" si="252"/>
        <v>0.7828593435343304</v>
      </c>
      <c r="AL842" s="27">
        <f t="shared" si="252"/>
        <v>0.78436534735883467</v>
      </c>
      <c r="AM842" s="27">
        <f t="shared" si="252"/>
        <v>0.78595438278227181</v>
      </c>
      <c r="AN842" s="27">
        <f t="shared" si="252"/>
        <v>0.78680169998206073</v>
      </c>
      <c r="AO842" s="27">
        <f t="shared" si="252"/>
        <v>0.78771028208261162</v>
      </c>
      <c r="AP842" s="27">
        <f t="shared" si="252"/>
        <v>0.78869414542587013</v>
      </c>
      <c r="AQ842" s="27">
        <f t="shared" si="252"/>
        <v>0.78975510213576938</v>
      </c>
      <c r="AR842" s="27">
        <f t="shared" si="252"/>
        <v>0.79089245177101786</v>
      </c>
      <c r="AS842" s="27">
        <f t="shared" si="252"/>
        <v>0.79127935129009708</v>
      </c>
      <c r="AT842" s="27">
        <f t="shared" si="252"/>
        <v>0.7916151974997605</v>
      </c>
      <c r="AU842" s="27">
        <f t="shared" si="252"/>
        <v>0.79200195212614188</v>
      </c>
      <c r="AV842" s="27">
        <f t="shared" si="252"/>
        <v>0.79244958629193585</v>
      </c>
      <c r="AW842" s="27">
        <f t="shared" si="252"/>
        <v>0.79295116872451854</v>
      </c>
      <c r="AY842" s="79"/>
      <c r="AZ842" s="79"/>
    </row>
    <row r="843" spans="1:52" x14ac:dyDescent="0.2">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1.1867254191644501</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1.2198688909683482</v>
      </c>
      <c r="R843" s="27">
        <f t="shared" si="253"/>
        <v>1.2278946750888551</v>
      </c>
      <c r="S843" s="27">
        <f t="shared" si="253"/>
        <v>1.2352679718224364</v>
      </c>
      <c r="T843" s="27">
        <f t="shared" si="253"/>
        <v>1.2388574156253576</v>
      </c>
      <c r="U843" s="27">
        <f t="shared" si="253"/>
        <v>1.2427154626616324</v>
      </c>
      <c r="V843" s="27">
        <f t="shared" si="253"/>
        <v>1.2468892934283116</v>
      </c>
      <c r="W843" s="27">
        <f t="shared" si="253"/>
        <v>1.2514247354427215</v>
      </c>
      <c r="X843" s="27">
        <f t="shared" si="253"/>
        <v>1.2562410877677852</v>
      </c>
      <c r="Y843" s="27">
        <f t="shared" si="253"/>
        <v>1.2592520681584702</v>
      </c>
      <c r="Z843" s="27">
        <f t="shared" si="253"/>
        <v>1.2625091516041205</v>
      </c>
      <c r="AA843" s="27">
        <f t="shared" si="253"/>
        <v>1.2659931817790702</v>
      </c>
      <c r="AB843" s="27">
        <f t="shared" si="253"/>
        <v>1.2697804423904187</v>
      </c>
      <c r="AC843" s="27">
        <f t="shared" si="253"/>
        <v>1.2737836900299913</v>
      </c>
      <c r="AD843" s="27">
        <f t="shared" si="253"/>
        <v>1.2763862300792366</v>
      </c>
      <c r="AE843" s="27">
        <f t="shared" si="253"/>
        <v>1.2792525857321959</v>
      </c>
      <c r="AF843" s="27">
        <f t="shared" si="253"/>
        <v>1.2823384324711629</v>
      </c>
      <c r="AG843" s="27">
        <f t="shared" si="253"/>
        <v>1.2856769788718418</v>
      </c>
      <c r="AH843" s="27">
        <f t="shared" si="253"/>
        <v>1.2890738158243156</v>
      </c>
      <c r="AI843" s="27">
        <f t="shared" si="253"/>
        <v>1.2910845330795322</v>
      </c>
      <c r="AJ843" s="27">
        <f t="shared" si="253"/>
        <v>1.2932851075000604</v>
      </c>
      <c r="AK843" s="27">
        <f t="shared" si="253"/>
        <v>1.2956163116221209</v>
      </c>
      <c r="AL843" s="27">
        <f t="shared" si="253"/>
        <v>1.2981087173607861</v>
      </c>
      <c r="AM843" s="27">
        <f t="shared" si="253"/>
        <v>1.3007385387090959</v>
      </c>
      <c r="AN843" s="27">
        <f t="shared" si="253"/>
        <v>1.3021408314635115</v>
      </c>
      <c r="AO843" s="27">
        <f t="shared" si="253"/>
        <v>1.303644516384237</v>
      </c>
      <c r="AP843" s="27">
        <f t="shared" si="253"/>
        <v>1.3052727902324839</v>
      </c>
      <c r="AQ843" s="27">
        <f t="shared" si="253"/>
        <v>1.3070286520365533</v>
      </c>
      <c r="AR843" s="27">
        <f t="shared" si="253"/>
        <v>1.308910942580334</v>
      </c>
      <c r="AS843" s="27">
        <f t="shared" si="253"/>
        <v>1.3095512534254661</v>
      </c>
      <c r="AT843" s="27">
        <f t="shared" si="253"/>
        <v>1.3101070720805417</v>
      </c>
      <c r="AU843" s="27">
        <f t="shared" si="253"/>
        <v>1.310747143131201</v>
      </c>
      <c r="AV843" s="27">
        <f t="shared" si="253"/>
        <v>1.3114879685829661</v>
      </c>
      <c r="AW843" s="27">
        <f t="shared" si="253"/>
        <v>1.312318077320435</v>
      </c>
      <c r="AY843" s="79"/>
      <c r="AZ843" s="79"/>
    </row>
    <row r="844" spans="1:52" x14ac:dyDescent="0.2">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0.19368291106027899</v>
      </c>
      <c r="P844" s="27">
        <f t="shared" si="254"/>
        <v>0.19253602379697463</v>
      </c>
      <c r="Q844" s="27">
        <f t="shared" si="254"/>
        <v>0.19190012409058904</v>
      </c>
      <c r="R844" s="27">
        <f t="shared" si="254"/>
        <v>0.19132863754616405</v>
      </c>
      <c r="S844" s="27">
        <f t="shared" si="254"/>
        <v>0.18119977029128689</v>
      </c>
      <c r="T844" s="27">
        <f t="shared" si="254"/>
        <v>0.18372263045933149</v>
      </c>
      <c r="U844" s="27">
        <f t="shared" si="254"/>
        <v>0.18542569851972082</v>
      </c>
      <c r="V844" s="27">
        <f t="shared" si="254"/>
        <v>0.18690586811212617</v>
      </c>
      <c r="W844" s="27">
        <f t="shared" si="254"/>
        <v>0.18871846813186952</v>
      </c>
      <c r="X844" s="27">
        <f t="shared" si="254"/>
        <v>0.19032856308746704</v>
      </c>
      <c r="Y844" s="27">
        <f t="shared" si="254"/>
        <v>0.19181155412665482</v>
      </c>
      <c r="Z844" s="27">
        <f t="shared" si="254"/>
        <v>0.19316694252651395</v>
      </c>
      <c r="AA844" s="27">
        <f t="shared" si="254"/>
        <v>0.19434817692528195</v>
      </c>
      <c r="AB844" s="27">
        <f t="shared" si="254"/>
        <v>0.19609130445368728</v>
      </c>
      <c r="AC844" s="27">
        <f t="shared" si="254"/>
        <v>0.19775823400143536</v>
      </c>
      <c r="AD844" s="27">
        <f t="shared" si="254"/>
        <v>0.19979376823512379</v>
      </c>
      <c r="AE844" s="27">
        <f t="shared" si="254"/>
        <v>0.2023779928594536</v>
      </c>
      <c r="AF844" s="27">
        <f t="shared" si="254"/>
        <v>0.20521413875451175</v>
      </c>
      <c r="AG844" s="27">
        <f t="shared" si="254"/>
        <v>0.20863865671050874</v>
      </c>
      <c r="AH844" s="27">
        <f t="shared" si="254"/>
        <v>0.21111219620408483</v>
      </c>
      <c r="AI844" s="27">
        <f t="shared" si="254"/>
        <v>0.21359919528074695</v>
      </c>
      <c r="AJ844" s="27">
        <f t="shared" si="254"/>
        <v>0.21637994777249434</v>
      </c>
      <c r="AK844" s="27">
        <f t="shared" si="254"/>
        <v>0.21901936705190489</v>
      </c>
      <c r="AL844" s="27">
        <f t="shared" si="254"/>
        <v>0.22181322909338433</v>
      </c>
      <c r="AM844" s="27">
        <f t="shared" si="254"/>
        <v>0.22460946011468219</v>
      </c>
      <c r="AN844" s="27">
        <f t="shared" si="254"/>
        <v>0.22803030127957039</v>
      </c>
      <c r="AO844" s="27">
        <f t="shared" si="254"/>
        <v>0.23127378160095582</v>
      </c>
      <c r="AP844" s="27">
        <f t="shared" si="254"/>
        <v>0.23456525375289961</v>
      </c>
      <c r="AQ844" s="27">
        <f t="shared" si="254"/>
        <v>0.23796293573474386</v>
      </c>
      <c r="AR844" s="27">
        <f t="shared" si="254"/>
        <v>0.24148877503172564</v>
      </c>
      <c r="AS844" s="27">
        <f t="shared" si="254"/>
        <v>0.24576012405635958</v>
      </c>
      <c r="AT844" s="27">
        <f t="shared" si="254"/>
        <v>0.24853256796744563</v>
      </c>
      <c r="AU844" s="27">
        <f t="shared" si="254"/>
        <v>0.25120157665253162</v>
      </c>
      <c r="AV844" s="27">
        <f t="shared" si="254"/>
        <v>0.25392762754999298</v>
      </c>
      <c r="AW844" s="27">
        <f t="shared" si="254"/>
        <v>0.25664306300563272</v>
      </c>
      <c r="AY844" s="79"/>
      <c r="AZ844" s="79"/>
    </row>
    <row r="845" spans="1:52" x14ac:dyDescent="0.2">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2">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2">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2">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2">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2">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2">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2">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2">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2">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2">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2">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2">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2">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2">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2">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2">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2">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0.66038869625937391</v>
      </c>
      <c r="U862" s="27">
        <f t="shared" si="273"/>
        <v>0.66020342469478921</v>
      </c>
      <c r="V862" s="27">
        <f t="shared" si="273"/>
        <v>0.66005840725031206</v>
      </c>
      <c r="W862" s="27">
        <f t="shared" si="273"/>
        <v>0.65992416571177226</v>
      </c>
      <c r="X862" s="27">
        <f t="shared" si="273"/>
        <v>0.65977411232427086</v>
      </c>
      <c r="Y862" s="27">
        <f t="shared" si="273"/>
        <v>0.65963380636148372</v>
      </c>
      <c r="Z862" s="27">
        <f t="shared" si="273"/>
        <v>0.65950885900535394</v>
      </c>
      <c r="AA862" s="27">
        <f t="shared" si="273"/>
        <v>0.65938996649107751</v>
      </c>
      <c r="AB862" s="27">
        <f t="shared" si="273"/>
        <v>0.65927919026350434</v>
      </c>
      <c r="AC862" s="27">
        <f t="shared" si="273"/>
        <v>0.65914248070564796</v>
      </c>
      <c r="AD862" s="27">
        <f t="shared" si="273"/>
        <v>0.65900953819081531</v>
      </c>
      <c r="AE862" s="27">
        <f t="shared" si="273"/>
        <v>0.65886770470789013</v>
      </c>
      <c r="AF862" s="27">
        <f t="shared" si="273"/>
        <v>0.65870194021035933</v>
      </c>
      <c r="AG862" s="27">
        <f t="shared" si="273"/>
        <v>0.65852622329414567</v>
      </c>
      <c r="AH862" s="27">
        <f t="shared" si="273"/>
        <v>0.65832642389355089</v>
      </c>
      <c r="AI862" s="27">
        <f t="shared" si="273"/>
        <v>0.6581693318477011</v>
      </c>
      <c r="AJ862" s="27">
        <f t="shared" si="273"/>
        <v>0.65801985919199812</v>
      </c>
      <c r="AK862" s="27">
        <f t="shared" si="273"/>
        <v>0.65785915117586091</v>
      </c>
      <c r="AL862" s="27">
        <f t="shared" si="273"/>
        <v>0.65770555695996225</v>
      </c>
      <c r="AM862" s="27">
        <f t="shared" si="273"/>
        <v>0.65754680730045456</v>
      </c>
      <c r="AN862" s="27">
        <f t="shared" si="273"/>
        <v>0.65738921443316178</v>
      </c>
      <c r="AO862" s="27">
        <f t="shared" si="273"/>
        <v>0.65721499435540864</v>
      </c>
      <c r="AP862" s="27">
        <f t="shared" si="273"/>
        <v>0.65704963238558323</v>
      </c>
      <c r="AQ862" s="27">
        <f t="shared" si="273"/>
        <v>0.65688413494168396</v>
      </c>
      <c r="AR862" s="27">
        <f t="shared" si="273"/>
        <v>0.65671634182939487</v>
      </c>
      <c r="AS862" s="27">
        <f t="shared" si="273"/>
        <v>0.65654557216665388</v>
      </c>
      <c r="AT862" s="27">
        <f t="shared" si="273"/>
        <v>0.65635649622881898</v>
      </c>
      <c r="AU862" s="27">
        <f t="shared" si="273"/>
        <v>0.65622389108641888</v>
      </c>
      <c r="AV862" s="27">
        <f t="shared" si="273"/>
        <v>0.65609603440705455</v>
      </c>
      <c r="AW862" s="27">
        <f t="shared" si="273"/>
        <v>0.65596714127254918</v>
      </c>
      <c r="AY862" s="79"/>
      <c r="AZ862" s="79"/>
    </row>
    <row r="863" spans="1:52" x14ac:dyDescent="0.2">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8.7171307906237401E-3</v>
      </c>
      <c r="U863" s="27">
        <f t="shared" si="274"/>
        <v>8.714685205971219E-3</v>
      </c>
      <c r="V863" s="27">
        <f t="shared" si="274"/>
        <v>8.7127709757041216E-3</v>
      </c>
      <c r="W863" s="27">
        <f t="shared" si="274"/>
        <v>8.7109989873953957E-3</v>
      </c>
      <c r="X863" s="27">
        <f t="shared" si="274"/>
        <v>8.7090182826803763E-3</v>
      </c>
      <c r="Y863" s="27">
        <f t="shared" si="274"/>
        <v>8.7071662439715883E-3</v>
      </c>
      <c r="Z863" s="27">
        <f t="shared" si="274"/>
        <v>8.7055169388706739E-3</v>
      </c>
      <c r="AA863" s="27">
        <f t="shared" si="274"/>
        <v>8.7039475576822217E-3</v>
      </c>
      <c r="AB863" s="27">
        <f t="shared" si="274"/>
        <v>8.7024853114782592E-3</v>
      </c>
      <c r="AC863" s="27">
        <f t="shared" si="274"/>
        <v>8.7006807453145554E-3</v>
      </c>
      <c r="AD863" s="27">
        <f t="shared" si="274"/>
        <v>8.6989259041187622E-3</v>
      </c>
      <c r="AE863" s="27">
        <f t="shared" si="274"/>
        <v>8.6970537021441498E-3</v>
      </c>
      <c r="AF863" s="27">
        <f t="shared" si="274"/>
        <v>8.6948656107767464E-3</v>
      </c>
      <c r="AG863" s="27">
        <f t="shared" si="274"/>
        <v>8.6925461474827246E-3</v>
      </c>
      <c r="AH863" s="27">
        <f t="shared" si="274"/>
        <v>8.6899087953948712E-3</v>
      </c>
      <c r="AI863" s="27">
        <f t="shared" si="274"/>
        <v>8.6878351803896525E-3</v>
      </c>
      <c r="AJ863" s="27">
        <f t="shared" si="274"/>
        <v>8.685862141334379E-3</v>
      </c>
      <c r="AK863" s="27">
        <f t="shared" si="274"/>
        <v>8.6837407955213629E-3</v>
      </c>
      <c r="AL863" s="27">
        <f t="shared" si="274"/>
        <v>8.681713351871503E-3</v>
      </c>
      <c r="AM863" s="27">
        <f t="shared" si="274"/>
        <v>8.679617856366003E-3</v>
      </c>
      <c r="AN863" s="27">
        <f t="shared" si="274"/>
        <v>8.677537630517736E-3</v>
      </c>
      <c r="AO863" s="27">
        <f t="shared" si="274"/>
        <v>8.6752379254913976E-3</v>
      </c>
      <c r="AP863" s="27">
        <f t="shared" si="274"/>
        <v>8.6730551474897017E-3</v>
      </c>
      <c r="AQ863" s="27">
        <f t="shared" si="274"/>
        <v>8.6708705812302295E-3</v>
      </c>
      <c r="AR863" s="27">
        <f t="shared" si="274"/>
        <v>8.6686557121480167E-3</v>
      </c>
      <c r="AS863" s="27">
        <f t="shared" si="274"/>
        <v>8.6664015525998329E-3</v>
      </c>
      <c r="AT863" s="27">
        <f t="shared" si="274"/>
        <v>8.6639057502204114E-3</v>
      </c>
      <c r="AU863" s="27">
        <f t="shared" si="274"/>
        <v>8.6621553623407298E-3</v>
      </c>
      <c r="AV863" s="27">
        <f t="shared" si="274"/>
        <v>8.66046765417312E-3</v>
      </c>
      <c r="AW863" s="27">
        <f t="shared" si="274"/>
        <v>8.6587662647976526E-3</v>
      </c>
      <c r="AY863" s="79"/>
      <c r="AZ863" s="79"/>
    </row>
    <row r="864" spans="1:52" x14ac:dyDescent="0.2">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1.2008407282256135</v>
      </c>
      <c r="L864" s="27">
        <f t="shared" si="275"/>
        <v>1.2019035107607596</v>
      </c>
      <c r="M864" s="27">
        <f t="shared" si="275"/>
        <v>1.2088775122881088</v>
      </c>
      <c r="N864" s="27">
        <f t="shared" si="275"/>
        <v>1.2055442230548155</v>
      </c>
      <c r="O864" s="27">
        <f t="shared" si="275"/>
        <v>1.1958435838326282</v>
      </c>
      <c r="P864" s="27">
        <f t="shared" si="275"/>
        <v>1.1799964998501222</v>
      </c>
      <c r="Q864" s="27">
        <f t="shared" si="275"/>
        <v>1.169776622170569</v>
      </c>
      <c r="R864" s="27">
        <f t="shared" si="275"/>
        <v>1.1606871439933113</v>
      </c>
      <c r="S864" s="27">
        <f t="shared" si="275"/>
        <v>1.0581466820913914</v>
      </c>
      <c r="T864" s="27">
        <f t="shared" si="275"/>
        <v>1.0811007370653605</v>
      </c>
      <c r="U864" s="27">
        <f t="shared" si="275"/>
        <v>1.0962373736212656</v>
      </c>
      <c r="V864" s="27">
        <f t="shared" si="275"/>
        <v>1.1094295908986627</v>
      </c>
      <c r="W864" s="27">
        <f t="shared" si="275"/>
        <v>1.1260819451253103</v>
      </c>
      <c r="X864" s="27">
        <f t="shared" si="275"/>
        <v>1.1409777774824073</v>
      </c>
      <c r="Y864" s="27">
        <f t="shared" si="275"/>
        <v>1.1529726027889684</v>
      </c>
      <c r="Z864" s="27">
        <f t="shared" si="275"/>
        <v>1.1639042106537316</v>
      </c>
      <c r="AA864" s="27">
        <f t="shared" si="275"/>
        <v>1.1733291691179792</v>
      </c>
      <c r="AB864" s="27">
        <f t="shared" si="275"/>
        <v>1.1883113875074136</v>
      </c>
      <c r="AC864" s="27">
        <f t="shared" si="275"/>
        <v>1.2027019182394856</v>
      </c>
      <c r="AD864" s="27">
        <f t="shared" si="275"/>
        <v>1.2149899149490335</v>
      </c>
      <c r="AE864" s="27">
        <f t="shared" si="275"/>
        <v>1.2323877476985694</v>
      </c>
      <c r="AF864" s="27">
        <f t="shared" si="275"/>
        <v>1.2520054927946573</v>
      </c>
      <c r="AG864" s="27">
        <f t="shared" si="275"/>
        <v>1.2769207481959246</v>
      </c>
      <c r="AH864" s="27">
        <f t="shared" si="275"/>
        <v>1.2928179151571899</v>
      </c>
      <c r="AI864" s="27">
        <f t="shared" si="275"/>
        <v>1.3071721599558817</v>
      </c>
      <c r="AJ864" s="27">
        <f t="shared" si="275"/>
        <v>1.3240396401072183</v>
      </c>
      <c r="AK864" s="27">
        <f t="shared" si="275"/>
        <v>1.3394377409062461</v>
      </c>
      <c r="AL864" s="27">
        <f t="shared" si="275"/>
        <v>1.3560429960988876</v>
      </c>
      <c r="AM864" s="27">
        <f t="shared" si="275"/>
        <v>1.3724754415260532</v>
      </c>
      <c r="AN864" s="27">
        <f t="shared" si="275"/>
        <v>1.3952859972976908</v>
      </c>
      <c r="AO864" s="27">
        <f t="shared" si="275"/>
        <v>1.4163366526625445</v>
      </c>
      <c r="AP864" s="27">
        <f t="shared" si="275"/>
        <v>1.4376236961609334</v>
      </c>
      <c r="AQ864" s="27">
        <f t="shared" si="275"/>
        <v>1.4596469584782656</v>
      </c>
      <c r="AR864" s="27">
        <f t="shared" si="275"/>
        <v>1.4825821629092799</v>
      </c>
      <c r="AS864" s="27">
        <f t="shared" si="275"/>
        <v>1.5100637913409878</v>
      </c>
      <c r="AT864" s="27">
        <f t="shared" si="275"/>
        <v>1.5244988187348365</v>
      </c>
      <c r="AU864" s="27">
        <f t="shared" si="275"/>
        <v>1.5379134396371121</v>
      </c>
      <c r="AV864" s="27">
        <f t="shared" si="275"/>
        <v>1.5516700859590873</v>
      </c>
      <c r="AW864" s="27">
        <f t="shared" si="275"/>
        <v>1.5651983516984527</v>
      </c>
      <c r="AY864" s="79"/>
      <c r="AZ864" s="79"/>
    </row>
    <row r="865" spans="1:52" x14ac:dyDescent="0.2">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4.3473821211305586</v>
      </c>
      <c r="O865" s="27">
        <f t="shared" si="276"/>
        <v>4.3052096453824609</v>
      </c>
      <c r="P865" s="27">
        <f t="shared" si="276"/>
        <v>4.2496956169043703</v>
      </c>
      <c r="Q865" s="27">
        <f t="shared" si="276"/>
        <v>4.2083609134426787</v>
      </c>
      <c r="R865" s="27">
        <f t="shared" si="276"/>
        <v>4.1703852155628214</v>
      </c>
      <c r="S865" s="27">
        <f t="shared" si="276"/>
        <v>3.918985241839104</v>
      </c>
      <c r="T865" s="27">
        <f t="shared" si="276"/>
        <v>3.962647023266995</v>
      </c>
      <c r="U865" s="27">
        <f t="shared" si="276"/>
        <v>3.988397466462279</v>
      </c>
      <c r="V865" s="27">
        <f t="shared" si="276"/>
        <v>4.0097420759989726</v>
      </c>
      <c r="W865" s="27">
        <f t="shared" si="276"/>
        <v>4.0388232265836717</v>
      </c>
      <c r="X865" s="27">
        <f t="shared" si="276"/>
        <v>4.063881936096621</v>
      </c>
      <c r="Y865" s="27">
        <f t="shared" si="276"/>
        <v>4.0803176241982966</v>
      </c>
      <c r="Z865" s="27">
        <f t="shared" si="276"/>
        <v>4.0943719762440898</v>
      </c>
      <c r="AA865" s="27">
        <f t="shared" si="276"/>
        <v>4.1051027315234014</v>
      </c>
      <c r="AB865" s="27">
        <f t="shared" si="276"/>
        <v>4.1278786035109292</v>
      </c>
      <c r="AC865" s="27">
        <f t="shared" si="276"/>
        <v>4.149204796729399</v>
      </c>
      <c r="AD865" s="27">
        <f t="shared" si="276"/>
        <v>4.1548667718492807</v>
      </c>
      <c r="AE865" s="27">
        <f t="shared" si="276"/>
        <v>4.1707310137254909</v>
      </c>
      <c r="AF865" s="27">
        <f t="shared" si="276"/>
        <v>4.1903910179403239</v>
      </c>
      <c r="AG865" s="27">
        <f t="shared" si="276"/>
        <v>4.2200248954303605</v>
      </c>
      <c r="AH865" s="27">
        <f t="shared" si="276"/>
        <v>4.2299973767021726</v>
      </c>
      <c r="AI865" s="27">
        <f t="shared" si="276"/>
        <v>4.2344058167490939</v>
      </c>
      <c r="AJ865" s="27">
        <f t="shared" si="276"/>
        <v>4.2430165616646569</v>
      </c>
      <c r="AK865" s="27">
        <f t="shared" si="276"/>
        <v>4.2477733537700137</v>
      </c>
      <c r="AL865" s="27">
        <f t="shared" si="276"/>
        <v>4.2539691533655395</v>
      </c>
      <c r="AM865" s="27">
        <f t="shared" si="276"/>
        <v>4.2588371425380025</v>
      </c>
      <c r="AN865" s="27">
        <f t="shared" si="276"/>
        <v>4.2797220284315198</v>
      </c>
      <c r="AO865" s="27">
        <f t="shared" si="276"/>
        <v>4.2963498578029604</v>
      </c>
      <c r="AP865" s="27">
        <f t="shared" si="276"/>
        <v>4.3125285701488281</v>
      </c>
      <c r="AQ865" s="27">
        <f t="shared" si="276"/>
        <v>4.3291488784909324</v>
      </c>
      <c r="AR865" s="27">
        <f t="shared" si="276"/>
        <v>4.3464700481298193</v>
      </c>
      <c r="AS865" s="27">
        <f t="shared" si="276"/>
        <v>4.3694873280939213</v>
      </c>
      <c r="AT865" s="27">
        <f t="shared" si="276"/>
        <v>4.3680189479011426</v>
      </c>
      <c r="AU865" s="27">
        <f t="shared" si="276"/>
        <v>4.3640461344633534</v>
      </c>
      <c r="AV865" s="27">
        <f t="shared" si="276"/>
        <v>4.3599917873846739</v>
      </c>
      <c r="AW865" s="27">
        <f t="shared" si="276"/>
        <v>4.3548399908669477</v>
      </c>
      <c r="AY865" s="79"/>
      <c r="AZ865" s="79"/>
    </row>
    <row r="866" spans="1:52" x14ac:dyDescent="0.2">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2.27834100209484E-4</v>
      </c>
      <c r="U866" s="27">
        <f t="shared" si="277"/>
        <v>2.2777018151970223E-4</v>
      </c>
      <c r="V866" s="27">
        <f t="shared" si="277"/>
        <v>2.2772015050135763E-4</v>
      </c>
      <c r="W866" s="27">
        <f t="shared" si="277"/>
        <v>2.276738371705614E-4</v>
      </c>
      <c r="X866" s="27">
        <f t="shared" si="277"/>
        <v>2.2762206875187344E-4</v>
      </c>
      <c r="Y866" s="27">
        <f t="shared" si="277"/>
        <v>2.2757366319471181E-4</v>
      </c>
      <c r="Z866" s="27">
        <f t="shared" si="277"/>
        <v>2.2753055635684708E-4</v>
      </c>
      <c r="AA866" s="27">
        <f t="shared" si="277"/>
        <v>2.2748953843942165E-4</v>
      </c>
      <c r="AB866" s="27">
        <f t="shared" si="277"/>
        <v>2.2745132064090905E-4</v>
      </c>
      <c r="AC866" s="27">
        <f t="shared" si="277"/>
        <v>2.2740415584344853E-4</v>
      </c>
      <c r="AD866" s="27">
        <f t="shared" si="277"/>
        <v>2.2735829067583124E-4</v>
      </c>
      <c r="AE866" s="27">
        <f t="shared" si="277"/>
        <v>2.2730935812422204E-4</v>
      </c>
      <c r="AF866" s="27">
        <f t="shared" si="277"/>
        <v>2.2725216937257396E-4</v>
      </c>
      <c r="AG866" s="27">
        <f t="shared" si="277"/>
        <v>2.2719154703648017E-4</v>
      </c>
      <c r="AH866" s="27">
        <f t="shared" si="277"/>
        <v>2.2712261624327501E-4</v>
      </c>
      <c r="AI866" s="27">
        <f t="shared" si="277"/>
        <v>2.2706841948745679E-4</v>
      </c>
      <c r="AJ866" s="27">
        <f t="shared" si="277"/>
        <v>2.2701685142123931E-4</v>
      </c>
      <c r="AK866" s="27">
        <f t="shared" si="277"/>
        <v>2.26961407155672E-4</v>
      </c>
      <c r="AL866" s="27">
        <f t="shared" si="277"/>
        <v>2.2690841715118691E-4</v>
      </c>
      <c r="AM866" s="27">
        <f t="shared" si="277"/>
        <v>2.268536485186568E-4</v>
      </c>
      <c r="AN866" s="27">
        <f t="shared" si="277"/>
        <v>2.267992789794407E-4</v>
      </c>
      <c r="AO866" s="27">
        <f t="shared" si="277"/>
        <v>2.2673917305261599E-4</v>
      </c>
      <c r="AP866" s="27">
        <f t="shared" si="277"/>
        <v>2.2668212317302622E-4</v>
      </c>
      <c r="AQ866" s="27">
        <f t="shared" si="277"/>
        <v>2.2662502655488093E-4</v>
      </c>
      <c r="AR866" s="27">
        <f t="shared" si="277"/>
        <v>2.2656713793114123E-4</v>
      </c>
      <c r="AS866" s="27">
        <f t="shared" si="277"/>
        <v>2.2650822239749554E-4</v>
      </c>
      <c r="AT866" s="27">
        <f t="shared" si="277"/>
        <v>2.2644299119894249E-4</v>
      </c>
      <c r="AU866" s="27">
        <f t="shared" si="277"/>
        <v>2.2639724242481442E-4</v>
      </c>
      <c r="AV866" s="27">
        <f t="shared" si="277"/>
        <v>2.2635313187043375E-4</v>
      </c>
      <c r="AW866" s="27">
        <f t="shared" si="277"/>
        <v>2.2630866373902947E-4</v>
      </c>
      <c r="AY866" s="79"/>
      <c r="AZ866" s="79"/>
    </row>
    <row r="867" spans="1:52" x14ac:dyDescent="0.2">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1.5037050613825948E-6</v>
      </c>
      <c r="U867" s="27">
        <f t="shared" si="278"/>
        <v>1.5032831980300348E-6</v>
      </c>
      <c r="V867" s="27">
        <f t="shared" si="278"/>
        <v>1.5029529933089607E-6</v>
      </c>
      <c r="W867" s="27">
        <f t="shared" si="278"/>
        <v>1.5026473253257052E-6</v>
      </c>
      <c r="X867" s="27">
        <f t="shared" si="278"/>
        <v>1.5023056537623651E-6</v>
      </c>
      <c r="Y867" s="27">
        <f t="shared" si="278"/>
        <v>1.5019861770850986E-6</v>
      </c>
      <c r="Z867" s="27">
        <f t="shared" si="278"/>
        <v>1.501701671955191E-6</v>
      </c>
      <c r="AA867" s="27">
        <f t="shared" si="278"/>
        <v>1.5014309537001836E-6</v>
      </c>
      <c r="AB867" s="27">
        <f t="shared" si="278"/>
        <v>1.5011787162299995E-6</v>
      </c>
      <c r="AC867" s="27">
        <f t="shared" si="278"/>
        <v>1.5008674285667609E-6</v>
      </c>
      <c r="AD867" s="27">
        <f t="shared" si="278"/>
        <v>1.5005647184604863E-6</v>
      </c>
      <c r="AE867" s="27">
        <f t="shared" si="278"/>
        <v>1.5002417636198659E-6</v>
      </c>
      <c r="AF867" s="27">
        <f t="shared" si="278"/>
        <v>1.4998643178589887E-6</v>
      </c>
      <c r="AG867" s="27">
        <f t="shared" si="278"/>
        <v>1.4994642104407695E-6</v>
      </c>
      <c r="AH867" s="27">
        <f t="shared" si="278"/>
        <v>1.4990092672056151E-6</v>
      </c>
      <c r="AI867" s="27">
        <f t="shared" si="278"/>
        <v>1.4986515686172149E-6</v>
      </c>
      <c r="AJ867" s="27">
        <f t="shared" si="278"/>
        <v>1.49831121938018E-6</v>
      </c>
      <c r="AK867" s="27">
        <f t="shared" si="278"/>
        <v>1.4979452872274355E-6</v>
      </c>
      <c r="AL867" s="27">
        <f t="shared" si="278"/>
        <v>1.497595553197834E-6</v>
      </c>
      <c r="AM867" s="27">
        <f t="shared" si="278"/>
        <v>1.4972340802231352E-6</v>
      </c>
      <c r="AN867" s="27">
        <f t="shared" si="278"/>
        <v>1.4968752412643093E-6</v>
      </c>
      <c r="AO867" s="27">
        <f t="shared" si="278"/>
        <v>1.4964785421472656E-6</v>
      </c>
      <c r="AP867" s="27">
        <f t="shared" si="278"/>
        <v>1.4961020129419735E-6</v>
      </c>
      <c r="AQ867" s="27">
        <f t="shared" si="278"/>
        <v>1.4957251752622144E-6</v>
      </c>
      <c r="AR867" s="27">
        <f t="shared" si="278"/>
        <v>1.4953431103455323E-6</v>
      </c>
      <c r="AS867" s="27">
        <f t="shared" si="278"/>
        <v>1.4949542678234709E-6</v>
      </c>
      <c r="AT867" s="27">
        <f t="shared" si="278"/>
        <v>1.4945237419130207E-6</v>
      </c>
      <c r="AU867" s="27">
        <f t="shared" si="278"/>
        <v>1.4942218000037758E-6</v>
      </c>
      <c r="AV867" s="27">
        <f t="shared" si="278"/>
        <v>1.4939306703448634E-6</v>
      </c>
      <c r="AW867" s="27">
        <f t="shared" si="278"/>
        <v>1.4936371806775946E-6</v>
      </c>
      <c r="AY867" s="79"/>
      <c r="AZ867" s="79"/>
    </row>
    <row r="868" spans="1:52" x14ac:dyDescent="0.2">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0.20714502561891829</v>
      </c>
      <c r="L868" s="27">
        <f t="shared" si="279"/>
        <v>0.20732835560623103</v>
      </c>
      <c r="M868" s="27">
        <f t="shared" si="279"/>
        <v>0.20853137086969875</v>
      </c>
      <c r="N868" s="27">
        <f t="shared" si="279"/>
        <v>0.20795637847695567</v>
      </c>
      <c r="O868" s="27">
        <f t="shared" si="279"/>
        <v>0.20628301821112838</v>
      </c>
      <c r="P868" s="27">
        <f t="shared" si="279"/>
        <v>0.20354939622414608</v>
      </c>
      <c r="Q868" s="27">
        <f t="shared" si="279"/>
        <v>0.20178646732442315</v>
      </c>
      <c r="R868" s="27">
        <f t="shared" si="279"/>
        <v>0.20021853233884618</v>
      </c>
      <c r="S868" s="27">
        <f t="shared" si="279"/>
        <v>0.182530302660765</v>
      </c>
      <c r="T868" s="27">
        <f t="shared" si="279"/>
        <v>0.18648987714377463</v>
      </c>
      <c r="U868" s="27">
        <f t="shared" si="279"/>
        <v>0.18910094694966831</v>
      </c>
      <c r="V868" s="27">
        <f t="shared" si="279"/>
        <v>0.19137660443001928</v>
      </c>
      <c r="W868" s="27">
        <f t="shared" si="279"/>
        <v>0.19424913553411605</v>
      </c>
      <c r="X868" s="27">
        <f t="shared" si="279"/>
        <v>0.19681866661571523</v>
      </c>
      <c r="Y868" s="27">
        <f t="shared" si="279"/>
        <v>0.198887773981097</v>
      </c>
      <c r="Z868" s="27">
        <f t="shared" si="279"/>
        <v>0.20077347633776868</v>
      </c>
      <c r="AA868" s="27">
        <f t="shared" si="279"/>
        <v>0.20239928167285137</v>
      </c>
      <c r="AB868" s="27">
        <f t="shared" si="279"/>
        <v>0.20498371434502882</v>
      </c>
      <c r="AC868" s="27">
        <f t="shared" si="279"/>
        <v>0.20746608089631127</v>
      </c>
      <c r="AD868" s="27">
        <f t="shared" si="279"/>
        <v>0.20958576032870826</v>
      </c>
      <c r="AE868" s="27">
        <f t="shared" si="279"/>
        <v>0.2125868864780032</v>
      </c>
      <c r="AF868" s="27">
        <f t="shared" si="279"/>
        <v>0.21597094750707838</v>
      </c>
      <c r="AG868" s="27">
        <f t="shared" si="279"/>
        <v>0.22026882906379694</v>
      </c>
      <c r="AH868" s="27">
        <f t="shared" si="279"/>
        <v>0.22301109036461528</v>
      </c>
      <c r="AI868" s="27">
        <f t="shared" si="279"/>
        <v>0.2254871975923895</v>
      </c>
      <c r="AJ868" s="27">
        <f t="shared" si="279"/>
        <v>0.22839683791849513</v>
      </c>
      <c r="AK868" s="27">
        <f t="shared" si="279"/>
        <v>0.23105301030632744</v>
      </c>
      <c r="AL868" s="27">
        <f t="shared" si="279"/>
        <v>0.23391741682705808</v>
      </c>
      <c r="AM868" s="27">
        <f t="shared" si="279"/>
        <v>0.23675201366324419</v>
      </c>
      <c r="AN868" s="27">
        <f t="shared" si="279"/>
        <v>0.24068683453385165</v>
      </c>
      <c r="AO868" s="27">
        <f t="shared" si="279"/>
        <v>0.24431807258428889</v>
      </c>
      <c r="AP868" s="27">
        <f t="shared" si="279"/>
        <v>0.247990087587761</v>
      </c>
      <c r="AQ868" s="27">
        <f t="shared" si="279"/>
        <v>0.25178910033750079</v>
      </c>
      <c r="AR868" s="27">
        <f t="shared" si="279"/>
        <v>0.25574542310185078</v>
      </c>
      <c r="AS868" s="27">
        <f t="shared" si="279"/>
        <v>0.26048600400632033</v>
      </c>
      <c r="AT868" s="27">
        <f t="shared" si="279"/>
        <v>0.2629760462317593</v>
      </c>
      <c r="AU868" s="27">
        <f t="shared" si="279"/>
        <v>0.26529006833740182</v>
      </c>
      <c r="AV868" s="27">
        <f t="shared" si="279"/>
        <v>0.26766308982794251</v>
      </c>
      <c r="AW868" s="27">
        <f t="shared" si="279"/>
        <v>0.26999671566798311</v>
      </c>
      <c r="AY868" s="79"/>
      <c r="AZ868" s="79"/>
    </row>
    <row r="869" spans="1:52" x14ac:dyDescent="0.2">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2">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0.10241934435921343</v>
      </c>
      <c r="U870" s="27">
        <f t="shared" si="281"/>
        <v>0.10289653491421205</v>
      </c>
      <c r="V870" s="27">
        <f t="shared" si="281"/>
        <v>0.10327004584650011</v>
      </c>
      <c r="W870" s="27">
        <f t="shared" si="281"/>
        <v>0.10361580205805489</v>
      </c>
      <c r="X870" s="27">
        <f t="shared" si="281"/>
        <v>0.10400228370418145</v>
      </c>
      <c r="Y870" s="27">
        <f t="shared" si="281"/>
        <v>0.10436365961419813</v>
      </c>
      <c r="Z870" s="27">
        <f t="shared" si="281"/>
        <v>0.10468547747303018</v>
      </c>
      <c r="AA870" s="27">
        <f t="shared" si="281"/>
        <v>0.10499170031407964</v>
      </c>
      <c r="AB870" s="27">
        <f t="shared" si="281"/>
        <v>0.10527701862309623</v>
      </c>
      <c r="AC870" s="27">
        <f t="shared" si="281"/>
        <v>0.1056291315333171</v>
      </c>
      <c r="AD870" s="27">
        <f t="shared" si="281"/>
        <v>0.10597154194356044</v>
      </c>
      <c r="AE870" s="27">
        <f t="shared" si="281"/>
        <v>0.10633685217660206</v>
      </c>
      <c r="AF870" s="27">
        <f t="shared" si="281"/>
        <v>0.10676379979132655</v>
      </c>
      <c r="AG870" s="27">
        <f t="shared" si="281"/>
        <v>0.10721638113028523</v>
      </c>
      <c r="AH870" s="27">
        <f t="shared" si="281"/>
        <v>0.10773098998066055</v>
      </c>
      <c r="AI870" s="27">
        <f t="shared" si="281"/>
        <v>0.10813560058948724</v>
      </c>
      <c r="AJ870" s="27">
        <f t="shared" si="281"/>
        <v>0.10852058648676627</v>
      </c>
      <c r="AK870" s="27">
        <f t="shared" si="281"/>
        <v>0.10893451048846137</v>
      </c>
      <c r="AL870" s="27">
        <f t="shared" si="281"/>
        <v>0.10933011198993048</v>
      </c>
      <c r="AM870" s="27">
        <f t="shared" si="281"/>
        <v>0.10973899199424218</v>
      </c>
      <c r="AN870" s="27">
        <f t="shared" si="281"/>
        <v>0.11014489253259981</v>
      </c>
      <c r="AO870" s="27">
        <f t="shared" si="281"/>
        <v>0.11059361857310758</v>
      </c>
      <c r="AP870" s="27">
        <f t="shared" si="281"/>
        <v>0.11101952942636521</v>
      </c>
      <c r="AQ870" s="27">
        <f t="shared" si="281"/>
        <v>0.11144578921038648</v>
      </c>
      <c r="AR870" s="27">
        <f t="shared" si="281"/>
        <v>0.11187796178126933</v>
      </c>
      <c r="AS870" s="27">
        <f t="shared" si="281"/>
        <v>0.11231780083764567</v>
      </c>
      <c r="AT870" s="27">
        <f t="shared" si="281"/>
        <v>0.1128047900413833</v>
      </c>
      <c r="AU870" s="27">
        <f t="shared" si="281"/>
        <v>0.11314633150587833</v>
      </c>
      <c r="AV870" s="27">
        <f t="shared" si="281"/>
        <v>0.11347564269792666</v>
      </c>
      <c r="AW870" s="27">
        <f t="shared" si="281"/>
        <v>0.1138076234124414</v>
      </c>
      <c r="AY870" s="79"/>
      <c r="AZ870" s="79"/>
    </row>
    <row r="871" spans="1:52" x14ac:dyDescent="0.2">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2">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2">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2">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2">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2">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2">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2">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2">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2">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2">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2">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2">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0.39831175345583053</v>
      </c>
      <c r="M883" s="27">
        <f t="shared" si="294"/>
        <v>0.40145358914715529</v>
      </c>
      <c r="N883" s="27">
        <f t="shared" si="294"/>
        <v>0.40347255325329029</v>
      </c>
      <c r="O883" s="27">
        <f t="shared" si="294"/>
        <v>0.40481416413578281</v>
      </c>
      <c r="P883" s="27">
        <f t="shared" si="294"/>
        <v>0.40546521734783814</v>
      </c>
      <c r="Q883" s="27">
        <f t="shared" si="294"/>
        <v>0.40690363619044922</v>
      </c>
      <c r="R883" s="27">
        <f t="shared" si="294"/>
        <v>0.40855374420631185</v>
      </c>
      <c r="S883" s="27">
        <f t="shared" si="294"/>
        <v>0.39736949652274572</v>
      </c>
      <c r="T883" s="27">
        <f t="shared" si="294"/>
        <v>0.40193613647411602</v>
      </c>
      <c r="U883" s="27">
        <f t="shared" si="294"/>
        <v>0.40551458062818502</v>
      </c>
      <c r="V883" s="27">
        <f t="shared" si="294"/>
        <v>0.40890476326282849</v>
      </c>
      <c r="W883" s="27">
        <f t="shared" si="294"/>
        <v>0.41286821795762335</v>
      </c>
      <c r="X883" s="27">
        <f t="shared" si="294"/>
        <v>0.4166639118790918</v>
      </c>
      <c r="Y883" s="27">
        <f t="shared" si="294"/>
        <v>0.4198473343142145</v>
      </c>
      <c r="Z883" s="27">
        <f t="shared" si="294"/>
        <v>0.42294233840413964</v>
      </c>
      <c r="AA883" s="27">
        <f t="shared" si="294"/>
        <v>0.42587799118724151</v>
      </c>
      <c r="AB883" s="27">
        <f t="shared" si="294"/>
        <v>0.42969675362549747</v>
      </c>
      <c r="AC883" s="27">
        <f t="shared" si="294"/>
        <v>0.43349587939767537</v>
      </c>
      <c r="AD883" s="27">
        <f t="shared" si="294"/>
        <v>0.43745946625570531</v>
      </c>
      <c r="AE883" s="27">
        <f t="shared" si="294"/>
        <v>0.44229495321809359</v>
      </c>
      <c r="AF883" s="27">
        <f t="shared" si="294"/>
        <v>0.44758124575636155</v>
      </c>
      <c r="AG883" s="27">
        <f t="shared" si="294"/>
        <v>0.45381269752253439</v>
      </c>
      <c r="AH883" s="27">
        <f t="shared" si="294"/>
        <v>0.45874802300299961</v>
      </c>
      <c r="AI883" s="27">
        <f t="shared" si="294"/>
        <v>0.46333288688967006</v>
      </c>
      <c r="AJ883" s="27">
        <f t="shared" si="294"/>
        <v>0.46842040791737738</v>
      </c>
      <c r="AK883" s="27">
        <f t="shared" si="294"/>
        <v>0.47337132456140918</v>
      </c>
      <c r="AL883" s="27">
        <f t="shared" si="294"/>
        <v>0.47862201153126527</v>
      </c>
      <c r="AM883" s="27">
        <f t="shared" si="294"/>
        <v>0.48394817784516875</v>
      </c>
      <c r="AN883" s="27">
        <f t="shared" si="294"/>
        <v>0.48983437623076936</v>
      </c>
      <c r="AO883" s="27">
        <f t="shared" si="294"/>
        <v>0.49551952889490208</v>
      </c>
      <c r="AP883" s="27">
        <f t="shared" si="294"/>
        <v>0.50133983118096659</v>
      </c>
      <c r="AQ883" s="27">
        <f t="shared" si="294"/>
        <v>0.50738353443884876</v>
      </c>
      <c r="AR883" s="27">
        <f t="shared" si="294"/>
        <v>0.51368519045610384</v>
      </c>
      <c r="AS883" s="27">
        <f t="shared" si="294"/>
        <v>0.52070203752488053</v>
      </c>
      <c r="AT883" s="27">
        <f t="shared" si="294"/>
        <v>0.52550112442398844</v>
      </c>
      <c r="AU883" s="27">
        <f t="shared" si="294"/>
        <v>0.53018983852857582</v>
      </c>
      <c r="AV883" s="27">
        <f t="shared" si="294"/>
        <v>0.53501141383334805</v>
      </c>
      <c r="AW883" s="27">
        <f t="shared" si="294"/>
        <v>0.53986293449927925</v>
      </c>
      <c r="AY883" s="79"/>
      <c r="AZ883" s="79"/>
    </row>
    <row r="884" spans="1:52" x14ac:dyDescent="0.2">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3.1424516095088999E-2</v>
      </c>
      <c r="M884" s="27">
        <f t="shared" si="295"/>
        <v>3.1672388936885787E-2</v>
      </c>
      <c r="N884" s="27">
        <f t="shared" si="295"/>
        <v>3.1831673641638247E-2</v>
      </c>
      <c r="O884" s="27">
        <f t="shared" si="295"/>
        <v>3.1937519056453263E-2</v>
      </c>
      <c r="P884" s="27">
        <f t="shared" si="295"/>
        <v>3.198888342610464E-2</v>
      </c>
      <c r="Q884" s="27">
        <f t="shared" si="295"/>
        <v>3.2102366434524382E-2</v>
      </c>
      <c r="R884" s="27">
        <f t="shared" si="295"/>
        <v>3.2232550506305392E-2</v>
      </c>
      <c r="S884" s="27">
        <f t="shared" si="295"/>
        <v>3.1350177419660695E-2</v>
      </c>
      <c r="T884" s="27">
        <f t="shared" si="295"/>
        <v>3.1710459157287665E-2</v>
      </c>
      <c r="U884" s="27">
        <f t="shared" si="295"/>
        <v>3.19927779062055E-2</v>
      </c>
      <c r="V884" s="27">
        <f t="shared" si="295"/>
        <v>3.2260243899471644E-2</v>
      </c>
      <c r="W884" s="27">
        <f t="shared" si="295"/>
        <v>3.2572937774980257E-2</v>
      </c>
      <c r="X884" s="27">
        <f t="shared" si="295"/>
        <v>3.2872396286290406E-2</v>
      </c>
      <c r="Y884" s="27">
        <f t="shared" si="295"/>
        <v>3.3123550083992911E-2</v>
      </c>
      <c r="Z884" s="27">
        <f t="shared" si="295"/>
        <v>3.336772818065812E-2</v>
      </c>
      <c r="AA884" s="27">
        <f t="shared" si="295"/>
        <v>3.3599334371868343E-2</v>
      </c>
      <c r="AB884" s="27">
        <f t="shared" si="295"/>
        <v>3.3900612857032622E-2</v>
      </c>
      <c r="AC884" s="27">
        <f t="shared" si="295"/>
        <v>3.4200342121708499E-2</v>
      </c>
      <c r="AD884" s="27">
        <f t="shared" si="295"/>
        <v>3.4513046424139431E-2</v>
      </c>
      <c r="AE884" s="27">
        <f t="shared" si="295"/>
        <v>3.4894538651167102E-2</v>
      </c>
      <c r="AF884" s="27">
        <f t="shared" si="295"/>
        <v>3.5311596856231003E-2</v>
      </c>
      <c r="AG884" s="27">
        <f t="shared" si="295"/>
        <v>3.5803222711162215E-2</v>
      </c>
      <c r="AH884" s="27">
        <f t="shared" si="295"/>
        <v>3.6192591625460596E-2</v>
      </c>
      <c r="AI884" s="27">
        <f t="shared" si="295"/>
        <v>3.6554311127208743E-2</v>
      </c>
      <c r="AJ884" s="27">
        <f t="shared" si="295"/>
        <v>3.6955687398514313E-2</v>
      </c>
      <c r="AK884" s="27">
        <f t="shared" si="295"/>
        <v>3.7346286366322763E-2</v>
      </c>
      <c r="AL884" s="27">
        <f t="shared" si="295"/>
        <v>3.7760535495962914E-2</v>
      </c>
      <c r="AM884" s="27">
        <f t="shared" si="295"/>
        <v>3.8180739513555217E-2</v>
      </c>
      <c r="AN884" s="27">
        <f t="shared" si="295"/>
        <v>3.8645126854130414E-2</v>
      </c>
      <c r="AO884" s="27">
        <f t="shared" si="295"/>
        <v>3.9093652838731792E-2</v>
      </c>
      <c r="AP884" s="27">
        <f t="shared" si="295"/>
        <v>3.9552841354460577E-2</v>
      </c>
      <c r="AQ884" s="27">
        <f t="shared" si="295"/>
        <v>4.0029654927380476E-2</v>
      </c>
      <c r="AR884" s="27">
        <f t="shared" si="295"/>
        <v>4.0526819495640978E-2</v>
      </c>
      <c r="AS884" s="27">
        <f t="shared" si="295"/>
        <v>4.1080408541749817E-2</v>
      </c>
      <c r="AT884" s="27">
        <f t="shared" si="295"/>
        <v>4.145902901225889E-2</v>
      </c>
      <c r="AU884" s="27">
        <f t="shared" si="295"/>
        <v>4.1828941701418883E-2</v>
      </c>
      <c r="AV884" s="27">
        <f t="shared" si="295"/>
        <v>4.2209336378336959E-2</v>
      </c>
      <c r="AW884" s="27">
        <f t="shared" si="295"/>
        <v>4.2592093572744245E-2</v>
      </c>
      <c r="AY884" s="79"/>
      <c r="AZ884" s="79"/>
    </row>
    <row r="885" spans="1:52" x14ac:dyDescent="0.2">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2.9129279224209421E-4</v>
      </c>
      <c r="M885" s="27">
        <f t="shared" si="296"/>
        <v>2.9359047510821973E-4</v>
      </c>
      <c r="N885" s="27">
        <f t="shared" si="296"/>
        <v>2.9506698110336069E-4</v>
      </c>
      <c r="O885" s="27">
        <f t="shared" si="296"/>
        <v>2.960481260901027E-4</v>
      </c>
      <c r="P885" s="27">
        <f t="shared" si="296"/>
        <v>2.9652425341095714E-4</v>
      </c>
      <c r="Q885" s="27">
        <f t="shared" si="296"/>
        <v>2.9757619585915883E-4</v>
      </c>
      <c r="R885" s="27">
        <f t="shared" si="296"/>
        <v>2.9878295053629647E-4</v>
      </c>
      <c r="S885" s="27">
        <f t="shared" si="296"/>
        <v>2.906037022248744E-4</v>
      </c>
      <c r="T885" s="27">
        <f t="shared" si="296"/>
        <v>2.9394337094179688E-4</v>
      </c>
      <c r="U885" s="27">
        <f t="shared" si="296"/>
        <v>2.9656035369582628E-4</v>
      </c>
      <c r="V885" s="27">
        <f t="shared" si="296"/>
        <v>2.9903965729981968E-4</v>
      </c>
      <c r="W885" s="27">
        <f t="shared" si="296"/>
        <v>3.0193820542187468E-4</v>
      </c>
      <c r="X885" s="27">
        <f t="shared" si="296"/>
        <v>3.0471406697074431E-4</v>
      </c>
      <c r="Y885" s="27">
        <f t="shared" si="296"/>
        <v>3.0704216299594947E-4</v>
      </c>
      <c r="Z885" s="27">
        <f t="shared" si="296"/>
        <v>3.093055970410988E-4</v>
      </c>
      <c r="AA885" s="27">
        <f t="shared" si="296"/>
        <v>3.1145249451229731E-4</v>
      </c>
      <c r="AB885" s="27">
        <f t="shared" si="296"/>
        <v>3.1424522649647207E-4</v>
      </c>
      <c r="AC885" s="27">
        <f t="shared" si="296"/>
        <v>3.1702359782158373E-4</v>
      </c>
      <c r="AD885" s="27">
        <f t="shared" si="296"/>
        <v>3.1992224259707024E-4</v>
      </c>
      <c r="AE885" s="27">
        <f t="shared" si="296"/>
        <v>3.2345852413258482E-4</v>
      </c>
      <c r="AF885" s="27">
        <f t="shared" si="296"/>
        <v>3.2732448816884659E-4</v>
      </c>
      <c r="AG885" s="27">
        <f t="shared" si="296"/>
        <v>3.3188166472450077E-4</v>
      </c>
      <c r="AH885" s="27">
        <f t="shared" si="296"/>
        <v>3.3549096002486584E-4</v>
      </c>
      <c r="AI885" s="27">
        <f t="shared" si="296"/>
        <v>3.3884395624456256E-4</v>
      </c>
      <c r="AJ885" s="27">
        <f t="shared" si="296"/>
        <v>3.4256455497882901E-4</v>
      </c>
      <c r="AK885" s="27">
        <f t="shared" si="296"/>
        <v>3.4618525238704095E-4</v>
      </c>
      <c r="AL885" s="27">
        <f t="shared" si="296"/>
        <v>3.5002517740900785E-4</v>
      </c>
      <c r="AM885" s="27">
        <f t="shared" si="296"/>
        <v>3.539203018788781E-4</v>
      </c>
      <c r="AN885" s="27">
        <f t="shared" si="296"/>
        <v>3.5822498821704474E-4</v>
      </c>
      <c r="AO885" s="27">
        <f t="shared" si="296"/>
        <v>3.6238264608048877E-4</v>
      </c>
      <c r="AP885" s="27">
        <f t="shared" si="296"/>
        <v>3.6663914137567152E-4</v>
      </c>
      <c r="AQ885" s="27">
        <f t="shared" si="296"/>
        <v>3.7105901395587245E-4</v>
      </c>
      <c r="AR885" s="27">
        <f t="shared" si="296"/>
        <v>3.756675321858498E-4</v>
      </c>
      <c r="AS885" s="27">
        <f t="shared" si="296"/>
        <v>3.8079908293137994E-4</v>
      </c>
      <c r="AT885" s="27">
        <f t="shared" si="296"/>
        <v>3.8430874442372815E-4</v>
      </c>
      <c r="AU885" s="27">
        <f t="shared" si="296"/>
        <v>3.877376882389691E-4</v>
      </c>
      <c r="AV885" s="27">
        <f t="shared" si="296"/>
        <v>3.9126379592057032E-4</v>
      </c>
      <c r="AW885" s="27">
        <f t="shared" si="296"/>
        <v>3.9481180320164583E-4</v>
      </c>
      <c r="AY885" s="79"/>
      <c r="AZ885" s="79"/>
    </row>
    <row r="886" spans="1:52" x14ac:dyDescent="0.2">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3.2323215352203891E-3</v>
      </c>
      <c r="L886" s="27">
        <f t="shared" si="297"/>
        <v>3.2042886428129457E-3</v>
      </c>
      <c r="M886" s="27">
        <f t="shared" si="297"/>
        <v>3.193617369300608E-3</v>
      </c>
      <c r="N886" s="27">
        <f t="shared" si="297"/>
        <v>3.150970789688672E-3</v>
      </c>
      <c r="O886" s="27">
        <f t="shared" si="297"/>
        <v>3.0890682378804132E-3</v>
      </c>
      <c r="P886" s="27">
        <f t="shared" si="297"/>
        <v>3.0091897617382942E-3</v>
      </c>
      <c r="Q886" s="27">
        <f t="shared" si="297"/>
        <v>2.9461872714039495E-3</v>
      </c>
      <c r="R886" s="27">
        <f t="shared" si="297"/>
        <v>2.8865797531671877E-3</v>
      </c>
      <c r="S886" s="27">
        <f t="shared" si="297"/>
        <v>2.561902690551985E-3</v>
      </c>
      <c r="T886" s="27">
        <f t="shared" si="297"/>
        <v>2.6109067650953812E-3</v>
      </c>
      <c r="U886" s="27">
        <f t="shared" si="297"/>
        <v>2.6371073705861066E-3</v>
      </c>
      <c r="V886" s="27">
        <f t="shared" si="297"/>
        <v>2.6572763543899086E-3</v>
      </c>
      <c r="W886" s="27">
        <f t="shared" si="297"/>
        <v>2.6864577406949136E-3</v>
      </c>
      <c r="X886" s="27">
        <f t="shared" si="297"/>
        <v>2.7101399939897432E-3</v>
      </c>
      <c r="Y886" s="27">
        <f t="shared" si="297"/>
        <v>2.7254068910752506E-3</v>
      </c>
      <c r="Z886" s="27">
        <f t="shared" si="297"/>
        <v>2.7372910281189241E-3</v>
      </c>
      <c r="AA886" s="27">
        <f t="shared" si="297"/>
        <v>2.7446565965779596E-3</v>
      </c>
      <c r="AB886" s="27">
        <f t="shared" si="297"/>
        <v>2.766461574169799E-3</v>
      </c>
      <c r="AC886" s="27">
        <f t="shared" si="297"/>
        <v>2.7860807889478114E-3</v>
      </c>
      <c r="AD886" s="27">
        <f t="shared" si="297"/>
        <v>2.7870926745375917E-3</v>
      </c>
      <c r="AE886" s="27">
        <f t="shared" si="297"/>
        <v>2.8002357420559331E-3</v>
      </c>
      <c r="AF886" s="27">
        <f t="shared" si="297"/>
        <v>2.8176157227712195E-3</v>
      </c>
      <c r="AG886" s="27">
        <f t="shared" si="297"/>
        <v>2.8467949657152583E-3</v>
      </c>
      <c r="AH886" s="27">
        <f t="shared" si="297"/>
        <v>2.8514553566539535E-3</v>
      </c>
      <c r="AI886" s="27">
        <f t="shared" si="297"/>
        <v>2.8509661505713695E-3</v>
      </c>
      <c r="AJ886" s="27">
        <f t="shared" si="297"/>
        <v>2.8552472952040066E-3</v>
      </c>
      <c r="AK886" s="27">
        <f t="shared" si="297"/>
        <v>2.8544571157094324E-3</v>
      </c>
      <c r="AL886" s="27">
        <f t="shared" si="297"/>
        <v>2.8550616993206577E-3</v>
      </c>
      <c r="AM886" s="27">
        <f t="shared" si="297"/>
        <v>2.8536896120201398E-3</v>
      </c>
      <c r="AN886" s="27">
        <f t="shared" si="297"/>
        <v>2.8741715259670993E-3</v>
      </c>
      <c r="AO886" s="27">
        <f t="shared" si="297"/>
        <v>2.8891552087920934E-3</v>
      </c>
      <c r="AP886" s="27">
        <f t="shared" si="297"/>
        <v>2.9032743711579932E-3</v>
      </c>
      <c r="AQ886" s="27">
        <f t="shared" si="297"/>
        <v>2.9176093020266492E-3</v>
      </c>
      <c r="AR886" s="27">
        <f t="shared" si="297"/>
        <v>2.9324708677435766E-3</v>
      </c>
      <c r="AS886" s="27">
        <f t="shared" si="297"/>
        <v>2.955760646257155E-3</v>
      </c>
      <c r="AT886" s="27">
        <f t="shared" si="297"/>
        <v>2.949200862307677E-3</v>
      </c>
      <c r="AU886" s="27">
        <f t="shared" si="297"/>
        <v>2.9393657295562411E-3</v>
      </c>
      <c r="AV886" s="27">
        <f t="shared" si="297"/>
        <v>2.9291791996267137E-3</v>
      </c>
      <c r="AW886" s="27">
        <f t="shared" si="297"/>
        <v>2.9174224191291709E-3</v>
      </c>
      <c r="AY886" s="79"/>
      <c r="AZ886" s="79"/>
    </row>
    <row r="887" spans="1:52" x14ac:dyDescent="0.2">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1.6090517274103575E-2</v>
      </c>
      <c r="L887" s="27">
        <f t="shared" si="298"/>
        <v>1.5950969356419611E-2</v>
      </c>
      <c r="M887" s="27">
        <f t="shared" si="298"/>
        <v>1.5897847688628834E-2</v>
      </c>
      <c r="N887" s="27">
        <f t="shared" si="298"/>
        <v>1.5685552742581484E-2</v>
      </c>
      <c r="O887" s="27">
        <f t="shared" si="298"/>
        <v>1.5377401443792467E-2</v>
      </c>
      <c r="P887" s="27">
        <f t="shared" si="298"/>
        <v>1.4979765878707444E-2</v>
      </c>
      <c r="Q887" s="27">
        <f t="shared" si="298"/>
        <v>1.4666139078901097E-2</v>
      </c>
      <c r="R887" s="27">
        <f t="shared" si="298"/>
        <v>1.4369412471908495E-2</v>
      </c>
      <c r="S887" s="27">
        <f t="shared" si="298"/>
        <v>1.2753167977791692E-2</v>
      </c>
      <c r="T887" s="27">
        <f t="shared" si="298"/>
        <v>1.2997110574266151E-2</v>
      </c>
      <c r="U887" s="27">
        <f t="shared" si="298"/>
        <v>1.312753735596061E-2</v>
      </c>
      <c r="V887" s="27">
        <f t="shared" si="298"/>
        <v>1.3227938686323331E-2</v>
      </c>
      <c r="W887" s="27">
        <f t="shared" si="298"/>
        <v>1.337320381397436E-2</v>
      </c>
      <c r="X887" s="27">
        <f t="shared" si="298"/>
        <v>1.349109422233195E-2</v>
      </c>
      <c r="Y887" s="27">
        <f t="shared" si="298"/>
        <v>1.3567092933660515E-2</v>
      </c>
      <c r="Z887" s="27">
        <f t="shared" si="298"/>
        <v>1.3626252243866949E-2</v>
      </c>
      <c r="AA887" s="27">
        <f t="shared" si="298"/>
        <v>1.3662918090761304E-2</v>
      </c>
      <c r="AB887" s="27">
        <f t="shared" si="298"/>
        <v>1.3771463408663595E-2</v>
      </c>
      <c r="AC887" s="27">
        <f t="shared" si="298"/>
        <v>1.3869127985299977E-2</v>
      </c>
      <c r="AD887" s="27">
        <f t="shared" si="298"/>
        <v>1.3874165158237254E-2</v>
      </c>
      <c r="AE887" s="27">
        <f t="shared" si="298"/>
        <v>1.3939591432397862E-2</v>
      </c>
      <c r="AF887" s="27">
        <f t="shared" si="298"/>
        <v>1.4026109087549346E-2</v>
      </c>
      <c r="AG887" s="27">
        <f t="shared" si="298"/>
        <v>1.4171363545535784E-2</v>
      </c>
      <c r="AH887" s="27">
        <f t="shared" si="298"/>
        <v>1.4194563001433364E-2</v>
      </c>
      <c r="AI887" s="27">
        <f t="shared" si="298"/>
        <v>1.4192127730425623E-2</v>
      </c>
      <c r="AJ887" s="27">
        <f t="shared" si="298"/>
        <v>1.4213439295786241E-2</v>
      </c>
      <c r="AK887" s="27">
        <f t="shared" si="298"/>
        <v>1.4209505777208791E-2</v>
      </c>
      <c r="AL887" s="27">
        <f t="shared" si="298"/>
        <v>1.4212515398291981E-2</v>
      </c>
      <c r="AM887" s="27">
        <f t="shared" si="298"/>
        <v>1.4205685138935052E-2</v>
      </c>
      <c r="AN887" s="27">
        <f t="shared" si="298"/>
        <v>1.4307644237551697E-2</v>
      </c>
      <c r="AO887" s="27">
        <f t="shared" si="298"/>
        <v>1.4382233106480177E-2</v>
      </c>
      <c r="AP887" s="27">
        <f t="shared" si="298"/>
        <v>1.4452518387034392E-2</v>
      </c>
      <c r="AQ887" s="27">
        <f t="shared" si="298"/>
        <v>1.4523877764575229E-2</v>
      </c>
      <c r="AR887" s="27">
        <f t="shared" si="298"/>
        <v>1.4597858733758781E-2</v>
      </c>
      <c r="AS887" s="27">
        <f t="shared" si="298"/>
        <v>1.4713795400145288E-2</v>
      </c>
      <c r="AT887" s="27">
        <f t="shared" si="298"/>
        <v>1.4681140753692774E-2</v>
      </c>
      <c r="AU887" s="27">
        <f t="shared" si="298"/>
        <v>1.4632181399957167E-2</v>
      </c>
      <c r="AV887" s="27">
        <f t="shared" si="298"/>
        <v>1.4581472788821714E-2</v>
      </c>
      <c r="AW887" s="27">
        <f t="shared" si="298"/>
        <v>1.4522947460316408E-2</v>
      </c>
      <c r="AY887" s="79"/>
      <c r="AZ887" s="79"/>
    </row>
    <row r="888" spans="1:52" x14ac:dyDescent="0.2">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0.15836052531214873</v>
      </c>
      <c r="L888" s="27">
        <f t="shared" si="299"/>
        <v>0.16370016056893644</v>
      </c>
      <c r="M888" s="27">
        <f t="shared" si="299"/>
        <v>0.17003774892948584</v>
      </c>
      <c r="N888" s="27">
        <f t="shared" si="299"/>
        <v>0.17476418316081974</v>
      </c>
      <c r="O888" s="27">
        <f t="shared" si="299"/>
        <v>0.17840915017095665</v>
      </c>
      <c r="P888" s="27">
        <f t="shared" si="299"/>
        <v>0.18092055691117107</v>
      </c>
      <c r="Q888" s="27">
        <f t="shared" si="299"/>
        <v>0.18434967364231716</v>
      </c>
      <c r="R888" s="27">
        <f t="shared" si="299"/>
        <v>0.18794438918293385</v>
      </c>
      <c r="S888" s="27">
        <f t="shared" si="299"/>
        <v>0.17354626936315642</v>
      </c>
      <c r="T888" s="27">
        <f t="shared" si="299"/>
        <v>0.18112703744691877</v>
      </c>
      <c r="U888" s="27">
        <f t="shared" si="299"/>
        <v>0.18729176246517146</v>
      </c>
      <c r="V888" s="27">
        <f t="shared" si="299"/>
        <v>0.19315163846975197</v>
      </c>
      <c r="W888" s="27">
        <f t="shared" si="299"/>
        <v>0.1997999174777515</v>
      </c>
      <c r="X888" s="27">
        <f t="shared" si="299"/>
        <v>0.20618321754826516</v>
      </c>
      <c r="Y888" s="27">
        <f t="shared" si="299"/>
        <v>0.21205125968323466</v>
      </c>
      <c r="Z888" s="27">
        <f t="shared" si="299"/>
        <v>0.21776504311044109</v>
      </c>
      <c r="AA888" s="27">
        <f t="shared" si="299"/>
        <v>0.22321845446592189</v>
      </c>
      <c r="AB888" s="27">
        <f t="shared" si="299"/>
        <v>0.22996706841629874</v>
      </c>
      <c r="AC888" s="27">
        <f t="shared" si="299"/>
        <v>0.23668130693108949</v>
      </c>
      <c r="AD888" s="27">
        <f t="shared" si="299"/>
        <v>0.24461911204797512</v>
      </c>
      <c r="AE888" s="27">
        <f t="shared" si="299"/>
        <v>0.25393877237777696</v>
      </c>
      <c r="AF888" s="27">
        <f t="shared" si="299"/>
        <v>0.26402636464996099</v>
      </c>
      <c r="AG888" s="27">
        <f t="shared" si="299"/>
        <v>0.27567496604841074</v>
      </c>
      <c r="AH888" s="27">
        <f t="shared" si="299"/>
        <v>0.28538857228327053</v>
      </c>
      <c r="AI888" s="27">
        <f t="shared" si="299"/>
        <v>0.29495307266242238</v>
      </c>
      <c r="AJ888" s="27">
        <f t="shared" si="299"/>
        <v>0.3053980286161922</v>
      </c>
      <c r="AK888" s="27">
        <f t="shared" si="299"/>
        <v>0.3157092357133186</v>
      </c>
      <c r="AL888" s="27">
        <f t="shared" si="299"/>
        <v>0.32659469477462816</v>
      </c>
      <c r="AM888" s="27">
        <f t="shared" si="299"/>
        <v>0.33769759276940581</v>
      </c>
      <c r="AN888" s="27">
        <f t="shared" si="299"/>
        <v>0.34971796912079089</v>
      </c>
      <c r="AO888" s="27">
        <f t="shared" si="299"/>
        <v>0.36149422928557057</v>
      </c>
      <c r="AP888" s="27">
        <f t="shared" si="299"/>
        <v>0.3735858155993782</v>
      </c>
      <c r="AQ888" s="27">
        <f t="shared" si="299"/>
        <v>0.38614747590772142</v>
      </c>
      <c r="AR888" s="27">
        <f t="shared" si="299"/>
        <v>0.3992463303443215</v>
      </c>
      <c r="AS888" s="27">
        <f t="shared" si="299"/>
        <v>0.41401924594323458</v>
      </c>
      <c r="AT888" s="27">
        <f t="shared" si="299"/>
        <v>0.42507748495703629</v>
      </c>
      <c r="AU888" s="27">
        <f t="shared" si="299"/>
        <v>0.43601753921735037</v>
      </c>
      <c r="AV888" s="27">
        <f t="shared" si="299"/>
        <v>0.44726275396189152</v>
      </c>
      <c r="AW888" s="27">
        <f t="shared" si="299"/>
        <v>0.45863622701416706</v>
      </c>
      <c r="AY888" s="79"/>
      <c r="AZ888" s="79"/>
    </row>
    <row r="889" spans="1:52" x14ac:dyDescent="0.2">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1.195503235691774E-4</v>
      </c>
      <c r="T889" s="27">
        <f t="shared" si="300"/>
        <v>1.1973238900774034E-4</v>
      </c>
      <c r="U889" s="27">
        <f t="shared" si="300"/>
        <v>1.1993816652481025E-4</v>
      </c>
      <c r="V889" s="27">
        <f t="shared" si="300"/>
        <v>1.2017030175701969E-4</v>
      </c>
      <c r="W889" s="27">
        <f t="shared" si="300"/>
        <v>1.2043143682964787E-4</v>
      </c>
      <c r="X889" s="27">
        <f t="shared" si="300"/>
        <v>1.2071612652319093E-4</v>
      </c>
      <c r="Y889" s="27">
        <f t="shared" si="300"/>
        <v>1.2088927246048491E-4</v>
      </c>
      <c r="Z889" s="27">
        <f t="shared" si="300"/>
        <v>1.2108266651499932E-4</v>
      </c>
      <c r="AA889" s="27">
        <f t="shared" si="300"/>
        <v>1.2129489002398719E-4</v>
      </c>
      <c r="AB889" s="27">
        <f t="shared" si="300"/>
        <v>1.2153074787723059E-4</v>
      </c>
      <c r="AC889" s="27">
        <f t="shared" si="300"/>
        <v>1.2178444503760319E-4</v>
      </c>
      <c r="AD889" s="27">
        <f t="shared" si="300"/>
        <v>1.2195021859922819E-4</v>
      </c>
      <c r="AE889" s="27">
        <f t="shared" si="300"/>
        <v>1.2213630016303642E-4</v>
      </c>
      <c r="AF889" s="27">
        <f t="shared" si="300"/>
        <v>1.2233971704233787E-4</v>
      </c>
      <c r="AG889" s="27">
        <f t="shared" si="300"/>
        <v>1.2256258176640642E-4</v>
      </c>
      <c r="AH889" s="27">
        <f t="shared" si="300"/>
        <v>1.2279204268449652E-4</v>
      </c>
      <c r="AI889" s="27">
        <f t="shared" si="300"/>
        <v>1.2293267358180957E-4</v>
      </c>
      <c r="AJ889" s="27">
        <f t="shared" si="300"/>
        <v>1.230880284078129E-4</v>
      </c>
      <c r="AK889" s="27">
        <f t="shared" si="300"/>
        <v>1.2325414703713089E-4</v>
      </c>
      <c r="AL889" s="27">
        <f t="shared" si="300"/>
        <v>1.2343300581478905E-4</v>
      </c>
      <c r="AM889" s="27">
        <f t="shared" si="300"/>
        <v>1.2362298848343737E-4</v>
      </c>
      <c r="AN889" s="27">
        <f t="shared" si="300"/>
        <v>1.2373316293630814E-4</v>
      </c>
      <c r="AO889" s="27">
        <f t="shared" si="300"/>
        <v>1.2385166980530415E-4</v>
      </c>
      <c r="AP889" s="27">
        <f t="shared" si="300"/>
        <v>1.2398002361906419E-4</v>
      </c>
      <c r="AQ889" s="27">
        <f t="shared" si="300"/>
        <v>1.2411840156820918E-4</v>
      </c>
      <c r="AR889" s="27">
        <f t="shared" si="300"/>
        <v>1.2426670691930035E-4</v>
      </c>
      <c r="AS889" s="27">
        <f t="shared" si="300"/>
        <v>1.2433302167931155E-4</v>
      </c>
      <c r="AT889" s="27">
        <f t="shared" si="300"/>
        <v>1.2439474489368146E-4</v>
      </c>
      <c r="AU889" s="27">
        <f t="shared" si="300"/>
        <v>1.2446317135013558E-4</v>
      </c>
      <c r="AV889" s="27">
        <f t="shared" si="300"/>
        <v>1.2453939785824996E-4</v>
      </c>
      <c r="AW889" s="27">
        <f t="shared" si="300"/>
        <v>1.24622639719568E-4</v>
      </c>
      <c r="AY889" s="79"/>
      <c r="AZ889" s="79"/>
    </row>
    <row r="890" spans="1:52" x14ac:dyDescent="0.2">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8.2041591156770978E-4</v>
      </c>
      <c r="T890" s="27">
        <f t="shared" si="301"/>
        <v>8.216653384055813E-4</v>
      </c>
      <c r="U890" s="27">
        <f t="shared" si="301"/>
        <v>8.2307748974241456E-4</v>
      </c>
      <c r="V890" s="27">
        <f t="shared" si="301"/>
        <v>8.246705212997898E-4</v>
      </c>
      <c r="W890" s="27">
        <f t="shared" si="301"/>
        <v>8.2646256470257108E-4</v>
      </c>
      <c r="X890" s="27">
        <f t="shared" si="301"/>
        <v>8.284162520491963E-4</v>
      </c>
      <c r="Y890" s="27">
        <f t="shared" si="301"/>
        <v>8.2960446867411488E-4</v>
      </c>
      <c r="Z890" s="27">
        <f t="shared" si="301"/>
        <v>8.3093163831104511E-4</v>
      </c>
      <c r="AA890" s="27">
        <f t="shared" si="301"/>
        <v>8.323880253653359E-4</v>
      </c>
      <c r="AB890" s="27">
        <f t="shared" si="301"/>
        <v>8.3400660346610628E-4</v>
      </c>
      <c r="AC890" s="27">
        <f t="shared" si="301"/>
        <v>8.3574760408304538E-4</v>
      </c>
      <c r="AD890" s="27">
        <f t="shared" si="301"/>
        <v>8.3688522766794265E-4</v>
      </c>
      <c r="AE890" s="27">
        <f t="shared" si="301"/>
        <v>8.3816221522631858E-4</v>
      </c>
      <c r="AF890" s="27">
        <f t="shared" si="301"/>
        <v>8.3955816665060555E-4</v>
      </c>
      <c r="AG890" s="27">
        <f t="shared" si="301"/>
        <v>8.4108757920503671E-4</v>
      </c>
      <c r="AH890" s="27">
        <f t="shared" si="301"/>
        <v>8.4266225824114254E-4</v>
      </c>
      <c r="AI890" s="27">
        <f t="shared" si="301"/>
        <v>8.436273399102601E-4</v>
      </c>
      <c r="AJ890" s="27">
        <f t="shared" si="301"/>
        <v>8.4469346476368369E-4</v>
      </c>
      <c r="AK890" s="27">
        <f t="shared" si="301"/>
        <v>8.4583345638086619E-4</v>
      </c>
      <c r="AL890" s="27">
        <f t="shared" si="301"/>
        <v>8.4706087745956699E-4</v>
      </c>
      <c r="AM890" s="27">
        <f t="shared" si="301"/>
        <v>8.483646364091695E-4</v>
      </c>
      <c r="AN890" s="27">
        <f t="shared" si="301"/>
        <v>8.4912071026564152E-4</v>
      </c>
      <c r="AO890" s="27">
        <f t="shared" si="301"/>
        <v>8.4993396545434991E-4</v>
      </c>
      <c r="AP890" s="27">
        <f t="shared" si="301"/>
        <v>8.5081479545108508E-4</v>
      </c>
      <c r="AQ890" s="27">
        <f t="shared" si="301"/>
        <v>8.5176441622917501E-4</v>
      </c>
      <c r="AR890" s="27">
        <f t="shared" si="301"/>
        <v>8.5278216395392656E-4</v>
      </c>
      <c r="AS890" s="27">
        <f t="shared" si="301"/>
        <v>8.5323725000188266E-4</v>
      </c>
      <c r="AT890" s="27">
        <f t="shared" si="301"/>
        <v>8.5366082649812602E-4</v>
      </c>
      <c r="AU890" s="27">
        <f t="shared" si="301"/>
        <v>8.5413040409500023E-4</v>
      </c>
      <c r="AV890" s="27">
        <f t="shared" si="301"/>
        <v>8.546535096648827E-4</v>
      </c>
      <c r="AW890" s="27">
        <f t="shared" si="301"/>
        <v>8.5522475820269445E-4</v>
      </c>
      <c r="AY890" s="79"/>
      <c r="AZ890" s="79"/>
    </row>
    <row r="891" spans="1:52" x14ac:dyDescent="0.2">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1.4486129996083081E-5</v>
      </c>
      <c r="L891" s="27">
        <f t="shared" si="302"/>
        <v>1.4523786941695515E-5</v>
      </c>
      <c r="M891" s="27">
        <f t="shared" si="302"/>
        <v>1.4575733367418309E-5</v>
      </c>
      <c r="N891" s="27">
        <f t="shared" si="302"/>
        <v>1.4639017833045651E-5</v>
      </c>
      <c r="O891" s="27">
        <f t="shared" si="302"/>
        <v>1.471355007817218E-5</v>
      </c>
      <c r="P891" s="27">
        <f t="shared" si="302"/>
        <v>1.4798876460462532E-5</v>
      </c>
      <c r="Q891" s="27">
        <f t="shared" si="302"/>
        <v>1.4890706011157255E-5</v>
      </c>
      <c r="R891" s="27">
        <f t="shared" si="302"/>
        <v>1.4988675221399694E-5</v>
      </c>
      <c r="S891" s="27">
        <f t="shared" si="302"/>
        <v>1.5078679643027028E-5</v>
      </c>
      <c r="T891" s="27">
        <f t="shared" si="302"/>
        <v>1.5122495296339113E-5</v>
      </c>
      <c r="U891" s="27">
        <f t="shared" si="302"/>
        <v>1.516958973789732E-5</v>
      </c>
      <c r="V891" s="27">
        <f t="shared" si="302"/>
        <v>1.5220538890996556E-5</v>
      </c>
      <c r="W891" s="27">
        <f t="shared" si="302"/>
        <v>1.5275902163367261E-5</v>
      </c>
      <c r="X891" s="27">
        <f t="shared" si="302"/>
        <v>1.5334694454120534E-5</v>
      </c>
      <c r="Y891" s="27">
        <f t="shared" si="302"/>
        <v>1.5371448915304841E-5</v>
      </c>
      <c r="Z891" s="27">
        <f t="shared" si="302"/>
        <v>1.5411207509365297E-5</v>
      </c>
      <c r="AA891" s="27">
        <f t="shared" si="302"/>
        <v>1.5453736398701918E-5</v>
      </c>
      <c r="AB891" s="27">
        <f t="shared" si="302"/>
        <v>1.5499966763922933E-5</v>
      </c>
      <c r="AC891" s="27">
        <f t="shared" si="302"/>
        <v>1.5548833641447303E-5</v>
      </c>
      <c r="AD891" s="27">
        <f t="shared" si="302"/>
        <v>1.5580602349578564E-5</v>
      </c>
      <c r="AE891" s="27">
        <f t="shared" si="302"/>
        <v>1.5615591404277508E-5</v>
      </c>
      <c r="AF891" s="27">
        <f t="shared" si="302"/>
        <v>1.5653259744642323E-5</v>
      </c>
      <c r="AG891" s="27">
        <f t="shared" si="302"/>
        <v>1.5694012741398928E-5</v>
      </c>
      <c r="AH891" s="27">
        <f t="shared" si="302"/>
        <v>1.5735477279761714E-5</v>
      </c>
      <c r="AI891" s="27">
        <f t="shared" si="302"/>
        <v>1.5760021720349279E-5</v>
      </c>
      <c r="AJ891" s="27">
        <f t="shared" si="302"/>
        <v>1.5786883711006113E-5</v>
      </c>
      <c r="AK891" s="27">
        <f t="shared" si="302"/>
        <v>1.5815340273420816E-5</v>
      </c>
      <c r="AL891" s="27">
        <f t="shared" si="302"/>
        <v>1.5845764593107772E-5</v>
      </c>
      <c r="AM891" s="27">
        <f t="shared" si="302"/>
        <v>1.5877866318833775E-5</v>
      </c>
      <c r="AN891" s="27">
        <f t="shared" si="302"/>
        <v>1.5894983838021428E-5</v>
      </c>
      <c r="AO891" s="27">
        <f t="shared" si="302"/>
        <v>1.5913339031971955E-5</v>
      </c>
      <c r="AP891" s="27">
        <f t="shared" si="302"/>
        <v>1.593321505910849E-5</v>
      </c>
      <c r="AQ891" s="27">
        <f t="shared" si="302"/>
        <v>1.5954648527995344E-5</v>
      </c>
      <c r="AR891" s="27">
        <f t="shared" si="302"/>
        <v>1.5977625288303394E-5</v>
      </c>
      <c r="AS891" s="27">
        <f t="shared" si="302"/>
        <v>1.5985441440203981E-5</v>
      </c>
      <c r="AT891" s="27">
        <f t="shared" si="302"/>
        <v>1.5992226212116376E-5</v>
      </c>
      <c r="AU891" s="27">
        <f t="shared" si="302"/>
        <v>1.6000039436891757E-5</v>
      </c>
      <c r="AV891" s="27">
        <f t="shared" si="302"/>
        <v>1.6009082551352237E-5</v>
      </c>
      <c r="AW891" s="27">
        <f t="shared" si="302"/>
        <v>1.6019215529788255E-5</v>
      </c>
      <c r="AY891" s="79"/>
      <c r="AZ891" s="79"/>
    </row>
    <row r="892" spans="1:52" x14ac:dyDescent="0.2">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1.4738364076719785E-3</v>
      </c>
      <c r="L892" s="27">
        <f t="shared" si="303"/>
        <v>1.4776676709189833E-3</v>
      </c>
      <c r="M892" s="27">
        <f t="shared" si="303"/>
        <v>1.4829527631761549E-3</v>
      </c>
      <c r="N892" s="27">
        <f t="shared" si="303"/>
        <v>1.4893914013429299E-3</v>
      </c>
      <c r="O892" s="27">
        <f t="shared" si="303"/>
        <v>1.4969744022163664E-3</v>
      </c>
      <c r="P892" s="27">
        <f t="shared" si="303"/>
        <v>1.5056556116759296E-3</v>
      </c>
      <c r="Q892" s="27">
        <f t="shared" si="303"/>
        <v>1.5149984613639165E-3</v>
      </c>
      <c r="R892" s="27">
        <f t="shared" si="303"/>
        <v>1.5249659674490626E-3</v>
      </c>
      <c r="S892" s="27">
        <f t="shared" si="303"/>
        <v>1.5341231262956069E-3</v>
      </c>
      <c r="T892" s="27">
        <f t="shared" si="303"/>
        <v>1.5385809839218152E-3</v>
      </c>
      <c r="U892" s="27">
        <f t="shared" si="303"/>
        <v>1.5433724294346084E-3</v>
      </c>
      <c r="V892" s="27">
        <f t="shared" si="303"/>
        <v>1.5485560579674195E-3</v>
      </c>
      <c r="W892" s="27">
        <f t="shared" si="303"/>
        <v>1.5541887843401544E-3</v>
      </c>
      <c r="X892" s="27">
        <f t="shared" si="303"/>
        <v>1.5601703831954754E-3</v>
      </c>
      <c r="Y892" s="27">
        <f t="shared" si="303"/>
        <v>1.5639098265839071E-3</v>
      </c>
      <c r="Z892" s="27">
        <f t="shared" si="303"/>
        <v>1.5679549140889886E-3</v>
      </c>
      <c r="AA892" s="27">
        <f t="shared" si="303"/>
        <v>1.5722818547901358E-3</v>
      </c>
      <c r="AB892" s="27">
        <f t="shared" si="303"/>
        <v>1.5769853881300361E-3</v>
      </c>
      <c r="AC892" s="27">
        <f t="shared" si="303"/>
        <v>1.5819571634243445E-3</v>
      </c>
      <c r="AD892" s="27">
        <f t="shared" si="303"/>
        <v>1.5851893502596976E-3</v>
      </c>
      <c r="AE892" s="27">
        <f t="shared" si="303"/>
        <v>1.5887491790545015E-3</v>
      </c>
      <c r="AF892" s="27">
        <f t="shared" si="303"/>
        <v>1.5925816016174124E-3</v>
      </c>
      <c r="AG892" s="27">
        <f t="shared" si="303"/>
        <v>1.5967278608569652E-3</v>
      </c>
      <c r="AH892" s="27">
        <f t="shared" si="303"/>
        <v>1.6009465132011667E-3</v>
      </c>
      <c r="AI892" s="27">
        <f t="shared" si="303"/>
        <v>1.6034436943084516E-3</v>
      </c>
      <c r="AJ892" s="27">
        <f t="shared" si="303"/>
        <v>1.6061766657662043E-3</v>
      </c>
      <c r="AK892" s="27">
        <f t="shared" si="303"/>
        <v>1.6090718708855374E-3</v>
      </c>
      <c r="AL892" s="27">
        <f t="shared" si="303"/>
        <v>1.6121672780125896E-3</v>
      </c>
      <c r="AM892" s="27">
        <f t="shared" si="303"/>
        <v>1.6154333464612968E-3</v>
      </c>
      <c r="AN892" s="27">
        <f t="shared" si="303"/>
        <v>1.6171749035917807E-3</v>
      </c>
      <c r="AO892" s="27">
        <f t="shared" si="303"/>
        <v>1.6190423832513916E-3</v>
      </c>
      <c r="AP892" s="27">
        <f t="shared" si="303"/>
        <v>1.6210645943209887E-3</v>
      </c>
      <c r="AQ892" s="27">
        <f t="shared" si="303"/>
        <v>1.6232452614002358E-3</v>
      </c>
      <c r="AR892" s="27">
        <f t="shared" si="303"/>
        <v>1.6255829448175118E-3</v>
      </c>
      <c r="AS892" s="27">
        <f t="shared" si="303"/>
        <v>1.6263781695767885E-3</v>
      </c>
      <c r="AT892" s="27">
        <f t="shared" si="303"/>
        <v>1.6270684604871241E-3</v>
      </c>
      <c r="AU892" s="27">
        <f t="shared" si="303"/>
        <v>1.6278633874371373E-3</v>
      </c>
      <c r="AV892" s="27">
        <f t="shared" si="303"/>
        <v>1.6287834448530387E-3</v>
      </c>
      <c r="AW892" s="27">
        <f t="shared" si="303"/>
        <v>1.6298143863495728E-3</v>
      </c>
      <c r="AY892" s="79"/>
      <c r="AZ892" s="79"/>
    </row>
    <row r="893" spans="1:52" x14ac:dyDescent="0.2">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2">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2">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0.13004550543955873</v>
      </c>
      <c r="M895" s="27">
        <f t="shared" si="306"/>
        <v>0.13010384136507713</v>
      </c>
      <c r="N895" s="27">
        <f t="shared" si="306"/>
        <v>0.1289093884029483</v>
      </c>
      <c r="O895" s="27">
        <f t="shared" si="306"/>
        <v>0.12695857121838477</v>
      </c>
      <c r="P895" s="27">
        <f t="shared" si="306"/>
        <v>0.12428257569245395</v>
      </c>
      <c r="Q895" s="27">
        <f t="shared" si="306"/>
        <v>0.12233950618032065</v>
      </c>
      <c r="R895" s="27">
        <f t="shared" si="306"/>
        <v>0.12056837226162823</v>
      </c>
      <c r="S895" s="27">
        <f t="shared" si="306"/>
        <v>0.10742568641023791</v>
      </c>
      <c r="T895" s="27">
        <f t="shared" si="306"/>
        <v>0.1091029492210569</v>
      </c>
      <c r="U895" s="27">
        <f t="shared" si="306"/>
        <v>0.1098152981393777</v>
      </c>
      <c r="V895" s="27">
        <f t="shared" si="306"/>
        <v>0.11028443328369632</v>
      </c>
      <c r="W895" s="27">
        <f t="shared" si="306"/>
        <v>0.11115311990923482</v>
      </c>
      <c r="X895" s="27">
        <f t="shared" si="306"/>
        <v>0.11180012354863146</v>
      </c>
      <c r="Y895" s="27">
        <f t="shared" si="306"/>
        <v>0.11213950095917391</v>
      </c>
      <c r="Z895" s="27">
        <f t="shared" si="306"/>
        <v>0.11234743559515332</v>
      </c>
      <c r="AA895" s="27">
        <f t="shared" si="306"/>
        <v>0.11237564219545433</v>
      </c>
      <c r="AB895" s="27">
        <f t="shared" si="306"/>
        <v>0.1130282053559263</v>
      </c>
      <c r="AC895" s="27">
        <f t="shared" si="306"/>
        <v>0.11359821524900583</v>
      </c>
      <c r="AD895" s="27">
        <f t="shared" si="306"/>
        <v>0.11441835566605747</v>
      </c>
      <c r="AE895" s="27">
        <f t="shared" si="306"/>
        <v>0.11580372782809943</v>
      </c>
      <c r="AF895" s="27">
        <f t="shared" si="306"/>
        <v>0.11742607569995514</v>
      </c>
      <c r="AG895" s="27">
        <f t="shared" si="306"/>
        <v>0.11962260335271972</v>
      </c>
      <c r="AH895" s="27">
        <f t="shared" si="306"/>
        <v>0.12080838440395283</v>
      </c>
      <c r="AI895" s="27">
        <f t="shared" si="306"/>
        <v>0.12184404408189208</v>
      </c>
      <c r="AJ895" s="27">
        <f t="shared" si="306"/>
        <v>0.12314557152083414</v>
      </c>
      <c r="AK895" s="27">
        <f t="shared" si="306"/>
        <v>0.12427557755093979</v>
      </c>
      <c r="AL895" s="27">
        <f t="shared" si="306"/>
        <v>0.1255259175330139</v>
      </c>
      <c r="AM895" s="27">
        <f t="shared" si="306"/>
        <v>0.12674552603750175</v>
      </c>
      <c r="AN895" s="27">
        <f t="shared" si="306"/>
        <v>0.12838752833674963</v>
      </c>
      <c r="AO895" s="27">
        <f t="shared" si="306"/>
        <v>0.12981338825169941</v>
      </c>
      <c r="AP895" s="27">
        <f t="shared" si="306"/>
        <v>0.13123798099286382</v>
      </c>
      <c r="AQ895" s="27">
        <f t="shared" si="306"/>
        <v>0.13271316927423235</v>
      </c>
      <c r="AR895" s="27">
        <f t="shared" si="306"/>
        <v>0.13425553565091783</v>
      </c>
      <c r="AS895" s="27">
        <f t="shared" si="306"/>
        <v>0.1362655431555625</v>
      </c>
      <c r="AT895" s="27">
        <f t="shared" si="306"/>
        <v>0.1368880254632967</v>
      </c>
      <c r="AU895" s="27">
        <f t="shared" si="306"/>
        <v>0.13738521125796219</v>
      </c>
      <c r="AV895" s="27">
        <f t="shared" si="306"/>
        <v>0.13789795385940914</v>
      </c>
      <c r="AW895" s="27">
        <f t="shared" si="306"/>
        <v>0.13836722215964953</v>
      </c>
      <c r="AY895" s="79"/>
      <c r="AZ895" s="79"/>
    </row>
    <row r="896" spans="1:52" x14ac:dyDescent="0.2">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1.2724633182830881E-2</v>
      </c>
      <c r="L896" s="27">
        <f t="shared" si="307"/>
        <v>1.2655466337890216E-2</v>
      </c>
      <c r="M896" s="27">
        <f t="shared" si="307"/>
        <v>1.266114333794641E-2</v>
      </c>
      <c r="N896" s="27">
        <f t="shared" si="307"/>
        <v>1.2544904339887072E-2</v>
      </c>
      <c r="O896" s="27">
        <f t="shared" si="307"/>
        <v>1.2355059245839619E-2</v>
      </c>
      <c r="P896" s="27">
        <f t="shared" si="307"/>
        <v>1.209464293091744E-2</v>
      </c>
      <c r="Q896" s="27">
        <f t="shared" si="307"/>
        <v>1.1905551806853851E-2</v>
      </c>
      <c r="R896" s="27">
        <f t="shared" si="307"/>
        <v>1.1733192711380727E-2</v>
      </c>
      <c r="S896" s="27">
        <f t="shared" si="307"/>
        <v>1.0454203346699911E-2</v>
      </c>
      <c r="T896" s="27">
        <f t="shared" si="307"/>
        <v>1.0617427311806347E-2</v>
      </c>
      <c r="U896" s="27">
        <f t="shared" si="307"/>
        <v>1.0686750028698176E-2</v>
      </c>
      <c r="V896" s="27">
        <f t="shared" si="307"/>
        <v>1.0732404232638389E-2</v>
      </c>
      <c r="W896" s="27">
        <f t="shared" si="307"/>
        <v>1.0816941059270873E-2</v>
      </c>
      <c r="X896" s="27">
        <f t="shared" si="307"/>
        <v>1.087990465613799E-2</v>
      </c>
      <c r="Y896" s="27">
        <f t="shared" si="307"/>
        <v>1.0912931398434408E-2</v>
      </c>
      <c r="Z896" s="27">
        <f t="shared" si="307"/>
        <v>1.0933166698202938E-2</v>
      </c>
      <c r="AA896" s="27">
        <f t="shared" si="307"/>
        <v>1.0935911642593046E-2</v>
      </c>
      <c r="AB896" s="27">
        <f t="shared" si="307"/>
        <v>1.0999416268014638E-2</v>
      </c>
      <c r="AC896" s="27">
        <f t="shared" si="307"/>
        <v>1.1054887166372485E-2</v>
      </c>
      <c r="AD896" s="27">
        <f t="shared" si="307"/>
        <v>1.1134699685884465E-2</v>
      </c>
      <c r="AE896" s="27">
        <f t="shared" si="307"/>
        <v>1.1269518115040561E-2</v>
      </c>
      <c r="AF896" s="27">
        <f t="shared" si="307"/>
        <v>1.1427397995711722E-2</v>
      </c>
      <c r="AG896" s="27">
        <f t="shared" si="307"/>
        <v>1.1641154570195772E-2</v>
      </c>
      <c r="AH896" s="27">
        <f t="shared" si="307"/>
        <v>1.1756549655379731E-2</v>
      </c>
      <c r="AI896" s="27">
        <f t="shared" si="307"/>
        <v>1.1857335577564188E-2</v>
      </c>
      <c r="AJ896" s="27">
        <f t="shared" si="307"/>
        <v>1.1983994600770704E-2</v>
      </c>
      <c r="AK896" s="27">
        <f t="shared" si="307"/>
        <v>1.209396190204173E-2</v>
      </c>
      <c r="AL896" s="27">
        <f t="shared" si="307"/>
        <v>1.2215639583254724E-2</v>
      </c>
      <c r="AM896" s="27">
        <f t="shared" si="307"/>
        <v>1.2334326609936505E-2</v>
      </c>
      <c r="AN896" s="27">
        <f t="shared" si="307"/>
        <v>1.2494119174505589E-2</v>
      </c>
      <c r="AO896" s="27">
        <f t="shared" si="307"/>
        <v>1.2632877696725955E-2</v>
      </c>
      <c r="AP896" s="27">
        <f t="shared" si="307"/>
        <v>1.2771512903072156E-2</v>
      </c>
      <c r="AQ896" s="27">
        <f t="shared" si="307"/>
        <v>1.2915071848641296E-2</v>
      </c>
      <c r="AR896" s="27">
        <f t="shared" si="307"/>
        <v>1.3065168276002324E-2</v>
      </c>
      <c r="AS896" s="27">
        <f t="shared" si="307"/>
        <v>1.3260773516090847E-2</v>
      </c>
      <c r="AT896" s="27">
        <f t="shared" si="307"/>
        <v>1.3321350802978501E-2</v>
      </c>
      <c r="AU896" s="27">
        <f t="shared" si="307"/>
        <v>1.3369734774933539E-2</v>
      </c>
      <c r="AV896" s="27">
        <f t="shared" si="307"/>
        <v>1.3419632668064721E-2</v>
      </c>
      <c r="AW896" s="27">
        <f t="shared" si="307"/>
        <v>1.3465299830163544E-2</v>
      </c>
      <c r="AY896" s="79"/>
      <c r="AZ896" s="79"/>
    </row>
    <row r="897" spans="1:52" x14ac:dyDescent="0.2">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6.4453339767617107E-2</v>
      </c>
      <c r="L897" s="27">
        <f t="shared" si="308"/>
        <v>6.5763803942104557E-2</v>
      </c>
      <c r="M897" s="27">
        <f t="shared" si="308"/>
        <v>6.7295612361813625E-2</v>
      </c>
      <c r="N897" s="27">
        <f t="shared" si="308"/>
        <v>6.8471619369899747E-2</v>
      </c>
      <c r="O897" s="27">
        <f t="shared" si="308"/>
        <v>6.9415657765503513E-2</v>
      </c>
      <c r="P897" s="27">
        <f t="shared" si="308"/>
        <v>7.0122113289878343E-2</v>
      </c>
      <c r="Q897" s="27">
        <f t="shared" si="308"/>
        <v>7.1027984276732931E-2</v>
      </c>
      <c r="R897" s="27">
        <f t="shared" si="308"/>
        <v>7.1969839340941838E-2</v>
      </c>
      <c r="S897" s="27">
        <f t="shared" si="308"/>
        <v>6.9091020117855437E-2</v>
      </c>
      <c r="T897" s="27">
        <f t="shared" si="308"/>
        <v>7.0923520025616846E-2</v>
      </c>
      <c r="U897" s="27">
        <f t="shared" si="308"/>
        <v>7.2452558917721649E-2</v>
      </c>
      <c r="V897" s="27">
        <f t="shared" si="308"/>
        <v>7.3914725789307509E-2</v>
      </c>
      <c r="W897" s="27">
        <f t="shared" si="308"/>
        <v>7.5540335927502686E-2</v>
      </c>
      <c r="X897" s="27">
        <f t="shared" si="308"/>
        <v>7.710742274610026E-2</v>
      </c>
      <c r="Y897" s="27">
        <f t="shared" si="308"/>
        <v>7.8514475152186416E-2</v>
      </c>
      <c r="Z897" s="27">
        <f t="shared" si="308"/>
        <v>7.9886368180485237E-2</v>
      </c>
      <c r="AA897" s="27">
        <f t="shared" si="308"/>
        <v>8.1201368710931643E-2</v>
      </c>
      <c r="AB897" s="27">
        <f t="shared" si="308"/>
        <v>8.2782551319957556E-2</v>
      </c>
      <c r="AC897" s="27">
        <f t="shared" si="308"/>
        <v>8.4352893309328145E-2</v>
      </c>
      <c r="AD897" s="27">
        <f t="shared" si="308"/>
        <v>8.5998825916539595E-2</v>
      </c>
      <c r="AE897" s="27">
        <f t="shared" si="308"/>
        <v>8.791554994164491E-2</v>
      </c>
      <c r="AF897" s="27">
        <f t="shared" si="308"/>
        <v>8.9973918009766785E-2</v>
      </c>
      <c r="AG897" s="27">
        <f t="shared" si="308"/>
        <v>9.2332462068458354E-2</v>
      </c>
      <c r="AH897" s="27">
        <f t="shared" si="308"/>
        <v>9.4282044413809288E-2</v>
      </c>
      <c r="AI897" s="27">
        <f t="shared" si="308"/>
        <v>9.6147404966029248E-2</v>
      </c>
      <c r="AJ897" s="27">
        <f t="shared" si="308"/>
        <v>9.8173701325843382E-2</v>
      </c>
      <c r="AK897" s="27">
        <f t="shared" si="308"/>
        <v>0.1001572245577764</v>
      </c>
      <c r="AL897" s="27">
        <f t="shared" si="308"/>
        <v>0.10223848995104871</v>
      </c>
      <c r="AM897" s="27">
        <f t="shared" si="308"/>
        <v>0.10434595485218236</v>
      </c>
      <c r="AN897" s="27">
        <f t="shared" si="308"/>
        <v>0.10666367827206967</v>
      </c>
      <c r="AO897" s="27">
        <f t="shared" si="308"/>
        <v>0.10891945161625204</v>
      </c>
      <c r="AP897" s="27">
        <f t="shared" si="308"/>
        <v>0.11122270700738313</v>
      </c>
      <c r="AQ897" s="27">
        <f t="shared" si="308"/>
        <v>0.11360290610560657</v>
      </c>
      <c r="AR897" s="27">
        <f t="shared" si="308"/>
        <v>0.11607217368997393</v>
      </c>
      <c r="AS897" s="27">
        <f t="shared" si="308"/>
        <v>0.11880939144121157</v>
      </c>
      <c r="AT897" s="27">
        <f t="shared" si="308"/>
        <v>0.12081746755875615</v>
      </c>
      <c r="AU897" s="27">
        <f t="shared" si="308"/>
        <v>0.12279062605907758</v>
      </c>
      <c r="AV897" s="27">
        <f t="shared" si="308"/>
        <v>0.12480975001742217</v>
      </c>
      <c r="AW897" s="27">
        <f t="shared" si="308"/>
        <v>0.1268408444448812</v>
      </c>
      <c r="AY897" s="79"/>
      <c r="AZ897" s="79"/>
    </row>
    <row r="898" spans="1:52" x14ac:dyDescent="0.2">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0.31034319165291718</v>
      </c>
      <c r="L898" s="27">
        <f t="shared" si="309"/>
        <v>0.31442985679016988</v>
      </c>
      <c r="M898" s="27">
        <f t="shared" si="309"/>
        <v>0.32099421325528477</v>
      </c>
      <c r="N898" s="27">
        <f t="shared" si="309"/>
        <v>0.3228790317815291</v>
      </c>
      <c r="O898" s="27">
        <f t="shared" si="309"/>
        <v>0.32172327535887091</v>
      </c>
      <c r="P898" s="27">
        <f t="shared" si="309"/>
        <v>0.31753924052538912</v>
      </c>
      <c r="Q898" s="27">
        <f t="shared" si="309"/>
        <v>0.31577785743754239</v>
      </c>
      <c r="R898" s="27">
        <f t="shared" si="309"/>
        <v>0.31441607582114922</v>
      </c>
      <c r="S898" s="27">
        <f t="shared" si="309"/>
        <v>0.26879192155029241</v>
      </c>
      <c r="T898" s="27">
        <f t="shared" si="309"/>
        <v>0.28063901740950847</v>
      </c>
      <c r="U898" s="27">
        <f t="shared" si="309"/>
        <v>0.28880309945041127</v>
      </c>
      <c r="V898" s="27">
        <f t="shared" si="309"/>
        <v>0.29604855006817871</v>
      </c>
      <c r="W898" s="27">
        <f t="shared" si="309"/>
        <v>0.30496938447162802</v>
      </c>
      <c r="X898" s="27">
        <f t="shared" si="309"/>
        <v>0.31306661968905752</v>
      </c>
      <c r="Y898" s="27">
        <f t="shared" si="309"/>
        <v>0.32021357019479407</v>
      </c>
      <c r="Z898" s="27">
        <f t="shared" si="309"/>
        <v>0.32685390014438859</v>
      </c>
      <c r="AA898" s="27">
        <f t="shared" si="309"/>
        <v>0.33276450713212152</v>
      </c>
      <c r="AB898" s="27">
        <f t="shared" si="309"/>
        <v>0.34142456701129209</v>
      </c>
      <c r="AC898" s="27">
        <f t="shared" si="309"/>
        <v>0.34982483105719137</v>
      </c>
      <c r="AD898" s="27">
        <f t="shared" si="309"/>
        <v>0.35965297279223607</v>
      </c>
      <c r="AE898" s="27">
        <f t="shared" si="309"/>
        <v>0.37217634319205956</v>
      </c>
      <c r="AF898" s="27">
        <f t="shared" si="309"/>
        <v>0.3859945703932357</v>
      </c>
      <c r="AG898" s="27">
        <f t="shared" si="309"/>
        <v>0.40272226665089866</v>
      </c>
      <c r="AH898" s="27">
        <f t="shared" si="309"/>
        <v>0.41501766533472662</v>
      </c>
      <c r="AI898" s="27">
        <f t="shared" si="309"/>
        <v>0.42700130219026528</v>
      </c>
      <c r="AJ898" s="27">
        <f t="shared" si="309"/>
        <v>0.44046546100421546</v>
      </c>
      <c r="AK898" s="27">
        <f t="shared" si="309"/>
        <v>0.45333055520989524</v>
      </c>
      <c r="AL898" s="27">
        <f t="shared" si="309"/>
        <v>0.46701619271583805</v>
      </c>
      <c r="AM898" s="27">
        <f t="shared" si="309"/>
        <v>0.48079646315959662</v>
      </c>
      <c r="AN898" s="27">
        <f t="shared" si="309"/>
        <v>0.49715144699339536</v>
      </c>
      <c r="AO898" s="27">
        <f t="shared" si="309"/>
        <v>0.51271284356388047</v>
      </c>
      <c r="AP898" s="27">
        <f t="shared" si="309"/>
        <v>0.52856616956956437</v>
      </c>
      <c r="AQ898" s="27">
        <f t="shared" si="309"/>
        <v>0.54499431888614669</v>
      </c>
      <c r="AR898" s="27">
        <f t="shared" si="309"/>
        <v>0.56210625186052299</v>
      </c>
      <c r="AS898" s="27">
        <f t="shared" si="309"/>
        <v>0.58227066272581418</v>
      </c>
      <c r="AT898" s="27">
        <f t="shared" si="309"/>
        <v>0.59525693388734258</v>
      </c>
      <c r="AU898" s="27">
        <f t="shared" si="309"/>
        <v>0.60778527419801665</v>
      </c>
      <c r="AV898" s="27">
        <f t="shared" si="309"/>
        <v>0.62062894178535877</v>
      </c>
      <c r="AW898" s="27">
        <f t="shared" si="309"/>
        <v>0.63346374044156473</v>
      </c>
      <c r="AY898" s="79"/>
      <c r="AZ898" s="79"/>
    </row>
    <row r="899" spans="1:52" x14ac:dyDescent="0.2">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8.9709854381943815E-2</v>
      </c>
      <c r="M899" s="27">
        <f t="shared" si="310"/>
        <v>9.0417475033143083E-2</v>
      </c>
      <c r="N899" s="27">
        <f t="shared" si="310"/>
        <v>9.0872196678668984E-2</v>
      </c>
      <c r="O899" s="27">
        <f t="shared" si="310"/>
        <v>9.1174361291842948E-2</v>
      </c>
      <c r="P899" s="27">
        <f t="shared" si="310"/>
        <v>9.1320994898161728E-2</v>
      </c>
      <c r="Q899" s="27">
        <f t="shared" si="310"/>
        <v>9.1644963105957017E-2</v>
      </c>
      <c r="R899" s="27">
        <f t="shared" si="310"/>
        <v>9.2016609055475651E-2</v>
      </c>
      <c r="S899" s="27">
        <f t="shared" si="310"/>
        <v>8.9497634351969751E-2</v>
      </c>
      <c r="T899" s="27">
        <f t="shared" si="310"/>
        <v>9.0526156863539653E-2</v>
      </c>
      <c r="U899" s="27">
        <f t="shared" si="310"/>
        <v>9.133211275409571E-2</v>
      </c>
      <c r="V899" s="27">
        <f t="shared" si="310"/>
        <v>9.2095667401537948E-2</v>
      </c>
      <c r="W899" s="27">
        <f t="shared" si="310"/>
        <v>9.2988337377843094E-2</v>
      </c>
      <c r="X899" s="27">
        <f t="shared" si="310"/>
        <v>9.3843223396191833E-2</v>
      </c>
      <c r="Y899" s="27">
        <f t="shared" si="310"/>
        <v>9.4560210431129388E-2</v>
      </c>
      <c r="Z899" s="27">
        <f t="shared" si="310"/>
        <v>9.5257283424355771E-2</v>
      </c>
      <c r="AA899" s="27">
        <f t="shared" si="310"/>
        <v>9.5918466483612935E-2</v>
      </c>
      <c r="AB899" s="27">
        <f t="shared" si="310"/>
        <v>9.6778548113850782E-2</v>
      </c>
      <c r="AC899" s="27">
        <f t="shared" si="310"/>
        <v>9.7634207071548518E-2</v>
      </c>
      <c r="AD899" s="27">
        <f t="shared" si="310"/>
        <v>9.8526906814348045E-2</v>
      </c>
      <c r="AE899" s="27">
        <f t="shared" si="310"/>
        <v>9.9615980454525591E-2</v>
      </c>
      <c r="AF899" s="27">
        <f t="shared" si="310"/>
        <v>0.1008065868820634</v>
      </c>
      <c r="AG899" s="27">
        <f t="shared" si="310"/>
        <v>0.10221006700957981</v>
      </c>
      <c r="AH899" s="27">
        <f t="shared" si="310"/>
        <v>0.10332162680247739</v>
      </c>
      <c r="AI899" s="27">
        <f t="shared" si="310"/>
        <v>0.10435425380397972</v>
      </c>
      <c r="AJ899" s="27">
        <f t="shared" si="310"/>
        <v>0.10550009187328319</v>
      </c>
      <c r="AK899" s="27">
        <f t="shared" si="310"/>
        <v>0.10661516318950658</v>
      </c>
      <c r="AL899" s="27">
        <f t="shared" si="310"/>
        <v>0.10779775034487957</v>
      </c>
      <c r="AM899" s="27">
        <f t="shared" si="310"/>
        <v>0.10899733735251546</v>
      </c>
      <c r="AN899" s="27">
        <f t="shared" si="310"/>
        <v>0.11032305770963274</v>
      </c>
      <c r="AO899" s="27">
        <f t="shared" si="310"/>
        <v>0.1116034974988518</v>
      </c>
      <c r="AP899" s="27">
        <f t="shared" si="310"/>
        <v>0.11291437639210956</v>
      </c>
      <c r="AQ899" s="27">
        <f t="shared" si="310"/>
        <v>0.11427557081956052</v>
      </c>
      <c r="AR899" s="27">
        <f t="shared" si="310"/>
        <v>0.11569486271533871</v>
      </c>
      <c r="AS899" s="27">
        <f t="shared" si="310"/>
        <v>0.11727523367677491</v>
      </c>
      <c r="AT899" s="27">
        <f t="shared" si="310"/>
        <v>0.11835610910450192</v>
      </c>
      <c r="AU899" s="27">
        <f t="shared" si="310"/>
        <v>0.11941212579472428</v>
      </c>
      <c r="AV899" s="27">
        <f t="shared" si="310"/>
        <v>0.120498066178682</v>
      </c>
      <c r="AW899" s="27">
        <f t="shared" si="310"/>
        <v>0.12159075101335114</v>
      </c>
      <c r="AY899" s="79"/>
      <c r="AZ899" s="79"/>
    </row>
    <row r="900" spans="1:52" x14ac:dyDescent="0.2">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2.7090100081973278E-2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2.7786681470952927E-2</v>
      </c>
      <c r="S900" s="27">
        <f t="shared" si="311"/>
        <v>2.7026015016948877E-2</v>
      </c>
      <c r="T900" s="27">
        <f t="shared" si="311"/>
        <v>2.7336602721799708E-2</v>
      </c>
      <c r="U900" s="27">
        <f t="shared" si="311"/>
        <v>2.7579980953625429E-2</v>
      </c>
      <c r="V900" s="27">
        <f t="shared" si="311"/>
        <v>2.7810555085751417E-2</v>
      </c>
      <c r="W900" s="27">
        <f t="shared" si="311"/>
        <v>2.8080118771534705E-2</v>
      </c>
      <c r="X900" s="27">
        <f t="shared" si="311"/>
        <v>2.8338272660595177E-2</v>
      </c>
      <c r="Y900" s="27">
        <f t="shared" si="311"/>
        <v>2.8554784555166308E-2</v>
      </c>
      <c r="Z900" s="27">
        <f t="shared" si="311"/>
        <v>2.8765282914360448E-2</v>
      </c>
      <c r="AA900" s="27">
        <f t="shared" si="311"/>
        <v>2.8964943424024437E-2</v>
      </c>
      <c r="AB900" s="27">
        <f t="shared" si="311"/>
        <v>2.9224666256062608E-2</v>
      </c>
      <c r="AC900" s="27">
        <f t="shared" si="311"/>
        <v>2.9483053553196983E-2</v>
      </c>
      <c r="AD900" s="27">
        <f t="shared" si="311"/>
        <v>2.9752626227706403E-2</v>
      </c>
      <c r="AE900" s="27">
        <f t="shared" si="311"/>
        <v>3.0081498837213019E-2</v>
      </c>
      <c r="AF900" s="27">
        <f t="shared" si="311"/>
        <v>3.0441031772612943E-2</v>
      </c>
      <c r="AG900" s="27">
        <f t="shared" si="311"/>
        <v>3.0864847164795019E-2</v>
      </c>
      <c r="AH900" s="27">
        <f t="shared" si="311"/>
        <v>3.1200510021948794E-2</v>
      </c>
      <c r="AI900" s="27">
        <f t="shared" si="311"/>
        <v>3.1512337178628218E-2</v>
      </c>
      <c r="AJ900" s="27">
        <f t="shared" si="311"/>
        <v>3.1858351205615788E-2</v>
      </c>
      <c r="AK900" s="27">
        <f t="shared" si="311"/>
        <v>3.2195074453726519E-2</v>
      </c>
      <c r="AL900" s="27">
        <f t="shared" si="311"/>
        <v>3.2552185772381829E-2</v>
      </c>
      <c r="AM900" s="27">
        <f t="shared" si="311"/>
        <v>3.2914430615133806E-2</v>
      </c>
      <c r="AN900" s="27">
        <f t="shared" si="311"/>
        <v>3.331476452942278E-2</v>
      </c>
      <c r="AO900" s="27">
        <f t="shared" si="311"/>
        <v>3.370142486097568E-2</v>
      </c>
      <c r="AP900" s="27">
        <f t="shared" si="311"/>
        <v>3.4097277029707398E-2</v>
      </c>
      <c r="AQ900" s="27">
        <f t="shared" si="311"/>
        <v>3.4508323213259036E-2</v>
      </c>
      <c r="AR900" s="27">
        <f t="shared" si="311"/>
        <v>3.4936913358311179E-2</v>
      </c>
      <c r="AS900" s="27">
        <f t="shared" si="311"/>
        <v>3.5414145294611905E-2</v>
      </c>
      <c r="AT900" s="27">
        <f t="shared" si="311"/>
        <v>3.5740542251947324E-2</v>
      </c>
      <c r="AU900" s="27">
        <f t="shared" si="311"/>
        <v>3.6059432501223176E-2</v>
      </c>
      <c r="AV900" s="27">
        <f t="shared" si="311"/>
        <v>3.638735894684221E-2</v>
      </c>
      <c r="AW900" s="27">
        <f t="shared" si="311"/>
        <v>3.6717322045469181E-2</v>
      </c>
      <c r="AY900" s="79"/>
      <c r="AZ900" s="79"/>
    </row>
    <row r="901" spans="1:52" x14ac:dyDescent="0.2">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1.4564639612104711E-3</v>
      </c>
      <c r="M901" s="27">
        <f t="shared" si="312"/>
        <v>1.4679523755410987E-3</v>
      </c>
      <c r="N901" s="27">
        <f t="shared" si="312"/>
        <v>1.4753349055168039E-3</v>
      </c>
      <c r="O901" s="27">
        <f t="shared" si="312"/>
        <v>1.4802406304505133E-3</v>
      </c>
      <c r="P901" s="27">
        <f t="shared" si="312"/>
        <v>1.4826212670547858E-3</v>
      </c>
      <c r="Q901" s="27">
        <f t="shared" si="312"/>
        <v>1.4878809792957942E-3</v>
      </c>
      <c r="R901" s="27">
        <f t="shared" si="312"/>
        <v>1.4939147526814823E-3</v>
      </c>
      <c r="S901" s="27">
        <f t="shared" si="312"/>
        <v>1.4530185111243717E-3</v>
      </c>
      <c r="T901" s="27">
        <f t="shared" si="312"/>
        <v>1.4697168547089842E-3</v>
      </c>
      <c r="U901" s="27">
        <f t="shared" si="312"/>
        <v>1.4828017684791316E-3</v>
      </c>
      <c r="V901" s="27">
        <f t="shared" si="312"/>
        <v>1.4951982864990986E-3</v>
      </c>
      <c r="W901" s="27">
        <f t="shared" si="312"/>
        <v>1.5096910271093734E-3</v>
      </c>
      <c r="X901" s="27">
        <f t="shared" si="312"/>
        <v>1.5235703348537217E-3</v>
      </c>
      <c r="Y901" s="27">
        <f t="shared" si="312"/>
        <v>1.5352108149797475E-3</v>
      </c>
      <c r="Z901" s="27">
        <f t="shared" si="312"/>
        <v>1.5465279852054938E-3</v>
      </c>
      <c r="AA901" s="27">
        <f t="shared" si="312"/>
        <v>1.5572624725614869E-3</v>
      </c>
      <c r="AB901" s="27">
        <f t="shared" si="312"/>
        <v>1.5712261324823602E-3</v>
      </c>
      <c r="AC901" s="27">
        <f t="shared" si="312"/>
        <v>1.5851179891079189E-3</v>
      </c>
      <c r="AD901" s="27">
        <f t="shared" si="312"/>
        <v>1.5996112129853511E-3</v>
      </c>
      <c r="AE901" s="27">
        <f t="shared" si="312"/>
        <v>1.6172926206629243E-3</v>
      </c>
      <c r="AF901" s="27">
        <f t="shared" si="312"/>
        <v>1.636622440844233E-3</v>
      </c>
      <c r="AG901" s="27">
        <f t="shared" si="312"/>
        <v>1.6594083236225038E-3</v>
      </c>
      <c r="AH901" s="27">
        <f t="shared" si="312"/>
        <v>1.6774548001243291E-3</v>
      </c>
      <c r="AI901" s="27">
        <f t="shared" si="312"/>
        <v>1.6942197812228126E-3</v>
      </c>
      <c r="AJ901" s="27">
        <f t="shared" si="312"/>
        <v>1.7128227748941451E-3</v>
      </c>
      <c r="AK901" s="27">
        <f t="shared" si="312"/>
        <v>1.7309262619352049E-3</v>
      </c>
      <c r="AL901" s="27">
        <f t="shared" si="312"/>
        <v>1.7501258870450394E-3</v>
      </c>
      <c r="AM901" s="27">
        <f t="shared" si="312"/>
        <v>1.7696015093943904E-3</v>
      </c>
      <c r="AN901" s="27">
        <f t="shared" si="312"/>
        <v>1.7911249410852239E-3</v>
      </c>
      <c r="AO901" s="27">
        <f t="shared" si="312"/>
        <v>1.8119132304024437E-3</v>
      </c>
      <c r="AP901" s="27">
        <f t="shared" si="312"/>
        <v>1.8331957068783579E-3</v>
      </c>
      <c r="AQ901" s="27">
        <f t="shared" si="312"/>
        <v>1.8552950697793623E-3</v>
      </c>
      <c r="AR901" s="27">
        <f t="shared" si="312"/>
        <v>1.8783376609292489E-3</v>
      </c>
      <c r="AS901" s="27">
        <f t="shared" si="312"/>
        <v>1.9039954146569001E-3</v>
      </c>
      <c r="AT901" s="27">
        <f t="shared" si="312"/>
        <v>1.9215437221186409E-3</v>
      </c>
      <c r="AU901" s="27">
        <f t="shared" si="312"/>
        <v>1.938688441194845E-3</v>
      </c>
      <c r="AV901" s="27">
        <f t="shared" si="312"/>
        <v>1.9563189796028518E-3</v>
      </c>
      <c r="AW901" s="27">
        <f t="shared" si="312"/>
        <v>1.9740590160082297E-3</v>
      </c>
      <c r="AY901" s="79"/>
      <c r="AZ901" s="79"/>
    </row>
    <row r="902" spans="1:52" x14ac:dyDescent="0.2">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3.030301439269115E-2</v>
      </c>
      <c r="L902" s="27">
        <f t="shared" si="313"/>
        <v>3.0040206026371367E-2</v>
      </c>
      <c r="M902" s="27">
        <f t="shared" si="313"/>
        <v>2.99401628371932E-2</v>
      </c>
      <c r="N902" s="27">
        <f t="shared" si="313"/>
        <v>2.9540351153331298E-2</v>
      </c>
      <c r="O902" s="27">
        <f t="shared" si="313"/>
        <v>2.896001473012887E-2</v>
      </c>
      <c r="P902" s="27">
        <f t="shared" si="313"/>
        <v>2.8211154016296501E-2</v>
      </c>
      <c r="Q902" s="27">
        <f t="shared" si="313"/>
        <v>2.7620505669412022E-2</v>
      </c>
      <c r="R902" s="27">
        <f t="shared" si="313"/>
        <v>2.7061685185942385E-2</v>
      </c>
      <c r="S902" s="27">
        <f t="shared" si="313"/>
        <v>2.4017837723924858E-2</v>
      </c>
      <c r="T902" s="27">
        <f t="shared" si="313"/>
        <v>2.4477250922769193E-2</v>
      </c>
      <c r="U902" s="27">
        <f t="shared" si="313"/>
        <v>2.4722881599244746E-2</v>
      </c>
      <c r="V902" s="27">
        <f t="shared" si="313"/>
        <v>2.4911965822405392E-2</v>
      </c>
      <c r="W902" s="27">
        <f t="shared" si="313"/>
        <v>2.5185541319014813E-2</v>
      </c>
      <c r="X902" s="27">
        <f t="shared" si="313"/>
        <v>2.5407562443653844E-2</v>
      </c>
      <c r="Y902" s="27">
        <f t="shared" si="313"/>
        <v>2.5550689603830473E-2</v>
      </c>
      <c r="Z902" s="27">
        <f t="shared" si="313"/>
        <v>2.5662103388614917E-2</v>
      </c>
      <c r="AA902" s="27">
        <f t="shared" si="313"/>
        <v>2.5731155592918373E-2</v>
      </c>
      <c r="AB902" s="27">
        <f t="shared" si="313"/>
        <v>2.593557725784186E-2</v>
      </c>
      <c r="AC902" s="27">
        <f t="shared" si="313"/>
        <v>2.611950739638573E-2</v>
      </c>
      <c r="AD902" s="27">
        <f t="shared" si="313"/>
        <v>2.6128993823789925E-2</v>
      </c>
      <c r="AE902" s="27">
        <f t="shared" si="313"/>
        <v>2.6252210081774377E-2</v>
      </c>
      <c r="AF902" s="27">
        <f t="shared" si="313"/>
        <v>2.641514740098018E-2</v>
      </c>
      <c r="AG902" s="27">
        <f t="shared" si="313"/>
        <v>2.6688702803580544E-2</v>
      </c>
      <c r="AH902" s="27">
        <f t="shared" si="313"/>
        <v>2.6732393968630815E-2</v>
      </c>
      <c r="AI902" s="27">
        <f t="shared" si="313"/>
        <v>2.6727807661606592E-2</v>
      </c>
      <c r="AJ902" s="27">
        <f t="shared" si="313"/>
        <v>2.6767943392537564E-2</v>
      </c>
      <c r="AK902" s="27">
        <f t="shared" si="313"/>
        <v>2.6760535459775924E-2</v>
      </c>
      <c r="AL902" s="27">
        <f t="shared" si="313"/>
        <v>2.6766203431131164E-2</v>
      </c>
      <c r="AM902" s="27">
        <f t="shared" si="313"/>
        <v>2.675334011268881E-2</v>
      </c>
      <c r="AN902" s="27">
        <f t="shared" si="313"/>
        <v>2.694535805594156E-2</v>
      </c>
      <c r="AO902" s="27">
        <f t="shared" si="313"/>
        <v>2.7085830082425877E-2</v>
      </c>
      <c r="AP902" s="27">
        <f t="shared" si="313"/>
        <v>2.7218197229606188E-2</v>
      </c>
      <c r="AQ902" s="27">
        <f t="shared" si="313"/>
        <v>2.7352587206499832E-2</v>
      </c>
      <c r="AR902" s="27">
        <f t="shared" si="313"/>
        <v>2.7491914385096024E-2</v>
      </c>
      <c r="AS902" s="27">
        <f t="shared" si="313"/>
        <v>2.7710256058660829E-2</v>
      </c>
      <c r="AT902" s="27">
        <f t="shared" si="313"/>
        <v>2.7648758084134469E-2</v>
      </c>
      <c r="AU902" s="27">
        <f t="shared" si="313"/>
        <v>2.7556553714589756E-2</v>
      </c>
      <c r="AV902" s="27">
        <f t="shared" si="313"/>
        <v>2.7461054996500443E-2</v>
      </c>
      <c r="AW902" s="27">
        <f t="shared" si="313"/>
        <v>2.7350835179335974E-2</v>
      </c>
      <c r="AY902" s="79"/>
      <c r="AZ902" s="79"/>
    </row>
    <row r="903" spans="1:52" x14ac:dyDescent="0.2">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4.0226293185258936E-2</v>
      </c>
      <c r="L903" s="27">
        <f t="shared" si="314"/>
        <v>3.9877423391049029E-2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3.1882919944479234E-2</v>
      </c>
      <c r="T903" s="27">
        <f t="shared" si="314"/>
        <v>3.2492776435665373E-2</v>
      </c>
      <c r="U903" s="27">
        <f t="shared" si="314"/>
        <v>3.2818843389901528E-2</v>
      </c>
      <c r="V903" s="27">
        <f t="shared" si="314"/>
        <v>3.3069846715808329E-2</v>
      </c>
      <c r="W903" s="27">
        <f t="shared" si="314"/>
        <v>3.3433009534935908E-2</v>
      </c>
      <c r="X903" s="27">
        <f t="shared" si="314"/>
        <v>3.372773555582987E-2</v>
      </c>
      <c r="Y903" s="27">
        <f t="shared" si="314"/>
        <v>3.3917732334151289E-2</v>
      </c>
      <c r="Z903" s="27">
        <f t="shared" si="314"/>
        <v>3.4065630609667365E-2</v>
      </c>
      <c r="AA903" s="27">
        <f t="shared" si="314"/>
        <v>3.4157295226903257E-2</v>
      </c>
      <c r="AB903" s="27">
        <f t="shared" si="314"/>
        <v>3.4428658521658995E-2</v>
      </c>
      <c r="AC903" s="27">
        <f t="shared" si="314"/>
        <v>3.4672819963249946E-2</v>
      </c>
      <c r="AD903" s="27">
        <f t="shared" si="314"/>
        <v>3.4685412895593133E-2</v>
      </c>
      <c r="AE903" s="27">
        <f t="shared" si="314"/>
        <v>3.4848978580994651E-2</v>
      </c>
      <c r="AF903" s="27">
        <f t="shared" si="314"/>
        <v>3.5065272718873365E-2</v>
      </c>
      <c r="AG903" s="27">
        <f t="shared" si="314"/>
        <v>3.542840886383946E-2</v>
      </c>
      <c r="AH903" s="27">
        <f t="shared" si="314"/>
        <v>3.5486407503583416E-2</v>
      </c>
      <c r="AI903" s="27">
        <f t="shared" si="314"/>
        <v>3.5480319326064061E-2</v>
      </c>
      <c r="AJ903" s="27">
        <f t="shared" si="314"/>
        <v>3.5533598239465607E-2</v>
      </c>
      <c r="AK903" s="27">
        <f t="shared" si="314"/>
        <v>3.5523764443021973E-2</v>
      </c>
      <c r="AL903" s="27">
        <f t="shared" si="314"/>
        <v>3.5531288495729951E-2</v>
      </c>
      <c r="AM903" s="27">
        <f t="shared" si="314"/>
        <v>3.5514212847337627E-2</v>
      </c>
      <c r="AN903" s="27">
        <f t="shared" si="314"/>
        <v>3.5769110593879244E-2</v>
      </c>
      <c r="AO903" s="27">
        <f t="shared" si="314"/>
        <v>3.5955582766200436E-2</v>
      </c>
      <c r="AP903" s="27">
        <f t="shared" si="314"/>
        <v>3.6131295967585977E-2</v>
      </c>
      <c r="AQ903" s="27">
        <f t="shared" si="314"/>
        <v>3.6309694411438075E-2</v>
      </c>
      <c r="AR903" s="27">
        <f t="shared" si="314"/>
        <v>3.6494646834396953E-2</v>
      </c>
      <c r="AS903" s="27">
        <f t="shared" si="314"/>
        <v>3.678448850036322E-2</v>
      </c>
      <c r="AT903" s="27">
        <f t="shared" si="314"/>
        <v>3.6702851884231939E-2</v>
      </c>
      <c r="AU903" s="27">
        <f t="shared" si="314"/>
        <v>3.6580453499892925E-2</v>
      </c>
      <c r="AV903" s="27">
        <f t="shared" si="314"/>
        <v>3.6453681972054293E-2</v>
      </c>
      <c r="AW903" s="27">
        <f t="shared" si="314"/>
        <v>3.6307368650791018E-2</v>
      </c>
      <c r="AY903" s="79"/>
      <c r="AZ903" s="79"/>
    </row>
    <row r="904" spans="1:52" x14ac:dyDescent="0.2">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4.1968337096859203E-2</v>
      </c>
      <c r="L904" s="27">
        <f t="shared" si="315"/>
        <v>4.3383434779753476E-2</v>
      </c>
      <c r="M904" s="27">
        <f t="shared" si="315"/>
        <v>4.5063007666824861E-2</v>
      </c>
      <c r="N904" s="27">
        <f t="shared" si="315"/>
        <v>4.6315596244033502E-2</v>
      </c>
      <c r="O904" s="27">
        <f t="shared" si="315"/>
        <v>4.7281576900430208E-2</v>
      </c>
      <c r="P904" s="27">
        <f t="shared" si="315"/>
        <v>4.7947144057730852E-2</v>
      </c>
      <c r="Q904" s="27">
        <f t="shared" si="315"/>
        <v>4.8855920576585825E-2</v>
      </c>
      <c r="R904" s="27">
        <f t="shared" si="315"/>
        <v>4.9808583705724517E-2</v>
      </c>
      <c r="S904" s="27">
        <f t="shared" si="315"/>
        <v>4.5992827569741108E-2</v>
      </c>
      <c r="T904" s="27">
        <f t="shared" si="315"/>
        <v>4.8001865047769987E-2</v>
      </c>
      <c r="U904" s="27">
        <f t="shared" si="315"/>
        <v>4.9635626095010099E-2</v>
      </c>
      <c r="V904" s="27">
        <f t="shared" si="315"/>
        <v>5.1188596767602117E-2</v>
      </c>
      <c r="W904" s="27">
        <f t="shared" si="315"/>
        <v>5.2950508165481844E-2</v>
      </c>
      <c r="X904" s="27">
        <f t="shared" si="315"/>
        <v>5.4642195463321171E-2</v>
      </c>
      <c r="Y904" s="27">
        <f t="shared" si="315"/>
        <v>5.6197330304744171E-2</v>
      </c>
      <c r="Z904" s="27">
        <f t="shared" si="315"/>
        <v>5.7711583863191099E-2</v>
      </c>
      <c r="AA904" s="27">
        <f t="shared" si="315"/>
        <v>5.9156834222417472E-2</v>
      </c>
      <c r="AB904" s="27">
        <f t="shared" si="315"/>
        <v>6.0945336152729353E-2</v>
      </c>
      <c r="AC904" s="27">
        <f t="shared" si="315"/>
        <v>6.2724727985271067E-2</v>
      </c>
      <c r="AD904" s="27">
        <f t="shared" si="315"/>
        <v>6.4828386585152428E-2</v>
      </c>
      <c r="AE904" s="27">
        <f t="shared" si="315"/>
        <v>6.7298261230859621E-2</v>
      </c>
      <c r="AF904" s="27">
        <f t="shared" si="315"/>
        <v>6.9971651409000274E-2</v>
      </c>
      <c r="AG904" s="27">
        <f t="shared" si="315"/>
        <v>7.3058736585267875E-2</v>
      </c>
      <c r="AH904" s="27">
        <f t="shared" si="315"/>
        <v>7.563301385599043E-2</v>
      </c>
      <c r="AI904" s="27">
        <f t="shared" si="315"/>
        <v>7.8167775440571283E-2</v>
      </c>
      <c r="AJ904" s="27">
        <f t="shared" si="315"/>
        <v>8.0935873308178169E-2</v>
      </c>
      <c r="AK904" s="27">
        <f t="shared" si="315"/>
        <v>8.3668525365720503E-2</v>
      </c>
      <c r="AL904" s="27">
        <f t="shared" si="315"/>
        <v>8.6553364339565772E-2</v>
      </c>
      <c r="AM904" s="27">
        <f t="shared" si="315"/>
        <v>8.9495828472457392E-2</v>
      </c>
      <c r="AN904" s="27">
        <f t="shared" si="315"/>
        <v>9.2681440579714905E-2</v>
      </c>
      <c r="AO904" s="27">
        <f t="shared" si="315"/>
        <v>9.5802357584515191E-2</v>
      </c>
      <c r="AP904" s="27">
        <f t="shared" si="315"/>
        <v>9.9006841589941233E-2</v>
      </c>
      <c r="AQ904" s="27">
        <f t="shared" si="315"/>
        <v>0.10233590350911345</v>
      </c>
      <c r="AR904" s="27">
        <f t="shared" si="315"/>
        <v>0.10580733136333606</v>
      </c>
      <c r="AS904" s="27">
        <f t="shared" si="315"/>
        <v>0.10972241500262403</v>
      </c>
      <c r="AT904" s="27">
        <f t="shared" si="315"/>
        <v>0.11265304371652905</v>
      </c>
      <c r="AU904" s="27">
        <f t="shared" si="315"/>
        <v>0.11555235138269004</v>
      </c>
      <c r="AV904" s="27">
        <f t="shared" si="315"/>
        <v>0.11853253196869915</v>
      </c>
      <c r="AW904" s="27">
        <f t="shared" si="315"/>
        <v>0.12154670327230575</v>
      </c>
      <c r="AY904" s="79"/>
      <c r="AZ904" s="79"/>
    </row>
    <row r="905" spans="1:52" x14ac:dyDescent="0.2">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4.4831371338441527E-3</v>
      </c>
      <c r="T905" s="27">
        <f t="shared" si="316"/>
        <v>4.4899645877902617E-3</v>
      </c>
      <c r="U905" s="27">
        <f t="shared" si="316"/>
        <v>4.4976812446803844E-3</v>
      </c>
      <c r="V905" s="27">
        <f t="shared" si="316"/>
        <v>4.5063863158882386E-3</v>
      </c>
      <c r="W905" s="27">
        <f t="shared" si="316"/>
        <v>4.5161788811117947E-3</v>
      </c>
      <c r="X905" s="27">
        <f t="shared" si="316"/>
        <v>4.5268547446196596E-3</v>
      </c>
      <c r="Y905" s="27">
        <f t="shared" si="316"/>
        <v>4.5333477172681842E-3</v>
      </c>
      <c r="Z905" s="27">
        <f t="shared" si="316"/>
        <v>4.5405999943124754E-3</v>
      </c>
      <c r="AA905" s="27">
        <f t="shared" si="316"/>
        <v>4.5485583758995193E-3</v>
      </c>
      <c r="AB905" s="27">
        <f t="shared" si="316"/>
        <v>4.5574030453961476E-3</v>
      </c>
      <c r="AC905" s="27">
        <f t="shared" si="316"/>
        <v>4.5669166889101189E-3</v>
      </c>
      <c r="AD905" s="27">
        <f t="shared" si="316"/>
        <v>4.5731331974710569E-3</v>
      </c>
      <c r="AE905" s="27">
        <f t="shared" si="316"/>
        <v>4.5801112561138658E-3</v>
      </c>
      <c r="AF905" s="27">
        <f t="shared" si="316"/>
        <v>4.5877393890876687E-3</v>
      </c>
      <c r="AG905" s="27">
        <f t="shared" si="316"/>
        <v>4.5960968162402412E-3</v>
      </c>
      <c r="AH905" s="27">
        <f t="shared" si="316"/>
        <v>4.60470160066862E-3</v>
      </c>
      <c r="AI905" s="27">
        <f t="shared" si="316"/>
        <v>4.6099752593178585E-3</v>
      </c>
      <c r="AJ905" s="27">
        <f t="shared" si="316"/>
        <v>4.6158010652929838E-3</v>
      </c>
      <c r="AK905" s="27">
        <f t="shared" si="316"/>
        <v>4.6220305138924079E-3</v>
      </c>
      <c r="AL905" s="27">
        <f t="shared" si="316"/>
        <v>4.6287377180545888E-3</v>
      </c>
      <c r="AM905" s="27">
        <f t="shared" si="316"/>
        <v>4.635862068128902E-3</v>
      </c>
      <c r="AN905" s="27">
        <f t="shared" si="316"/>
        <v>4.6399936101115553E-3</v>
      </c>
      <c r="AO905" s="27">
        <f t="shared" si="316"/>
        <v>4.6444376176989054E-3</v>
      </c>
      <c r="AP905" s="27">
        <f t="shared" si="316"/>
        <v>4.6492508857149065E-3</v>
      </c>
      <c r="AQ905" s="27">
        <f t="shared" si="316"/>
        <v>4.6544400588078442E-3</v>
      </c>
      <c r="AR905" s="27">
        <f t="shared" si="316"/>
        <v>4.6600015094737631E-3</v>
      </c>
      <c r="AS905" s="27">
        <f t="shared" si="316"/>
        <v>4.6624883129741824E-3</v>
      </c>
      <c r="AT905" s="27">
        <f t="shared" si="316"/>
        <v>4.6648029335130551E-3</v>
      </c>
      <c r="AU905" s="27">
        <f t="shared" si="316"/>
        <v>4.6673689256300846E-3</v>
      </c>
      <c r="AV905" s="27">
        <f t="shared" si="316"/>
        <v>4.6702274196843731E-3</v>
      </c>
      <c r="AW905" s="27">
        <f t="shared" si="316"/>
        <v>4.6733489894838004E-3</v>
      </c>
      <c r="AY905" s="79"/>
      <c r="AZ905" s="79"/>
    </row>
    <row r="906" spans="1:52" x14ac:dyDescent="0.2">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3.7291632343986812E-3</v>
      </c>
      <c r="T906" s="27">
        <f t="shared" si="317"/>
        <v>3.7348424472980965E-3</v>
      </c>
      <c r="U906" s="27">
        <f t="shared" si="317"/>
        <v>3.7412613170109757E-3</v>
      </c>
      <c r="V906" s="27">
        <f t="shared" si="317"/>
        <v>3.7485023695444986E-3</v>
      </c>
      <c r="W906" s="27">
        <f t="shared" si="317"/>
        <v>3.7566480213753234E-3</v>
      </c>
      <c r="X906" s="27">
        <f t="shared" si="317"/>
        <v>3.7655284184054385E-3</v>
      </c>
      <c r="Y906" s="27">
        <f t="shared" si="317"/>
        <v>3.770929403064159E-3</v>
      </c>
      <c r="Z906" s="27">
        <f t="shared" si="317"/>
        <v>3.7769619923229323E-3</v>
      </c>
      <c r="AA906" s="27">
        <f t="shared" si="317"/>
        <v>3.7835819334787997E-3</v>
      </c>
      <c r="AB906" s="27">
        <f t="shared" si="317"/>
        <v>3.7909391066641191E-3</v>
      </c>
      <c r="AC906" s="27">
        <f t="shared" si="317"/>
        <v>3.7988527458320239E-3</v>
      </c>
      <c r="AD906" s="27">
        <f t="shared" si="317"/>
        <v>3.8040237621270109E-3</v>
      </c>
      <c r="AE906" s="27">
        <f t="shared" si="317"/>
        <v>3.8098282510287203E-3</v>
      </c>
      <c r="AF906" s="27">
        <f t="shared" si="317"/>
        <v>3.8161734847754797E-3</v>
      </c>
      <c r="AG906" s="27">
        <f t="shared" si="317"/>
        <v>3.823125360022894E-3</v>
      </c>
      <c r="AH906" s="27">
        <f t="shared" si="317"/>
        <v>3.8302829920051928E-3</v>
      </c>
      <c r="AI906" s="27">
        <f t="shared" si="317"/>
        <v>3.834669726864819E-3</v>
      </c>
      <c r="AJ906" s="27">
        <f t="shared" si="317"/>
        <v>3.8395157489258354E-3</v>
      </c>
      <c r="AK906" s="27">
        <f t="shared" si="317"/>
        <v>3.8446975290039364E-3</v>
      </c>
      <c r="AL906" s="27">
        <f t="shared" si="317"/>
        <v>3.8502767157253038E-3</v>
      </c>
      <c r="AM906" s="27">
        <f t="shared" si="317"/>
        <v>3.8562028927689521E-3</v>
      </c>
      <c r="AN906" s="27">
        <f t="shared" si="317"/>
        <v>3.8596395921165526E-3</v>
      </c>
      <c r="AO906" s="27">
        <f t="shared" si="317"/>
        <v>3.8633362066106815E-3</v>
      </c>
      <c r="AP906" s="27">
        <f t="shared" si="317"/>
        <v>3.8673399793231139E-3</v>
      </c>
      <c r="AQ906" s="27">
        <f t="shared" si="317"/>
        <v>3.8716564374053405E-3</v>
      </c>
      <c r="AR906" s="27">
        <f t="shared" si="317"/>
        <v>3.8762825634269383E-3</v>
      </c>
      <c r="AS906" s="27">
        <f t="shared" si="317"/>
        <v>3.8783511363721934E-3</v>
      </c>
      <c r="AT906" s="27">
        <f t="shared" si="317"/>
        <v>3.8802764840823911E-3</v>
      </c>
      <c r="AU906" s="27">
        <f t="shared" si="317"/>
        <v>3.8824109277045466E-3</v>
      </c>
      <c r="AV906" s="27">
        <f t="shared" si="317"/>
        <v>3.8847886802949221E-3</v>
      </c>
      <c r="AW906" s="27">
        <f t="shared" si="317"/>
        <v>3.8873852645577018E-3</v>
      </c>
      <c r="AY906" s="79"/>
      <c r="AZ906" s="79"/>
    </row>
    <row r="907" spans="1:52" x14ac:dyDescent="0.2">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5.4322987485311551E-4</v>
      </c>
      <c r="L907" s="27">
        <f t="shared" si="318"/>
        <v>5.4464201031358182E-4</v>
      </c>
      <c r="M907" s="27">
        <f t="shared" si="318"/>
        <v>5.4659000127818655E-4</v>
      </c>
      <c r="N907" s="27">
        <f t="shared" si="318"/>
        <v>5.4896316873921192E-4</v>
      </c>
      <c r="O907" s="27">
        <f t="shared" si="318"/>
        <v>5.5175812793145673E-4</v>
      </c>
      <c r="P907" s="27">
        <f t="shared" si="318"/>
        <v>5.5495786726734487E-4</v>
      </c>
      <c r="Q907" s="27">
        <f t="shared" si="318"/>
        <v>5.5840147541839707E-4</v>
      </c>
      <c r="R907" s="27">
        <f t="shared" si="318"/>
        <v>5.620753208024884E-4</v>
      </c>
      <c r="S907" s="27">
        <f t="shared" si="318"/>
        <v>5.6545048661351359E-4</v>
      </c>
      <c r="T907" s="27">
        <f t="shared" si="318"/>
        <v>5.6709357361271675E-4</v>
      </c>
      <c r="U907" s="27">
        <f t="shared" si="318"/>
        <v>5.688596151711496E-4</v>
      </c>
      <c r="V907" s="27">
        <f t="shared" si="318"/>
        <v>5.7077020841237065E-4</v>
      </c>
      <c r="W907" s="27">
        <f t="shared" si="318"/>
        <v>5.7284633112627235E-4</v>
      </c>
      <c r="X907" s="27">
        <f t="shared" si="318"/>
        <v>5.7505104202951998E-4</v>
      </c>
      <c r="Y907" s="27">
        <f t="shared" si="318"/>
        <v>5.7642933432393154E-4</v>
      </c>
      <c r="Z907" s="27">
        <f t="shared" si="318"/>
        <v>5.7792028160119863E-4</v>
      </c>
      <c r="AA907" s="27">
        <f t="shared" si="318"/>
        <v>5.7951511495132196E-4</v>
      </c>
      <c r="AB907" s="27">
        <f t="shared" si="318"/>
        <v>5.8124875364710992E-4</v>
      </c>
      <c r="AC907" s="27">
        <f t="shared" si="318"/>
        <v>5.8308126155427384E-4</v>
      </c>
      <c r="AD907" s="27">
        <f t="shared" si="318"/>
        <v>5.8427258810919626E-4</v>
      </c>
      <c r="AE907" s="27">
        <f t="shared" si="318"/>
        <v>5.8558467766040652E-4</v>
      </c>
      <c r="AF907" s="27">
        <f t="shared" si="318"/>
        <v>5.8699724042408691E-4</v>
      </c>
      <c r="AG907" s="27">
        <f t="shared" si="318"/>
        <v>5.8852547780245982E-4</v>
      </c>
      <c r="AH907" s="27">
        <f t="shared" si="318"/>
        <v>5.9008039799106414E-4</v>
      </c>
      <c r="AI907" s="27">
        <f t="shared" si="318"/>
        <v>5.9100081451309786E-4</v>
      </c>
      <c r="AJ907" s="27">
        <f t="shared" si="318"/>
        <v>5.9200813916272929E-4</v>
      </c>
      <c r="AK907" s="27">
        <f t="shared" si="318"/>
        <v>5.9307526025328071E-4</v>
      </c>
      <c r="AL907" s="27">
        <f t="shared" si="318"/>
        <v>5.942161722415414E-4</v>
      </c>
      <c r="AM907" s="27">
        <f t="shared" si="318"/>
        <v>5.9541998695626641E-4</v>
      </c>
      <c r="AN907" s="27">
        <f t="shared" si="318"/>
        <v>5.9606189392580344E-4</v>
      </c>
      <c r="AO907" s="27">
        <f t="shared" si="318"/>
        <v>5.9675021369894824E-4</v>
      </c>
      <c r="AP907" s="27">
        <f t="shared" si="318"/>
        <v>5.9749556471656829E-4</v>
      </c>
      <c r="AQ907" s="27">
        <f t="shared" si="318"/>
        <v>5.9829931979982535E-4</v>
      </c>
      <c r="AR907" s="27">
        <f t="shared" si="318"/>
        <v>5.9916094831137718E-4</v>
      </c>
      <c r="AS907" s="27">
        <f t="shared" si="318"/>
        <v>5.9945405400764929E-4</v>
      </c>
      <c r="AT907" s="27">
        <f t="shared" si="318"/>
        <v>5.9970848295436412E-4</v>
      </c>
      <c r="AU907" s="27">
        <f t="shared" si="318"/>
        <v>6.00001478883441E-4</v>
      </c>
      <c r="AV907" s="27">
        <f t="shared" si="318"/>
        <v>6.0034059567570894E-4</v>
      </c>
      <c r="AW907" s="27">
        <f t="shared" si="318"/>
        <v>6.0072058236705953E-4</v>
      </c>
      <c r="AY907" s="79"/>
      <c r="AZ907" s="79"/>
    </row>
    <row r="908" spans="1:52" x14ac:dyDescent="0.2">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6.6992563985089938E-3</v>
      </c>
      <c r="L908" s="27">
        <f t="shared" si="319"/>
        <v>6.716671231449923E-3</v>
      </c>
      <c r="M908" s="27">
        <f t="shared" si="319"/>
        <v>6.7406943780734313E-3</v>
      </c>
      <c r="N908" s="27">
        <f t="shared" si="319"/>
        <v>6.769960915195136E-3</v>
      </c>
      <c r="O908" s="27">
        <f t="shared" si="319"/>
        <v>6.8044291009834836E-3</v>
      </c>
      <c r="P908" s="27">
        <f t="shared" si="319"/>
        <v>6.8438891439814974E-3</v>
      </c>
      <c r="Q908" s="27">
        <f t="shared" si="319"/>
        <v>6.8863566425632549E-3</v>
      </c>
      <c r="R908" s="27">
        <f t="shared" si="319"/>
        <v>6.9316634884048298E-3</v>
      </c>
      <c r="S908" s="27">
        <f t="shared" si="319"/>
        <v>6.973286937707302E-3</v>
      </c>
      <c r="T908" s="27">
        <f t="shared" si="319"/>
        <v>6.9935499269173423E-3</v>
      </c>
      <c r="U908" s="27">
        <f t="shared" si="319"/>
        <v>7.0153292247027649E-3</v>
      </c>
      <c r="V908" s="27">
        <f t="shared" si="319"/>
        <v>7.0388911725791786E-3</v>
      </c>
      <c r="W908" s="27">
        <f t="shared" si="319"/>
        <v>7.0644944742734297E-3</v>
      </c>
      <c r="X908" s="27">
        <f t="shared" si="319"/>
        <v>7.0916835599794349E-3</v>
      </c>
      <c r="Y908" s="27">
        <f t="shared" si="319"/>
        <v>7.1086810299268487E-3</v>
      </c>
      <c r="Z908" s="27">
        <f t="shared" si="319"/>
        <v>7.1270677913135832E-3</v>
      </c>
      <c r="AA908" s="27">
        <f t="shared" si="319"/>
        <v>7.1467357035915266E-3</v>
      </c>
      <c r="AB908" s="27">
        <f t="shared" si="319"/>
        <v>7.1681154005910717E-3</v>
      </c>
      <c r="AC908" s="27">
        <f t="shared" si="319"/>
        <v>7.1907143792015659E-3</v>
      </c>
      <c r="AD908" s="27">
        <f t="shared" si="319"/>
        <v>7.2054061375440787E-3</v>
      </c>
      <c r="AE908" s="27">
        <f t="shared" si="319"/>
        <v>7.2215871775204617E-3</v>
      </c>
      <c r="AF908" s="27">
        <f t="shared" si="319"/>
        <v>7.2390072800791469E-3</v>
      </c>
      <c r="AG908" s="27">
        <f t="shared" si="319"/>
        <v>7.2578539129862047E-3</v>
      </c>
      <c r="AH908" s="27">
        <f t="shared" si="319"/>
        <v>7.277029605459848E-3</v>
      </c>
      <c r="AI908" s="27">
        <f t="shared" si="319"/>
        <v>7.2883804286747794E-3</v>
      </c>
      <c r="AJ908" s="27">
        <f t="shared" si="319"/>
        <v>7.3008030262100192E-3</v>
      </c>
      <c r="AK908" s="27">
        <f t="shared" si="319"/>
        <v>7.3139630494797169E-3</v>
      </c>
      <c r="AL908" s="27">
        <f t="shared" si="319"/>
        <v>7.3280330818754061E-3</v>
      </c>
      <c r="AM908" s="27">
        <f t="shared" si="319"/>
        <v>7.3428788475513491E-3</v>
      </c>
      <c r="AN908" s="27">
        <f t="shared" si="319"/>
        <v>7.3507950163262765E-3</v>
      </c>
      <c r="AO908" s="27">
        <f t="shared" si="319"/>
        <v>7.3592835602335977E-3</v>
      </c>
      <c r="AP908" s="27">
        <f t="shared" si="319"/>
        <v>7.3684754287317664E-3</v>
      </c>
      <c r="AQ908" s="27">
        <f t="shared" si="319"/>
        <v>7.3783875518192519E-3</v>
      </c>
      <c r="AR908" s="27">
        <f t="shared" si="319"/>
        <v>7.3890133855341444E-3</v>
      </c>
      <c r="AS908" s="27">
        <f t="shared" si="319"/>
        <v>7.3926280435308569E-3</v>
      </c>
      <c r="AT908" s="27">
        <f t="shared" si="319"/>
        <v>7.3957657294869287E-3</v>
      </c>
      <c r="AU908" s="27">
        <f t="shared" si="319"/>
        <v>7.3993790338051698E-3</v>
      </c>
      <c r="AV908" s="27">
        <f t="shared" si="319"/>
        <v>7.4035611129683564E-3</v>
      </c>
      <c r="AW908" s="27">
        <f t="shared" si="319"/>
        <v>7.4082472106798752E-3</v>
      </c>
      <c r="AY908" s="79"/>
      <c r="AZ908" s="79"/>
    </row>
    <row r="909" spans="1:52" x14ac:dyDescent="0.2">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2">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2">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2.6729002214214585E-2</v>
      </c>
      <c r="M911" s="27">
        <f t="shared" si="322"/>
        <v>2.6740992333189322E-2</v>
      </c>
      <c r="N911" s="27">
        <f t="shared" si="322"/>
        <v>2.6495489531984443E-2</v>
      </c>
      <c r="O911" s="27">
        <f t="shared" si="322"/>
        <v>2.609452683304702E-2</v>
      </c>
      <c r="P911" s="27">
        <f t="shared" si="322"/>
        <v>2.5544514050244028E-2</v>
      </c>
      <c r="Q911" s="27">
        <f t="shared" si="322"/>
        <v>2.5145143775072754E-2</v>
      </c>
      <c r="R911" s="27">
        <f t="shared" si="322"/>
        <v>2.4781112413324518E-2</v>
      </c>
      <c r="S911" s="27">
        <f t="shared" si="322"/>
        <v>2.20798204460615E-2</v>
      </c>
      <c r="T911" s="27">
        <f t="shared" si="322"/>
        <v>2.2424557938008405E-2</v>
      </c>
      <c r="U911" s="27">
        <f t="shared" si="322"/>
        <v>2.2570971116616413E-2</v>
      </c>
      <c r="V911" s="27">
        <f t="shared" si="322"/>
        <v>2.2667395166558576E-2</v>
      </c>
      <c r="W911" s="27">
        <f t="shared" si="322"/>
        <v>2.284594133514007E-2</v>
      </c>
      <c r="X911" s="27">
        <f t="shared" si="322"/>
        <v>2.2978923721971391E-2</v>
      </c>
      <c r="Y911" s="27">
        <f t="shared" si="322"/>
        <v>2.3048677917067804E-2</v>
      </c>
      <c r="Z911" s="27">
        <f t="shared" si="322"/>
        <v>2.3091415921174294E-2</v>
      </c>
      <c r="AA911" s="27">
        <f t="shared" si="322"/>
        <v>2.3097213386295078E-2</v>
      </c>
      <c r="AB911" s="27">
        <f t="shared" si="322"/>
        <v>2.323133845353377E-2</v>
      </c>
      <c r="AC911" s="27">
        <f t="shared" si="322"/>
        <v>2.3348495871952417E-2</v>
      </c>
      <c r="AD911" s="27">
        <f t="shared" si="322"/>
        <v>2.3517064058520994E-2</v>
      </c>
      <c r="AE911" s="27">
        <f t="shared" si="322"/>
        <v>2.3801807583193908E-2</v>
      </c>
      <c r="AF911" s="27">
        <f t="shared" si="322"/>
        <v>2.4135258091248658E-2</v>
      </c>
      <c r="AG911" s="27">
        <f t="shared" si="322"/>
        <v>2.4586723078799614E-2</v>
      </c>
      <c r="AH911" s="27">
        <f t="shared" si="322"/>
        <v>2.483044349217995E-2</v>
      </c>
      <c r="AI911" s="27">
        <f t="shared" si="322"/>
        <v>2.5043308594524263E-2</v>
      </c>
      <c r="AJ911" s="27">
        <f t="shared" si="322"/>
        <v>2.531081903004264E-2</v>
      </c>
      <c r="AK911" s="27">
        <f t="shared" si="322"/>
        <v>2.5543075681886771E-2</v>
      </c>
      <c r="AL911" s="27">
        <f t="shared" si="322"/>
        <v>2.5800065264390357E-2</v>
      </c>
      <c r="AM911" s="27">
        <f t="shared" si="322"/>
        <v>2.6050738429193292E-2</v>
      </c>
      <c r="AN911" s="27">
        <f t="shared" si="322"/>
        <v>2.6388228624982798E-2</v>
      </c>
      <c r="AO911" s="27">
        <f t="shared" si="322"/>
        <v>2.6681293830850793E-2</v>
      </c>
      <c r="AP911" s="27">
        <f t="shared" si="322"/>
        <v>2.6974098587187682E-2</v>
      </c>
      <c r="AQ911" s="27">
        <f t="shared" si="322"/>
        <v>2.7277302536496094E-2</v>
      </c>
      <c r="AR911" s="27">
        <f t="shared" si="322"/>
        <v>2.759431398689733E-2</v>
      </c>
      <c r="AS911" s="27">
        <f t="shared" si="322"/>
        <v>2.800744241344803E-2</v>
      </c>
      <c r="AT911" s="27">
        <f t="shared" si="322"/>
        <v>2.8135384789660874E-2</v>
      </c>
      <c r="AU911" s="27">
        <f t="shared" si="322"/>
        <v>2.8237574251430975E-2</v>
      </c>
      <c r="AV911" s="27">
        <f t="shared" si="322"/>
        <v>2.8342961193356213E-2</v>
      </c>
      <c r="AW911" s="27">
        <f t="shared" si="322"/>
        <v>2.8439412611602398E-2</v>
      </c>
      <c r="AY911" s="79"/>
      <c r="AZ911" s="79"/>
    </row>
    <row r="912" spans="1:52" x14ac:dyDescent="0.2">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3.9947810410006996E-3</v>
      </c>
      <c r="M912" s="27">
        <f t="shared" si="323"/>
        <v>3.9965730233416704E-3</v>
      </c>
      <c r="N912" s="27">
        <f t="shared" si="323"/>
        <v>3.9598814204188995E-3</v>
      </c>
      <c r="O912" s="27">
        <f t="shared" si="323"/>
        <v>3.8999555700251322E-3</v>
      </c>
      <c r="P912" s="27">
        <f t="shared" si="323"/>
        <v>3.8177534504158584E-3</v>
      </c>
      <c r="Q912" s="27">
        <f t="shared" si="323"/>
        <v>3.7580655955978051E-3</v>
      </c>
      <c r="R912" s="27">
        <f t="shared" si="323"/>
        <v>3.7036593154610876E-3</v>
      </c>
      <c r="S912" s="27">
        <f t="shared" si="323"/>
        <v>3.2999379250946686E-3</v>
      </c>
      <c r="T912" s="27">
        <f t="shared" si="323"/>
        <v>3.3514606413530125E-3</v>
      </c>
      <c r="U912" s="27">
        <f t="shared" si="323"/>
        <v>3.3733428120890697E-3</v>
      </c>
      <c r="V912" s="27">
        <f t="shared" si="323"/>
        <v>3.3877538613126231E-3</v>
      </c>
      <c r="W912" s="27">
        <f t="shared" si="323"/>
        <v>3.4144384656789365E-3</v>
      </c>
      <c r="X912" s="27">
        <f t="shared" si="323"/>
        <v>3.4343133384273955E-3</v>
      </c>
      <c r="Y912" s="27">
        <f t="shared" si="323"/>
        <v>3.4447384464755082E-3</v>
      </c>
      <c r="Z912" s="27">
        <f t="shared" si="323"/>
        <v>3.4511258517054724E-3</v>
      </c>
      <c r="AA912" s="27">
        <f t="shared" si="323"/>
        <v>3.4519923114245724E-3</v>
      </c>
      <c r="AB912" s="27">
        <f t="shared" si="323"/>
        <v>3.4720379633884583E-3</v>
      </c>
      <c r="AC912" s="27">
        <f t="shared" si="323"/>
        <v>3.4895477166579812E-3</v>
      </c>
      <c r="AD912" s="27">
        <f t="shared" si="323"/>
        <v>3.5147410624635305E-3</v>
      </c>
      <c r="AE912" s="27">
        <f t="shared" si="323"/>
        <v>3.5572973847981574E-3</v>
      </c>
      <c r="AF912" s="27">
        <f t="shared" si="323"/>
        <v>3.6071332057170833E-3</v>
      </c>
      <c r="AG912" s="27">
        <f t="shared" si="323"/>
        <v>3.6746068719052303E-3</v>
      </c>
      <c r="AH912" s="27">
        <f t="shared" si="323"/>
        <v>3.7110320881880462E-3</v>
      </c>
      <c r="AI912" s="27">
        <f t="shared" si="323"/>
        <v>3.7428458262513211E-3</v>
      </c>
      <c r="AJ912" s="27">
        <f t="shared" si="323"/>
        <v>3.7828265785261059E-3</v>
      </c>
      <c r="AK912" s="27">
        <f t="shared" si="323"/>
        <v>3.8175384791798387E-3</v>
      </c>
      <c r="AL912" s="27">
        <f t="shared" si="323"/>
        <v>3.8559468381485868E-3</v>
      </c>
      <c r="AM912" s="27">
        <f t="shared" si="323"/>
        <v>3.8934111773789473E-3</v>
      </c>
      <c r="AN912" s="27">
        <f t="shared" si="323"/>
        <v>3.9438507495282793E-3</v>
      </c>
      <c r="AO912" s="27">
        <f t="shared" si="323"/>
        <v>3.9876507881079406E-3</v>
      </c>
      <c r="AP912" s="27">
        <f t="shared" si="323"/>
        <v>4.0314119012222708E-3</v>
      </c>
      <c r="AQ912" s="27">
        <f t="shared" si="323"/>
        <v>4.0767272249499047E-3</v>
      </c>
      <c r="AR912" s="27">
        <f t="shared" si="323"/>
        <v>4.1241061477280058E-3</v>
      </c>
      <c r="AS912" s="27">
        <f t="shared" si="323"/>
        <v>4.1858502260387767E-3</v>
      </c>
      <c r="AT912" s="27">
        <f t="shared" si="323"/>
        <v>4.2049718443745261E-3</v>
      </c>
      <c r="AU912" s="27">
        <f t="shared" si="323"/>
        <v>4.2202445627946769E-3</v>
      </c>
      <c r="AV912" s="27">
        <f t="shared" si="323"/>
        <v>4.2359951603739652E-3</v>
      </c>
      <c r="AW912" s="27">
        <f t="shared" si="323"/>
        <v>4.2504102999253611E-3</v>
      </c>
      <c r="AY912" s="79"/>
      <c r="AZ912" s="79"/>
    </row>
    <row r="913" spans="1:52" x14ac:dyDescent="0.2">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1.7066731126843742E-2</v>
      </c>
      <c r="M913" s="27">
        <f t="shared" si="324"/>
        <v>1.7464259263446445E-2</v>
      </c>
      <c r="N913" s="27">
        <f t="shared" si="324"/>
        <v>1.77694513935726E-2</v>
      </c>
      <c r="O913" s="27">
        <f t="shared" si="324"/>
        <v>1.8014444056791572E-2</v>
      </c>
      <c r="P913" s="27">
        <f t="shared" si="324"/>
        <v>1.8197780265539365E-2</v>
      </c>
      <c r="Q913" s="27">
        <f t="shared" si="324"/>
        <v>1.8432867891885713E-2</v>
      </c>
      <c r="R913" s="27">
        <f t="shared" si="324"/>
        <v>1.8677293946611207E-2</v>
      </c>
      <c r="S913" s="27">
        <f t="shared" si="324"/>
        <v>1.7930195532315427E-2</v>
      </c>
      <c r="T913" s="27">
        <f t="shared" si="324"/>
        <v>1.8405757792115097E-2</v>
      </c>
      <c r="U913" s="27">
        <f t="shared" si="324"/>
        <v>1.880256719318036E-2</v>
      </c>
      <c r="V913" s="27">
        <f t="shared" si="324"/>
        <v>1.9182022263661121E-2</v>
      </c>
      <c r="W913" s="27">
        <f t="shared" si="324"/>
        <v>1.9603893406791358E-2</v>
      </c>
      <c r="X913" s="27">
        <f t="shared" si="324"/>
        <v>2.0010576837223248E-2</v>
      </c>
      <c r="Y913" s="27">
        <f t="shared" si="324"/>
        <v>2.0375728845723119E-2</v>
      </c>
      <c r="Z913" s="27">
        <f t="shared" si="324"/>
        <v>2.0731756448222814E-2</v>
      </c>
      <c r="AA913" s="27">
        <f t="shared" si="324"/>
        <v>2.1073019561660463E-2</v>
      </c>
      <c r="AB913" s="27">
        <f t="shared" si="324"/>
        <v>2.148336106919314E-2</v>
      </c>
      <c r="AC913" s="27">
        <f t="shared" si="324"/>
        <v>2.1890889267126682E-2</v>
      </c>
      <c r="AD913" s="27">
        <f t="shared" si="324"/>
        <v>2.231803440740647E-2</v>
      </c>
      <c r="AE913" s="27">
        <f t="shared" si="324"/>
        <v>2.2815454137105083E-2</v>
      </c>
      <c r="AF913" s="27">
        <f t="shared" si="324"/>
        <v>2.3349632701496571E-2</v>
      </c>
      <c r="AG913" s="27">
        <f t="shared" si="324"/>
        <v>2.396171160946152E-2</v>
      </c>
      <c r="AH913" s="27">
        <f t="shared" si="324"/>
        <v>2.4467658584898602E-2</v>
      </c>
      <c r="AI913" s="27">
        <f t="shared" si="324"/>
        <v>2.4951748693606203E-2</v>
      </c>
      <c r="AJ913" s="27">
        <f t="shared" si="324"/>
        <v>2.5477604150305377E-2</v>
      </c>
      <c r="AK913" s="27">
        <f t="shared" si="324"/>
        <v>2.5992359314301834E-2</v>
      </c>
      <c r="AL913" s="27">
        <f t="shared" si="324"/>
        <v>2.6532480091102609E-2</v>
      </c>
      <c r="AM913" s="27">
        <f t="shared" si="324"/>
        <v>2.7079400048144214E-2</v>
      </c>
      <c r="AN913" s="27">
        <f t="shared" si="324"/>
        <v>2.7680885364723965E-2</v>
      </c>
      <c r="AO913" s="27">
        <f t="shared" si="324"/>
        <v>2.8266293672037732E-2</v>
      </c>
      <c r="AP913" s="27">
        <f t="shared" si="324"/>
        <v>2.886402430987451E-2</v>
      </c>
      <c r="AQ913" s="27">
        <f t="shared" si="324"/>
        <v>2.9481723037787178E-2</v>
      </c>
      <c r="AR913" s="27">
        <f t="shared" si="324"/>
        <v>3.0122536424733722E-2</v>
      </c>
      <c r="AS913" s="27">
        <f t="shared" si="324"/>
        <v>3.0832887052217536E-2</v>
      </c>
      <c r="AT913" s="27">
        <f t="shared" si="324"/>
        <v>3.1354014072341549E-2</v>
      </c>
      <c r="AU913" s="27">
        <f t="shared" si="324"/>
        <v>3.1866079427096267E-2</v>
      </c>
      <c r="AV913" s="27">
        <f t="shared" si="324"/>
        <v>3.2390073533933091E-2</v>
      </c>
      <c r="AW913" s="27">
        <f t="shared" si="324"/>
        <v>3.2917174163896501E-2</v>
      </c>
      <c r="AY913" s="79"/>
      <c r="AZ913" s="79"/>
    </row>
    <row r="914" spans="1:52" x14ac:dyDescent="0.2">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7.758579791322931E-2</v>
      </c>
      <c r="L914" s="27">
        <f t="shared" si="325"/>
        <v>7.860746419754247E-2</v>
      </c>
      <c r="M914" s="27">
        <f t="shared" si="325"/>
        <v>8.0248553313821205E-2</v>
      </c>
      <c r="N914" s="27">
        <f t="shared" si="325"/>
        <v>8.0719757945382262E-2</v>
      </c>
      <c r="O914" s="27">
        <f t="shared" si="325"/>
        <v>8.0430818839717741E-2</v>
      </c>
      <c r="P914" s="27">
        <f t="shared" si="325"/>
        <v>7.938481013134728E-2</v>
      </c>
      <c r="Q914" s="27">
        <f t="shared" si="325"/>
        <v>7.8944464359385597E-2</v>
      </c>
      <c r="R914" s="27">
        <f t="shared" si="325"/>
        <v>7.8604018955287305E-2</v>
      </c>
      <c r="S914" s="27">
        <f t="shared" si="325"/>
        <v>6.7197980387573103E-2</v>
      </c>
      <c r="T914" s="27">
        <f t="shared" si="325"/>
        <v>7.0159754352377118E-2</v>
      </c>
      <c r="U914" s="27">
        <f t="shared" si="325"/>
        <v>7.2200774862602818E-2</v>
      </c>
      <c r="V914" s="27">
        <f t="shared" si="325"/>
        <v>7.4012137517044677E-2</v>
      </c>
      <c r="W914" s="27">
        <f t="shared" si="325"/>
        <v>7.624234611790702E-2</v>
      </c>
      <c r="X914" s="27">
        <f t="shared" si="325"/>
        <v>7.8266654922264395E-2</v>
      </c>
      <c r="Y914" s="27">
        <f t="shared" si="325"/>
        <v>8.0053392548698518E-2</v>
      </c>
      <c r="Z914" s="27">
        <f t="shared" si="325"/>
        <v>8.1713475036097147E-2</v>
      </c>
      <c r="AA914" s="27">
        <f t="shared" si="325"/>
        <v>8.3191126783030381E-2</v>
      </c>
      <c r="AB914" s="27">
        <f t="shared" si="325"/>
        <v>8.5356141752823037E-2</v>
      </c>
      <c r="AC914" s="27">
        <f t="shared" si="325"/>
        <v>8.7456207764297841E-2</v>
      </c>
      <c r="AD914" s="27">
        <f t="shared" si="325"/>
        <v>8.9913243198059017E-2</v>
      </c>
      <c r="AE914" s="27">
        <f t="shared" si="325"/>
        <v>9.3044085798014903E-2</v>
      </c>
      <c r="AF914" s="27">
        <f t="shared" si="325"/>
        <v>9.6498642598308926E-2</v>
      </c>
      <c r="AG914" s="27">
        <f t="shared" si="325"/>
        <v>0.10068056666272467</v>
      </c>
      <c r="AH914" s="27">
        <f t="shared" si="325"/>
        <v>0.10375441633368165</v>
      </c>
      <c r="AI914" s="27">
        <f t="shared" si="325"/>
        <v>0.10675032554756632</v>
      </c>
      <c r="AJ914" s="27">
        <f t="shared" si="325"/>
        <v>0.11011636525105389</v>
      </c>
      <c r="AK914" s="27">
        <f t="shared" si="325"/>
        <v>0.11333263880247381</v>
      </c>
      <c r="AL914" s="27">
        <f t="shared" si="325"/>
        <v>0.11675404817895949</v>
      </c>
      <c r="AM914" s="27">
        <f t="shared" si="325"/>
        <v>0.12019911578989917</v>
      </c>
      <c r="AN914" s="27">
        <f t="shared" si="325"/>
        <v>0.12428786174834884</v>
      </c>
      <c r="AO914" s="27">
        <f t="shared" si="325"/>
        <v>0.12817821089097012</v>
      </c>
      <c r="AP914" s="27">
        <f t="shared" si="325"/>
        <v>0.13214154239239112</v>
      </c>
      <c r="AQ914" s="27">
        <f t="shared" si="325"/>
        <v>0.13624857972153667</v>
      </c>
      <c r="AR914" s="27">
        <f t="shared" si="325"/>
        <v>0.14052656296513075</v>
      </c>
      <c r="AS914" s="27">
        <f t="shared" si="325"/>
        <v>0.14556766568145355</v>
      </c>
      <c r="AT914" s="27">
        <f t="shared" si="325"/>
        <v>0.14881423347183564</v>
      </c>
      <c r="AU914" s="27">
        <f t="shared" si="325"/>
        <v>0.15194631854950416</v>
      </c>
      <c r="AV914" s="27">
        <f t="shared" si="325"/>
        <v>0.15515723544633972</v>
      </c>
      <c r="AW914" s="27">
        <f t="shared" si="325"/>
        <v>0.15836593511039121</v>
      </c>
      <c r="AY914" s="79"/>
      <c r="AZ914" s="79"/>
    </row>
    <row r="916" spans="1:52" x14ac:dyDescent="0.2">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72.649957574793405</v>
      </c>
      <c r="M916" s="27">
        <f t="shared" si="327"/>
        <v>73.223011790998029</v>
      </c>
      <c r="N916" s="27">
        <f t="shared" si="327"/>
        <v>73.591260167761035</v>
      </c>
      <c r="O916" s="27">
        <f t="shared" si="327"/>
        <v>73.83596289834658</v>
      </c>
      <c r="P916" s="27">
        <f t="shared" si="327"/>
        <v>73.954711561483904</v>
      </c>
      <c r="Q916" s="27">
        <f t="shared" si="327"/>
        <v>74.217071552078707</v>
      </c>
      <c r="R916" s="27">
        <f t="shared" si="327"/>
        <v>74.518042528471312</v>
      </c>
      <c r="S916" s="27">
        <f t="shared" si="327"/>
        <v>72.478094892813189</v>
      </c>
      <c r="T916" s="27">
        <f t="shared" si="327"/>
        <v>73.311025871745997</v>
      </c>
      <c r="U916" s="27">
        <f t="shared" si="327"/>
        <v>73.963715162788233</v>
      </c>
      <c r="V916" s="27">
        <f t="shared" si="327"/>
        <v>74.582066548206157</v>
      </c>
      <c r="W916" s="27">
        <f t="shared" si="327"/>
        <v>75.304979725957494</v>
      </c>
      <c r="X916" s="27">
        <f t="shared" si="327"/>
        <v>75.997294225765899</v>
      </c>
      <c r="Y916" s="27">
        <f t="shared" si="327"/>
        <v>76.577933644130326</v>
      </c>
      <c r="Z916" s="27">
        <f t="shared" si="327"/>
        <v>77.142446023883181</v>
      </c>
      <c r="AA916" s="27">
        <f t="shared" si="327"/>
        <v>77.677893567914339</v>
      </c>
      <c r="AB916" s="27">
        <f t="shared" si="327"/>
        <v>78.37441564319947</v>
      </c>
      <c r="AC916" s="27">
        <f t="shared" si="327"/>
        <v>79.067356094429798</v>
      </c>
      <c r="AD916" s="27">
        <f t="shared" si="327"/>
        <v>79.790293378056347</v>
      </c>
      <c r="AE916" s="27">
        <f t="shared" si="327"/>
        <v>80.672260630147306</v>
      </c>
      <c r="AF916" s="27">
        <f t="shared" si="327"/>
        <v>81.636452435438088</v>
      </c>
      <c r="AG916" s="27">
        <f t="shared" si="327"/>
        <v>82.773036285937067</v>
      </c>
      <c r="AH916" s="27">
        <f t="shared" si="327"/>
        <v>83.673213555783462</v>
      </c>
      <c r="AI916" s="27">
        <f t="shared" si="327"/>
        <v>84.509468484147618</v>
      </c>
      <c r="AJ916" s="27">
        <f t="shared" si="327"/>
        <v>85.437405417007412</v>
      </c>
      <c r="AK916" s="27">
        <f t="shared" si="327"/>
        <v>86.340426432642914</v>
      </c>
      <c r="AL916" s="27">
        <f t="shared" si="327"/>
        <v>87.298123970536111</v>
      </c>
      <c r="AM916" s="27">
        <f t="shared" si="327"/>
        <v>88.26958854165197</v>
      </c>
      <c r="AN916" s="27">
        <f t="shared" si="327"/>
        <v>89.343200001219728</v>
      </c>
      <c r="AO916" s="27">
        <f t="shared" si="327"/>
        <v>90.380141784312926</v>
      </c>
      <c r="AP916" s="27">
        <f t="shared" si="327"/>
        <v>91.441734143781034</v>
      </c>
      <c r="AQ916" s="27">
        <f t="shared" si="327"/>
        <v>92.544073659173904</v>
      </c>
      <c r="AR916" s="27">
        <f t="shared" si="327"/>
        <v>93.693462393833215</v>
      </c>
      <c r="AS916" s="27">
        <f t="shared" si="327"/>
        <v>94.97329819439031</v>
      </c>
      <c r="AT916" s="27">
        <f t="shared" si="327"/>
        <v>95.848626267420912</v>
      </c>
      <c r="AU916" s="27">
        <f t="shared" si="327"/>
        <v>96.703822926377612</v>
      </c>
      <c r="AV916" s="27">
        <f t="shared" si="327"/>
        <v>97.583252765683682</v>
      </c>
      <c r="AW916" s="27">
        <f t="shared" si="327"/>
        <v>98.468144480515292</v>
      </c>
      <c r="AY916" s="79"/>
      <c r="AZ916" s="79"/>
    </row>
    <row r="917" spans="1:52" x14ac:dyDescent="0.2">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58.1066387636453</v>
      </c>
      <c r="M917" s="27">
        <f t="shared" si="328"/>
        <v>58.564977012483297</v>
      </c>
      <c r="N917" s="27">
        <f t="shared" si="328"/>
        <v>58.859508160444918</v>
      </c>
      <c r="O917" s="27">
        <f t="shared" si="328"/>
        <v>59.055225455337663</v>
      </c>
      <c r="P917" s="27">
        <f t="shared" si="328"/>
        <v>59.150202601958597</v>
      </c>
      <c r="Q917" s="27">
        <f t="shared" si="328"/>
        <v>59.360042465716688</v>
      </c>
      <c r="R917" s="27">
        <f t="shared" si="328"/>
        <v>59.600764035107602</v>
      </c>
      <c r="S917" s="27">
        <f t="shared" si="328"/>
        <v>57.969180145469302</v>
      </c>
      <c r="T917" s="27">
        <f t="shared" si="328"/>
        <v>58.635372131308685</v>
      </c>
      <c r="U917" s="27">
        <f t="shared" si="328"/>
        <v>59.157403831333383</v>
      </c>
      <c r="V917" s="27">
        <f t="shared" si="328"/>
        <v>59.65197150598739</v>
      </c>
      <c r="W917" s="27">
        <f t="shared" si="328"/>
        <v>60.230169433134556</v>
      </c>
      <c r="X917" s="27">
        <f t="shared" si="328"/>
        <v>60.783894031112283</v>
      </c>
      <c r="Y917" s="27">
        <f t="shared" si="328"/>
        <v>61.248299050208132</v>
      </c>
      <c r="Z917" s="27">
        <f t="shared" si="328"/>
        <v>61.699805396844816</v>
      </c>
      <c r="AA917" s="27">
        <f t="shared" si="327"/>
        <v>62.128065206712812</v>
      </c>
      <c r="AB917" s="27">
        <f t="shared" si="327"/>
        <v>62.685155093211797</v>
      </c>
      <c r="AC917" s="27">
        <f t="shared" si="327"/>
        <v>63.239380337499199</v>
      </c>
      <c r="AD917" s="27">
        <f t="shared" si="327"/>
        <v>63.817597544924432</v>
      </c>
      <c r="AE917" s="27">
        <f t="shared" si="327"/>
        <v>64.523009553814518</v>
      </c>
      <c r="AF917" s="27">
        <f t="shared" si="327"/>
        <v>65.294186121553309</v>
      </c>
      <c r="AG917" s="27">
        <f t="shared" si="327"/>
        <v>66.203244700941269</v>
      </c>
      <c r="AH917" s="27">
        <f t="shared" si="327"/>
        <v>66.923221383492788</v>
      </c>
      <c r="AI917" s="27">
        <f t="shared" si="327"/>
        <v>67.592071919114218</v>
      </c>
      <c r="AJ917" s="27">
        <f t="shared" si="327"/>
        <v>68.334251239695618</v>
      </c>
      <c r="AK917" s="27">
        <f t="shared" si="327"/>
        <v>69.056502397206529</v>
      </c>
      <c r="AL917" s="27">
        <f t="shared" si="327"/>
        <v>69.822484742370364</v>
      </c>
      <c r="AM917" s="27">
        <f t="shared" si="327"/>
        <v>70.599478188614199</v>
      </c>
      <c r="AN917" s="27">
        <f t="shared" si="327"/>
        <v>71.458170407248886</v>
      </c>
      <c r="AO917" s="27">
        <f t="shared" si="327"/>
        <v>72.287533611585175</v>
      </c>
      <c r="AP917" s="27">
        <f t="shared" si="327"/>
        <v>73.136612754988022</v>
      </c>
      <c r="AQ917" s="27">
        <f t="shared" si="327"/>
        <v>74.018282148254812</v>
      </c>
      <c r="AR917" s="27">
        <f t="shared" si="327"/>
        <v>74.937582285974699</v>
      </c>
      <c r="AS917" s="27">
        <f t="shared" si="327"/>
        <v>75.96121614650643</v>
      </c>
      <c r="AT917" s="27">
        <f t="shared" si="327"/>
        <v>76.661318030074682</v>
      </c>
      <c r="AU917" s="27">
        <f t="shared" si="327"/>
        <v>77.345318475397917</v>
      </c>
      <c r="AV917" s="27">
        <f t="shared" si="327"/>
        <v>78.048701019536637</v>
      </c>
      <c r="AW917" s="27">
        <f t="shared" si="327"/>
        <v>78.756452062140184</v>
      </c>
      <c r="AY917" s="79"/>
      <c r="AZ917" s="79"/>
    </row>
    <row r="918" spans="1:52" x14ac:dyDescent="0.2">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26.272250579806308</v>
      </c>
      <c r="M918" s="27">
        <f t="shared" si="327"/>
        <v>26.479482964607669</v>
      </c>
      <c r="N918" s="27">
        <f t="shared" si="327"/>
        <v>26.61265184663991</v>
      </c>
      <c r="O918" s="27">
        <f t="shared" si="327"/>
        <v>26.701143177813606</v>
      </c>
      <c r="P918" s="27">
        <f t="shared" si="327"/>
        <v>26.744086005835889</v>
      </c>
      <c r="Q918" s="27">
        <f t="shared" si="327"/>
        <v>26.838962694620271</v>
      </c>
      <c r="R918" s="27">
        <f t="shared" si="327"/>
        <v>26.947802192577246</v>
      </c>
      <c r="S918" s="27">
        <f t="shared" si="327"/>
        <v>26.210100241429942</v>
      </c>
      <c r="T918" s="27">
        <f t="shared" si="327"/>
        <v>26.511311310571692</v>
      </c>
      <c r="U918" s="27">
        <f t="shared" si="327"/>
        <v>26.747341959142467</v>
      </c>
      <c r="V918" s="27">
        <f t="shared" si="327"/>
        <v>26.970955063490745</v>
      </c>
      <c r="W918" s="27">
        <f t="shared" si="327"/>
        <v>27.232380627762737</v>
      </c>
      <c r="X918" s="27">
        <f t="shared" si="327"/>
        <v>27.482740856814136</v>
      </c>
      <c r="Y918" s="27">
        <f t="shared" si="327"/>
        <v>27.692716262237859</v>
      </c>
      <c r="Z918" s="27">
        <f t="shared" si="327"/>
        <v>27.896859680780135</v>
      </c>
      <c r="AA918" s="27">
        <f t="shared" si="327"/>
        <v>28.09049244422182</v>
      </c>
      <c r="AB918" s="27">
        <f t="shared" si="327"/>
        <v>28.342374249898288</v>
      </c>
      <c r="AC918" s="27">
        <f t="shared" si="327"/>
        <v>28.592960840439176</v>
      </c>
      <c r="AD918" s="27">
        <f t="shared" si="327"/>
        <v>28.854395122067867</v>
      </c>
      <c r="AE918" s="27">
        <f t="shared" si="327"/>
        <v>29.173339075011846</v>
      </c>
      <c r="AF918" s="27">
        <f t="shared" si="327"/>
        <v>29.522017719311339</v>
      </c>
      <c r="AG918" s="27">
        <f t="shared" si="327"/>
        <v>29.9330381344923</v>
      </c>
      <c r="AH918" s="27">
        <f t="shared" si="327"/>
        <v>30.258567337662207</v>
      </c>
      <c r="AI918" s="27">
        <f t="shared" si="327"/>
        <v>30.560980439610169</v>
      </c>
      <c r="AJ918" s="27">
        <f t="shared" si="327"/>
        <v>30.896548311033232</v>
      </c>
      <c r="AK918" s="27">
        <f t="shared" si="327"/>
        <v>31.223105891981344</v>
      </c>
      <c r="AL918" s="27">
        <f t="shared" si="327"/>
        <v>31.569436028090372</v>
      </c>
      <c r="AM918" s="27">
        <f t="shared" si="327"/>
        <v>31.920744707320974</v>
      </c>
      <c r="AN918" s="27">
        <f t="shared" si="327"/>
        <v>32.308992549889602</v>
      </c>
      <c r="AO918" s="27">
        <f t="shared" si="327"/>
        <v>32.683979614872385</v>
      </c>
      <c r="AP918" s="27">
        <f t="shared" si="327"/>
        <v>33.067881015679681</v>
      </c>
      <c r="AQ918" s="27">
        <f t="shared" si="327"/>
        <v>33.466517724346836</v>
      </c>
      <c r="AR918" s="27">
        <f t="shared" si="327"/>
        <v>33.882168742717873</v>
      </c>
      <c r="AS918" s="27">
        <f t="shared" si="327"/>
        <v>34.344993057771696</v>
      </c>
      <c r="AT918" s="27">
        <f t="shared" si="327"/>
        <v>34.661536098426936</v>
      </c>
      <c r="AU918" s="27">
        <f t="shared" si="327"/>
        <v>34.970799058367312</v>
      </c>
      <c r="AV918" s="27">
        <f t="shared" si="327"/>
        <v>35.288825412089835</v>
      </c>
      <c r="AW918" s="27">
        <f t="shared" si="327"/>
        <v>35.608826932312567</v>
      </c>
      <c r="AY918" s="79"/>
      <c r="AZ918" s="79"/>
    </row>
    <row r="919" spans="1:52" x14ac:dyDescent="0.2">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463.23498593143194</v>
      </c>
      <c r="L919" s="93">
        <f>IF('Net zero activities &amp; levers'!$C$12="Off",('Activity data'!AE8*EF!$H7)*kgtoGg,('Net zero Activity data'!AE8*EF!$H7)*kgtoGg)</f>
        <v>459.21749683621613</v>
      </c>
      <c r="M919" s="93">
        <f>IF('Net zero activities &amp; levers'!$C$12="Off",('Activity data'!AF8*EF!$H7)*kgtoGg,('Net zero Activity data'!AF8*EF!$H7)*kgtoGg)</f>
        <v>457.68816035731248</v>
      </c>
      <c r="N919" s="93">
        <f>IF('Net zero activities &amp; levers'!$C$12="Off",('Activity data'!AG8*EF!$H7)*kgtoGg,('Net zero Activity data'!AG8*EF!$H7)*kgtoGg)</f>
        <v>451.57633407663525</v>
      </c>
      <c r="O919" s="93">
        <f>IF('Net zero activities &amp; levers'!$C$12="Off",('Activity data'!AH8*EF!$H7)*kgtoGg,('Net zero Activity data'!AH8*EF!$H7)*kgtoGg)</f>
        <v>442.70486896910745</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367.15498253629937</v>
      </c>
      <c r="T919" s="93">
        <f>IF('Net zero activities &amp; levers'!$C$12="Off",('Activity data'!AM8*EF!$H7)*kgtoGg,('Net zero Activity data'!AM8*EF!$H7)*kgtoGg)</f>
        <v>374.17792302484366</v>
      </c>
      <c r="U919" s="93">
        <f>IF('Net zero activities &amp; levers'!$C$12="Off",('Activity data'!AN8*EF!$H7)*kgtoGg,('Net zero Activity data'!AN8*EF!$H7)*kgtoGg)</f>
        <v>377.93282085404854</v>
      </c>
      <c r="V919" s="93">
        <f>IF('Net zero activities &amp; levers'!$C$12="Off",('Activity data'!AO8*EF!$H7)*kgtoGg,('Net zero Activity data'!AO8*EF!$H7)*kgtoGg)</f>
        <v>380.82330647770999</v>
      </c>
      <c r="W919" s="93">
        <f>IF('Net zero activities &amp; levers'!$C$12="Off",('Activity data'!AP8*EF!$H7)*kgtoGg,('Net zero Activity data'!AP8*EF!$H7)*kgtoGg)</f>
        <v>385.00539013713677</v>
      </c>
      <c r="X919" s="93">
        <f>IF('Net zero activities &amp; levers'!$C$12="Off",('Activity data'!AQ8*EF!$H7)*kgtoGg,('Net zero Activity data'!AQ8*EF!$H7)*kgtoGg)</f>
        <v>388.39937435322344</v>
      </c>
      <c r="Y919" s="93">
        <f>IF('Net zero activities &amp; levers'!$C$12="Off",('Activity data'!AR8*EF!$H7)*kgtoGg,('Net zero Activity data'!AR8*EF!$H7)*kgtoGg)</f>
        <v>390.58732526700504</v>
      </c>
      <c r="Z919" s="93">
        <f>IF('Net zero activities &amp; levers'!$C$12="Off",('Activity data'!AS8*EF!$H7)*kgtoGg,('Net zero Activity data'!AS8*EF!$H7)*kgtoGg)</f>
        <v>392.29048134112935</v>
      </c>
      <c r="AA919" s="93">
        <f>IF('Net zero activities &amp; levers'!$C$12="Off",('Activity data'!AT8*EF!$H7)*kgtoGg,('Net zero Activity data'!AT8*EF!$H7)*kgtoGg)</f>
        <v>393.3460659926933</v>
      </c>
      <c r="AB919" s="93">
        <f>IF('Net zero activities &amp; levers'!$C$12="Off",('Activity data'!AU8*EF!$H7)*kgtoGg,('Net zero Activity data'!AU8*EF!$H7)*kgtoGg)</f>
        <v>396.4710114468906</v>
      </c>
      <c r="AC919" s="93">
        <f>IF('Net zero activities &amp; levers'!$C$12="Off",('Activity data'!AV8*EF!$H7)*kgtoGg,('Net zero Activity data'!AV8*EF!$H7)*kgtoGg)</f>
        <v>399.28270780279126</v>
      </c>
      <c r="AD919" s="93">
        <f>IF('Net zero activities &amp; levers'!$C$12="Off",('Activity data'!AW8*EF!$H7)*kgtoGg,('Net zero Activity data'!AW8*EF!$H7)*kgtoGg)</f>
        <v>399.42772456608003</v>
      </c>
      <c r="AE919" s="93">
        <f>IF('Net zero activities &amp; levers'!$C$12="Off",('Activity data'!AX8*EF!$H7)*kgtoGg,('Net zero Activity data'!AX8*EF!$H7)*kgtoGg)</f>
        <v>401.31130224565624</v>
      </c>
      <c r="AF919" s="93">
        <f>IF('Net zero activities &amp; levers'!$C$12="Off",('Activity data'!AY8*EF!$H7)*kgtoGg,('Net zero Activity data'!AY8*EF!$H7)*kgtoGg)</f>
        <v>403.80208635683084</v>
      </c>
      <c r="AG919" s="93">
        <f>IF('Net zero activities &amp; levers'!$C$12="Off",('Activity data'!AZ8*EF!$H7)*kgtoGg,('Net zero Activity data'!AZ8*EF!$H7)*kgtoGg)</f>
        <v>407.98386284391222</v>
      </c>
      <c r="AH919" s="93">
        <f>IF('Net zero activities &amp; levers'!$C$12="Off",('Activity data'!BA8*EF!$H7)*kgtoGg,('Net zero Activity data'!BA8*EF!$H7)*kgtoGg)</f>
        <v>408.65175931008923</v>
      </c>
      <c r="AI919" s="93">
        <f>IF('Net zero activities &amp; levers'!$C$12="Off",('Activity data'!BB8*EF!$H7)*kgtoGg,('Net zero Activity data'!BB8*EF!$H7)*kgtoGg)</f>
        <v>408.58164952357384</v>
      </c>
      <c r="AJ919" s="93">
        <f>IF('Net zero activities &amp; levers'!$C$12="Off",('Activity data'!BC8*EF!$H7)*kgtoGg,('Net zero Activity data'!BC8*EF!$H7)*kgtoGg)</f>
        <v>409.1951949125646</v>
      </c>
      <c r="AK919" s="93">
        <f>IF('Net zero activities &amp; levers'!$C$12="Off",('Activity data'!BD8*EF!$H7)*kgtoGg,('Net zero Activity data'!BD8*EF!$H7)*kgtoGg)</f>
        <v>409.08195160336288</v>
      </c>
      <c r="AL919" s="93">
        <f>IF('Net zero activities &amp; levers'!$C$12="Off",('Activity data'!BE8*EF!$H7)*kgtoGg,('Net zero Activity data'!BE8*EF!$H7)*kgtoGg)</f>
        <v>409.16859653567815</v>
      </c>
      <c r="AM919" s="93">
        <f>IF('Net zero activities &amp; levers'!$C$12="Off",('Activity data'!BF8*EF!$H7)*kgtoGg,('Net zero Activity data'!BF8*EF!$H7)*kgtoGg)</f>
        <v>408.97195804089159</v>
      </c>
      <c r="AN919" s="93">
        <f>IF('Net zero activities &amp; levers'!$C$12="Off",('Activity data'!BG8*EF!$H7)*kgtoGg,('Net zero Activity data'!BG8*EF!$H7)*kgtoGg)</f>
        <v>411.90729074702386</v>
      </c>
      <c r="AO919" s="93">
        <f>IF('Net zero activities &amp; levers'!$C$12="Off",('Activity data'!BH8*EF!$H7)*kgtoGg,('Net zero Activity data'!BH8*EF!$H7)*kgtoGg)</f>
        <v>414.05465326248105</v>
      </c>
      <c r="AP919" s="93">
        <f>IF('Net zero activities &amp; levers'!$C$12="Off",('Activity data'!BI8*EF!$H7)*kgtoGg,('Net zero Activity data'!BI8*EF!$H7)*kgtoGg)</f>
        <v>416.07811841242483</v>
      </c>
      <c r="AQ919" s="93">
        <f>IF('Net zero activities &amp; levers'!$C$12="Off",('Activity data'!BJ8*EF!$H7)*kgtoGg,('Net zero Activity data'!BJ8*EF!$H7)*kgtoGg)</f>
        <v>418.1325060798996</v>
      </c>
      <c r="AR919" s="93">
        <f>IF('Net zero activities &amp; levers'!$C$12="Off",('Activity data'!BK8*EF!$H7)*kgtoGg,('Net zero Activity data'!BK8*EF!$H7)*kgtoGg)</f>
        <v>420.26236757752156</v>
      </c>
      <c r="AS919" s="93">
        <f>IF('Net zero activities &amp; levers'!$C$12="Off",('Activity data'!BL8*EF!$H7)*kgtoGg,('Net zero Activity data'!BL8*EF!$H7)*kgtoGg)</f>
        <v>423.60010489867818</v>
      </c>
      <c r="AT919" s="93">
        <f>IF('Net zero activities &amp; levers'!$C$12="Off",('Activity data'!BM8*EF!$H7)*kgtoGg,('Net zero Activity data'!BM8*EF!$H7)*kgtoGg)</f>
        <v>422.65999996405498</v>
      </c>
      <c r="AU919" s="93">
        <f>IF('Net zero activities &amp; levers'!$C$12="Off",('Activity data'!BN8*EF!$H7)*kgtoGg,('Net zero Activity data'!BN8*EF!$H7)*kgtoGg)</f>
        <v>421.25049365965373</v>
      </c>
      <c r="AV919" s="93">
        <f>IF('Net zero activities &amp; levers'!$C$12="Off",('Activity data'!BO8*EF!$H7)*kgtoGg,('Net zero Activity data'!BO8*EF!$H7)*kgtoGg)</f>
        <v>419.79062743125479</v>
      </c>
      <c r="AW919" s="93">
        <f>IF('Net zero activities &amp; levers'!$C$12="Off",('Activity data'!BP8*EF!$H7)*kgtoGg,('Net zero Activity data'!BP8*EF!$H7)*kgtoGg)</f>
        <v>418.10572325664367</v>
      </c>
      <c r="AY919" s="79"/>
      <c r="AZ919" s="79"/>
    </row>
    <row r="920" spans="1:52" x14ac:dyDescent="0.2">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326.20040935577742</v>
      </c>
      <c r="L920" s="93">
        <f>IF('Net zero activities &amp; levers'!$C$12="Off",('Activity data'!AE9*EF!$H8)*kgtoGg,('Net zero Activity data'!AE9*EF!$H8)*kgtoGg)</f>
        <v>323.37137738012325</v>
      </c>
      <c r="M920" s="93">
        <f>IF('Net zero activities &amp; levers'!$C$12="Off",('Activity data'!AF9*EF!$H8)*kgtoGg,('Net zero Activity data'!AF9*EF!$H8)*kgtoGg)</f>
        <v>322.29445054900748</v>
      </c>
      <c r="N920" s="93">
        <f>IF('Net zero activities &amp; levers'!$C$12="Off",('Activity data'!AG9*EF!$H8)*kgtoGg,('Net zero Activity data'!AG9*EF!$H8)*kgtoGg)</f>
        <v>317.99063003627219</v>
      </c>
      <c r="O920" s="93">
        <f>IF('Net zero activities &amp; levers'!$C$12="Off",('Activity data'!AH9*EF!$H8)*kgtoGg,('Net zero Activity data'!AH9*EF!$H8)*kgtoGg)</f>
        <v>311.74352945546798</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258.54287615936238</v>
      </c>
      <c r="T920" s="93">
        <f>IF('Net zero activities &amp; levers'!$C$12="Off",('Activity data'!AM9*EF!$H8)*kgtoGg,('Net zero Activity data'!AM9*EF!$H8)*kgtoGg)</f>
        <v>263.48828428227887</v>
      </c>
      <c r="U920" s="93">
        <f>IF('Net zero activities &amp; levers'!$C$12="Off",('Activity data'!AN9*EF!$H8)*kgtoGg,('Net zero Activity data'!AN9*EF!$H8)*kgtoGg)</f>
        <v>266.13240496870094</v>
      </c>
      <c r="V920" s="93">
        <f>IF('Net zero activities &amp; levers'!$C$12="Off",('Activity data'!AO9*EF!$H8)*kgtoGg,('Net zero Activity data'!AO9*EF!$H8)*kgtoGg)</f>
        <v>268.167824620305</v>
      </c>
      <c r="W920" s="93">
        <f>IF('Net zero activities &amp; levers'!$C$12="Off",('Activity data'!AP9*EF!$H8)*kgtoGg,('Net zero Activity data'!AP9*EF!$H8)*kgtoGg)</f>
        <v>271.11276065297989</v>
      </c>
      <c r="X920" s="93">
        <f>IF('Net zero activities &amp; levers'!$C$12="Off",('Activity data'!AQ9*EF!$H8)*kgtoGg,('Net zero Activity data'!AQ9*EF!$H8)*kgtoGg)</f>
        <v>273.50273350532916</v>
      </c>
      <c r="Y920" s="93">
        <f>IF('Net zero activities &amp; levers'!$C$12="Off",('Activity data'!AR9*EF!$H8)*kgtoGg,('Net zero Activity data'!AR9*EF!$H8)*kgtoGg)</f>
        <v>275.0434428761701</v>
      </c>
      <c r="Z920" s="93">
        <f>IF('Net zero activities &amp; levers'!$C$12="Off",('Activity data'!AS9*EF!$H8)*kgtoGg,('Net zero Activity data'!AS9*EF!$H8)*kgtoGg)</f>
        <v>276.2427698386166</v>
      </c>
      <c r="AA920" s="93">
        <f>IF('Net zero activities &amp; levers'!$C$12="Off",('Activity data'!AT9*EF!$H8)*kgtoGg,('Net zero Activity data'!AT9*EF!$H8)*kgtoGg)</f>
        <v>276.98609052014405</v>
      </c>
      <c r="AB920" s="93">
        <f>IF('Net zero activities &amp; levers'!$C$12="Off",('Activity data'!AU9*EF!$H8)*kgtoGg,('Net zero Activity data'!AU9*EF!$H8)*kgtoGg)</f>
        <v>279.18661189122298</v>
      </c>
      <c r="AC920" s="93">
        <f>IF('Net zero activities &amp; levers'!$C$12="Off",('Activity data'!AV9*EF!$H8)*kgtoGg,('Net zero Activity data'!AV9*EF!$H8)*kgtoGg)</f>
        <v>281.1665497848058</v>
      </c>
      <c r="AD920" s="93">
        <f>IF('Net zero activities &amp; levers'!$C$12="Off",('Activity data'!AW9*EF!$H8)*kgtoGg,('Net zero Activity data'!AW9*EF!$H8)*kgtoGg)</f>
        <v>281.26866756300677</v>
      </c>
      <c r="AE920" s="93">
        <f>IF('Net zero activities &amp; levers'!$C$12="Off",('Activity data'!AX9*EF!$H8)*kgtoGg,('Net zero Activity data'!AX9*EF!$H8)*kgtoGg)</f>
        <v>282.59504365460464</v>
      </c>
      <c r="AF920" s="93">
        <f>IF('Net zero activities &amp; levers'!$C$12="Off",('Activity data'!AY9*EF!$H8)*kgtoGg,('Net zero Activity data'!AY9*EF!$H8)*kgtoGg)</f>
        <v>284.34900184290586</v>
      </c>
      <c r="AG920" s="93">
        <f>IF('Net zero activities &amp; levers'!$C$12="Off",('Activity data'!AZ9*EF!$H8)*kgtoGg,('Net zero Activity data'!AZ9*EF!$H8)*kgtoGg)</f>
        <v>287.29372157122594</v>
      </c>
      <c r="AH920" s="93">
        <f>IF('Net zero activities &amp; levers'!$C$12="Off",('Activity data'!BA9*EF!$H8)*kgtoGg,('Net zero Activity data'!BA9*EF!$H8)*kgtoGg)</f>
        <v>287.76404032367537</v>
      </c>
      <c r="AI920" s="93">
        <f>IF('Net zero activities &amp; levers'!$C$12="Off",('Activity data'!BB9*EF!$H8)*kgtoGg,('Net zero Activity data'!BB9*EF!$H8)*kgtoGg)</f>
        <v>287.71467047520593</v>
      </c>
      <c r="AJ920" s="93">
        <f>IF('Net zero activities &amp; levers'!$C$12="Off",('Activity data'!BC9*EF!$H8)*kgtoGg,('Net zero Activity data'!BC9*EF!$H8)*kgtoGg)</f>
        <v>288.14671633341055</v>
      </c>
      <c r="AK920" s="93">
        <f>IF('Net zero activities &amp; levers'!$C$12="Off",('Activity data'!BD9*EF!$H8)*kgtoGg,('Net zero Activity data'!BD9*EF!$H8)*kgtoGg)</f>
        <v>288.06697275846409</v>
      </c>
      <c r="AL920" s="93">
        <f>IF('Net zero activities &amp; levers'!$C$12="Off",('Activity data'!BE9*EF!$H8)*kgtoGg,('Net zero Activity data'!BE9*EF!$H8)*kgtoGg)</f>
        <v>288.12798631151645</v>
      </c>
      <c r="AM920" s="93">
        <f>IF('Net zero activities &amp; levers'!$C$12="Off",('Activity data'!BF9*EF!$H8)*kgtoGg,('Net zero Activity data'!BF9*EF!$H8)*kgtoGg)</f>
        <v>287.98951758734296</v>
      </c>
      <c r="AN920" s="93">
        <f>IF('Net zero activities &amp; levers'!$C$12="Off",('Activity data'!BG9*EF!$H8)*kgtoGg,('Net zero Activity data'!BG9*EF!$H8)*kgtoGg)</f>
        <v>290.05651761846218</v>
      </c>
      <c r="AO920" s="93">
        <f>IF('Net zero activities &amp; levers'!$C$12="Off",('Activity data'!BH9*EF!$H8)*kgtoGg,('Net zero Activity data'!BH9*EF!$H8)*kgtoGg)</f>
        <v>291.56864548628482</v>
      </c>
      <c r="AP920" s="93">
        <f>IF('Net zero activities &amp; levers'!$C$12="Off",('Activity data'!BI9*EF!$H8)*kgtoGg,('Net zero Activity data'!BI9*EF!$H8)*kgtoGg)</f>
        <v>292.99352741505732</v>
      </c>
      <c r="AQ920" s="93">
        <f>IF('Net zero activities &amp; levers'!$C$12="Off",('Activity data'!BJ9*EF!$H8)*kgtoGg,('Net zero Activity data'!BJ9*EF!$H8)*kgtoGg)</f>
        <v>294.44018433532034</v>
      </c>
      <c r="AR920" s="93">
        <f>IF('Net zero activities &amp; levers'!$C$12="Off",('Activity data'!BK9*EF!$H8)*kgtoGg,('Net zero Activity data'!BK9*EF!$H8)*kgtoGg)</f>
        <v>295.93998835163069</v>
      </c>
      <c r="AS920" s="93">
        <f>IF('Net zero activities &amp; levers'!$C$12="Off",('Activity data'!BL9*EF!$H8)*kgtoGg,('Net zero Activity data'!BL9*EF!$H8)*kgtoGg)</f>
        <v>298.29035331444567</v>
      </c>
      <c r="AT920" s="93">
        <f>IF('Net zero activities &amp; levers'!$C$12="Off",('Activity data'!BM9*EF!$H8)*kgtoGg,('Net zero Activity data'!BM9*EF!$H8)*kgtoGg)</f>
        <v>297.62835103952062</v>
      </c>
      <c r="AU920" s="93">
        <f>IF('Net zero activities &amp; levers'!$C$12="Off",('Activity data'!BN9*EF!$H8)*kgtoGg,('Net zero Activity data'!BN9*EF!$H8)*kgtoGg)</f>
        <v>296.63580611642783</v>
      </c>
      <c r="AV920" s="93">
        <f>IF('Net zero activities &amp; levers'!$C$12="Off",('Activity data'!BO9*EF!$H8)*kgtoGg,('Net zero Activity data'!BO9*EF!$H8)*kgtoGg)</f>
        <v>295.60779878586987</v>
      </c>
      <c r="AW920" s="93">
        <f>IF('Net zero activities &amp; levers'!$C$12="Off",('Activity data'!BP9*EF!$H8)*kgtoGg,('Net zero Activity data'!BP9*EF!$H8)*kgtoGg)</f>
        <v>294.42132443014248</v>
      </c>
      <c r="AY920" s="79"/>
      <c r="AZ920" s="79"/>
    </row>
    <row r="921" spans="1:52" x14ac:dyDescent="0.2">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32.967337371253549</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35.929559405213347</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34.950230908345851</v>
      </c>
      <c r="T921" s="93">
        <f>IF('Net zero activities &amp; levers'!$C$12="Off",('Activity data'!AM10*EF!$H9)*kgtoGg,('Net zero Activity data'!AM10*EF!$H9)*kgtoGg)</f>
        <v>36.476910772812936</v>
      </c>
      <c r="U921" s="93">
        <f>IF('Net zero activities &amp; levers'!$C$12="Off",('Activity data'!AN10*EF!$H9)*kgtoGg,('Net zero Activity data'!AN10*EF!$H9)*kgtoGg)</f>
        <v>37.718415782773874</v>
      </c>
      <c r="V921" s="93">
        <f>IF('Net zero activities &amp; levers'!$C$12="Off",('Activity data'!AO10*EF!$H9)*kgtoGg,('Net zero Activity data'!AO10*EF!$H9)*kgtoGg)</f>
        <v>38.898527693020689</v>
      </c>
      <c r="W921" s="93">
        <f>IF('Net zero activities &amp; levers'!$C$12="Off",('Activity data'!AP10*EF!$H9)*kgtoGg,('Net zero Activity data'!AP10*EF!$H9)*kgtoGg)</f>
        <v>40.237414938049668</v>
      </c>
      <c r="X921" s="93">
        <f>IF('Net zero activities &amp; levers'!$C$12="Off",('Activity data'!AQ10*EF!$H9)*kgtoGg,('Net zero Activity data'!AQ10*EF!$H9)*kgtoGg)</f>
        <v>41.522938460049829</v>
      </c>
      <c r="Y921" s="93">
        <f>IF('Net zero activities &amp; levers'!$C$12="Off",('Activity data'!AR10*EF!$H9)*kgtoGg,('Net zero Activity data'!AR10*EF!$H9)*kgtoGg)</f>
        <v>42.70469493542484</v>
      </c>
      <c r="Z921" s="93">
        <f>IF('Net zero activities &amp; levers'!$C$12="Off",('Activity data'!AS10*EF!$H9)*kgtoGg,('Net zero Activity data'!AS10*EF!$H9)*kgtoGg)</f>
        <v>43.855385473884439</v>
      </c>
      <c r="AA921" s="93">
        <f>IF('Net zero activities &amp; levers'!$C$12="Off",('Activity data'!AT10*EF!$H9)*kgtoGg,('Net zero Activity data'!AT10*EF!$H9)*kgtoGg)</f>
        <v>44.953640059313827</v>
      </c>
      <c r="AB921" s="93">
        <f>IF('Net zero activities &amp; levers'!$C$12="Off",('Activity data'!AU10*EF!$H9)*kgtoGg,('Net zero Activity data'!AU10*EF!$H9)*kgtoGg)</f>
        <v>46.312733612534437</v>
      </c>
      <c r="AC921" s="93">
        <f>IF('Net zero activities &amp; levers'!$C$12="Off",('Activity data'!AV10*EF!$H9)*kgtoGg,('Net zero Activity data'!AV10*EF!$H9)*kgtoGg)</f>
        <v>47.664904346752849</v>
      </c>
      <c r="AD921" s="93">
        <f>IF('Net zero activities &amp; levers'!$C$12="Off",('Activity data'!AW10*EF!$H9)*kgtoGg,('Net zero Activity data'!AW10*EF!$H9)*kgtoGg)</f>
        <v>49.26348738030724</v>
      </c>
      <c r="AE921" s="93">
        <f>IF('Net zero activities &amp; levers'!$C$12="Off",('Activity data'!AX10*EF!$H9)*kgtoGg,('Net zero Activity data'!AX10*EF!$H9)*kgtoGg)</f>
        <v>51.140360226431802</v>
      </c>
      <c r="AF921" s="93">
        <f>IF('Net zero activities &amp; levers'!$C$12="Off",('Activity data'!AY10*EF!$H9)*kgtoGg,('Net zero Activity data'!AY10*EF!$H9)*kgtoGg)</f>
        <v>53.171885770114415</v>
      </c>
      <c r="AG921" s="93">
        <f>IF('Net zero activities &amp; levers'!$C$12="Off",('Activity data'!AZ10*EF!$H9)*kgtoGg,('Net zero Activity data'!AZ10*EF!$H9)*kgtoGg)</f>
        <v>55.517780672546301</v>
      </c>
      <c r="AH921" s="93">
        <f>IF('Net zero activities &amp; levers'!$C$12="Off",('Activity data'!BA10*EF!$H9)*kgtoGg,('Net zero Activity data'!BA10*EF!$H9)*kgtoGg)</f>
        <v>57.473989711823819</v>
      </c>
      <c r="AI921" s="93">
        <f>IF('Net zero activities &amp; levers'!$C$12="Off",('Activity data'!BB10*EF!$H9)*kgtoGg,('Net zero Activity data'!BB10*EF!$H9)*kgtoGg)</f>
        <v>59.400170539570745</v>
      </c>
      <c r="AJ921" s="93">
        <f>IF('Net zero activities &amp; levers'!$C$12="Off",('Activity data'!BC10*EF!$H9)*kgtoGg,('Net zero Activity data'!BC10*EF!$H9)*kgtoGg)</f>
        <v>61.503665035599717</v>
      </c>
      <c r="AK921" s="93">
        <f>IF('Net zero activities &amp; levers'!$C$12="Off",('Activity data'!BD10*EF!$H9)*kgtoGg,('Net zero Activity data'!BD10*EF!$H9)*kgtoGg)</f>
        <v>63.580224043815704</v>
      </c>
      <c r="AL921" s="93">
        <f>IF('Net zero activities &amp; levers'!$C$12="Off",('Activity data'!BE10*EF!$H9)*kgtoGg,('Net zero Activity data'!BE10*EF!$H9)*kgtoGg)</f>
        <v>65.772430820326704</v>
      </c>
      <c r="AM921" s="93">
        <f>IF('Net zero activities &amp; levers'!$C$12="Off",('Activity data'!BF10*EF!$H9)*kgtoGg,('Net zero Activity data'!BF10*EF!$H9)*kgtoGg)</f>
        <v>68.008427307564773</v>
      </c>
      <c r="AN921" s="93">
        <f>IF('Net zero activities &amp; levers'!$C$12="Off",('Activity data'!BG10*EF!$H9)*kgtoGg,('Net zero Activity data'!BG10*EF!$H9)*kgtoGg)</f>
        <v>70.429193427330858</v>
      </c>
      <c r="AO921" s="93">
        <f>IF('Net zero activities &amp; levers'!$C$12="Off",('Activity data'!BH10*EF!$H9)*kgtoGg,('Net zero Activity data'!BH10*EF!$H9)*kgtoGg)</f>
        <v>72.800797343140431</v>
      </c>
      <c r="AP921" s="93">
        <f>IF('Net zero activities &amp; levers'!$C$12="Off",('Activity data'!BI10*EF!$H9)*kgtoGg,('Net zero Activity data'!BI10*EF!$H9)*kgtoGg)</f>
        <v>75.235904333723141</v>
      </c>
      <c r="AQ921" s="93">
        <f>IF('Net zero activities &amp; levers'!$C$12="Off",('Activity data'!BJ10*EF!$H9)*kgtoGg,('Net zero Activity data'!BJ10*EF!$H9)*kgtoGg)</f>
        <v>77.76567884273372</v>
      </c>
      <c r="AR921" s="93">
        <f>IF('Net zero activities &amp; levers'!$C$12="Off",('Activity data'!BK10*EF!$H9)*kgtoGg,('Net zero Activity data'!BK10*EF!$H9)*kgtoGg)</f>
        <v>80.403638096331917</v>
      </c>
      <c r="AS921" s="93">
        <f>IF('Net zero activities &amp; levers'!$C$12="Off",('Activity data'!BL10*EF!$H9)*kgtoGg,('Net zero Activity data'!BL10*EF!$H9)*kgtoGg)</f>
        <v>83.378734093878791</v>
      </c>
      <c r="AT921" s="93">
        <f>IF('Net zero activities &amp; levers'!$C$12="Off",('Activity data'!BM10*EF!$H9)*kgtoGg,('Net zero Activity data'!BM10*EF!$H9)*kgtoGg)</f>
        <v>85.605736773857444</v>
      </c>
      <c r="AU921" s="93">
        <f>IF('Net zero activities &amp; levers'!$C$12="Off",('Activity data'!BN10*EF!$H9)*kgtoGg,('Net zero Activity data'!BN10*EF!$H9)*kgtoGg)</f>
        <v>87.808938398132668</v>
      </c>
      <c r="AV921" s="93">
        <f>IF('Net zero activities &amp; levers'!$C$12="Off",('Activity data'!BO10*EF!$H9)*kgtoGg,('Net zero Activity data'!BO10*EF!$H9)*kgtoGg)</f>
        <v>90.073595848724253</v>
      </c>
      <c r="AW921" s="93">
        <f>IF('Net zero activities &amp; levers'!$C$12="Off",('Activity data'!BP10*EF!$H9)*kgtoGg,('Net zero Activity data'!BP10*EF!$H9)*kgtoGg)</f>
        <v>92.36408305346545</v>
      </c>
      <c r="AY921" s="79"/>
      <c r="AZ921" s="79"/>
    </row>
    <row r="922" spans="1:52" x14ac:dyDescent="0.2">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135.26278530113291</v>
      </c>
      <c r="T922" s="93">
        <f>IF('Net zero activities &amp; levers'!$C$12="Off",('Activity data'!AM11*EF!$H10)*kgtoGg,('Net zero Activity data'!AM11*EF!$H10)*kgtoGg)</f>
        <v>135.46877954348926</v>
      </c>
      <c r="U922" s="93">
        <f>IF('Net zero activities &amp; levers'!$C$12="Off",('Activity data'!AN11*EF!$H10)*kgtoGg,('Net zero Activity data'!AN11*EF!$H10)*kgtoGg)</f>
        <v>135.70160233543365</v>
      </c>
      <c r="V922" s="93">
        <f>IF('Net zero activities &amp; levers'!$C$12="Off",('Activity data'!AO11*EF!$H10)*kgtoGg,('Net zero Activity data'!AO11*EF!$H10)*kgtoGg)</f>
        <v>135.96424702879582</v>
      </c>
      <c r="W922" s="93">
        <f>IF('Net zero activities &amp; levers'!$C$12="Off",('Activity data'!AP11*EF!$H10)*kgtoGg,('Net zero Activity data'!AP11*EF!$H10)*kgtoGg)</f>
        <v>136.25970300255619</v>
      </c>
      <c r="X922" s="93">
        <f>IF('Net zero activities &amp; levers'!$C$12="Off",('Activity data'!AQ11*EF!$H10)*kgtoGg,('Net zero Activity data'!AQ11*EF!$H10)*kgtoGg)</f>
        <v>136.58180937371023</v>
      </c>
      <c r="Y922" s="93">
        <f>IF('Net zero activities &amp; levers'!$C$12="Off",('Activity data'!AR11*EF!$H10)*kgtoGg,('Net zero Activity data'!AR11*EF!$H10)*kgtoGg)</f>
        <v>136.77771182752844</v>
      </c>
      <c r="Z922" s="93">
        <f>IF('Net zero activities &amp; levers'!$C$12="Off",('Activity data'!AS11*EF!$H10)*kgtoGg,('Net zero Activity data'!AS11*EF!$H10)*kgtoGg)</f>
        <v>136.99652360229675</v>
      </c>
      <c r="AA922" s="93">
        <f>IF('Net zero activities &amp; levers'!$C$12="Off",('Activity data'!AT11*EF!$H10)*kgtoGg,('Net zero Activity data'!AT11*EF!$H10)*kgtoGg)</f>
        <v>137.23663958086595</v>
      </c>
      <c r="AB922" s="93">
        <f>IF('Net zero activities &amp; levers'!$C$12="Off",('Activity data'!AU11*EF!$H10)*kgtoGg,('Net zero Activity data'!AU11*EF!$H10)*kgtoGg)</f>
        <v>137.50349615818331</v>
      </c>
      <c r="AC922" s="93">
        <f>IF('Net zero activities &amp; levers'!$C$12="Off",('Activity data'!AV11*EF!$H10)*kgtoGg,('Net zero Activity data'!AV11*EF!$H10)*kgtoGg)</f>
        <v>137.79053665720062</v>
      </c>
      <c r="AD922" s="93">
        <f>IF('Net zero activities &amp; levers'!$C$12="Off",('Activity data'!AW11*EF!$H10)*kgtoGg,('Net zero Activity data'!AW11*EF!$H10)*kgtoGg)</f>
        <v>137.97809778631554</v>
      </c>
      <c r="AE922" s="93">
        <f>IF('Net zero activities &amp; levers'!$C$12="Off",('Activity data'!AX11*EF!$H10)*kgtoGg,('Net zero Activity data'!AX11*EF!$H10)*kgtoGg)</f>
        <v>138.18863599200537</v>
      </c>
      <c r="AF922" s="93">
        <f>IF('Net zero activities &amp; levers'!$C$12="Off",('Activity data'!AY11*EF!$H10)*kgtoGg,('Net zero Activity data'!AY11*EF!$H10)*kgtoGg)</f>
        <v>138.41878788829575</v>
      </c>
      <c r="AG922" s="93">
        <f>IF('Net zero activities &amp; levers'!$C$12="Off",('Activity data'!AZ11*EF!$H10)*kgtoGg,('Net zero Activity data'!AZ11*EF!$H10)*kgtoGg)</f>
        <v>138.67094365352415</v>
      </c>
      <c r="AH922" s="93">
        <f>IF('Net zero activities &amp; levers'!$C$12="Off",('Activity data'!BA11*EF!$H10)*kgtoGg,('Net zero Activity data'!BA11*EF!$H10)*kgtoGg)</f>
        <v>138.93056254849651</v>
      </c>
      <c r="AI922" s="93">
        <f>IF('Net zero activities &amp; levers'!$C$12="Off",('Activity data'!BB11*EF!$H10)*kgtoGg,('Net zero Activity data'!BB11*EF!$H10)*kgtoGg)</f>
        <v>139.08967652077243</v>
      </c>
      <c r="AJ922" s="93">
        <f>IF('Net zero activities &amp; levers'!$C$12="Off",('Activity data'!BC11*EF!$H10)*kgtoGg,('Net zero Activity data'!BC11*EF!$H10)*kgtoGg)</f>
        <v>139.2654495830931</v>
      </c>
      <c r="AK922" s="93">
        <f>IF('Net zero activities &amp; levers'!$C$12="Off",('Activity data'!BD11*EF!$H10)*kgtoGg,('Net zero Activity data'!BD11*EF!$H10)*kgtoGg)</f>
        <v>139.4534011320402</v>
      </c>
      <c r="AL922" s="93">
        <f>IF('Net zero activities &amp; levers'!$C$12="Off",('Activity data'!BE11*EF!$H10)*kgtoGg,('Net zero Activity data'!BE11*EF!$H10)*kgtoGg)</f>
        <v>139.65576726304948</v>
      </c>
      <c r="AM922" s="93">
        <f>IF('Net zero activities &amp; levers'!$C$12="Off",('Activity data'!BF11*EF!$H10)*kgtoGg,('Net zero Activity data'!BF11*EF!$H10)*kgtoGg)</f>
        <v>139.87071929457153</v>
      </c>
      <c r="AN922" s="93">
        <f>IF('Net zero activities &amp; levers'!$C$12="Off",('Activity data'!BG11*EF!$H10)*kgtoGg,('Net zero Activity data'!BG11*EF!$H10)*kgtoGg)</f>
        <v>139.99537394141325</v>
      </c>
      <c r="AO922" s="93">
        <f>IF('Net zero activities &amp; levers'!$C$12="Off",('Activity data'!BH11*EF!$H10)*kgtoGg,('Net zero Activity data'!BH11*EF!$H10)*kgtoGg)</f>
        <v>140.12945613123219</v>
      </c>
      <c r="AP922" s="93">
        <f>IF('Net zero activities &amp; levers'!$C$12="Off",('Activity data'!BI11*EF!$H10)*kgtoGg,('Net zero Activity data'!BI11*EF!$H10)*kgtoGg)</f>
        <v>140.27467944669363</v>
      </c>
      <c r="AQ922" s="93">
        <f>IF('Net zero activities &amp; levers'!$C$12="Off",('Activity data'!BJ11*EF!$H10)*kgtoGg,('Net zero Activity data'!BJ11*EF!$H10)*kgtoGg)</f>
        <v>140.43124436652656</v>
      </c>
      <c r="AR922" s="93">
        <f>IF('Net zero activities &amp; levers'!$C$12="Off",('Activity data'!BK11*EF!$H10)*kgtoGg,('Net zero Activity data'!BK11*EF!$H10)*kgtoGg)</f>
        <v>140.59904144364654</v>
      </c>
      <c r="AS922" s="93">
        <f>IF('Net zero activities &amp; levers'!$C$12="Off",('Activity data'!BL11*EF!$H10)*kgtoGg,('Net zero Activity data'!BL11*EF!$H10)*kgtoGg)</f>
        <v>140.67407193187856</v>
      </c>
      <c r="AT922" s="93">
        <f>IF('Net zero activities &amp; levers'!$C$12="Off",('Activity data'!BM11*EF!$H10)*kgtoGg,('Net zero Activity data'!BM11*EF!$H10)*kgtoGg)</f>
        <v>140.74390740905804</v>
      </c>
      <c r="AU922" s="93">
        <f>IF('Net zero activities &amp; levers'!$C$12="Off",('Activity data'!BN11*EF!$H10)*kgtoGg,('Net zero Activity data'!BN11*EF!$H10)*kgtoGg)</f>
        <v>140.82132713333769</v>
      </c>
      <c r="AV922" s="93">
        <f>IF('Net zero activities &amp; levers'!$C$12="Off",('Activity data'!BO11*EF!$H10)*kgtoGg,('Net zero Activity data'!BO11*EF!$H10)*kgtoGg)</f>
        <v>140.90757206763405</v>
      </c>
      <c r="AW922" s="93">
        <f>IF('Net zero activities &amp; levers'!$C$12="Off",('Activity data'!BP11*EF!$H10)*kgtoGg,('Net zero Activity data'!BP11*EF!$H10)*kgtoGg)</f>
        <v>141.00175438081712</v>
      </c>
      <c r="AY922" s="79"/>
      <c r="AZ922" s="79"/>
    </row>
    <row r="923" spans="1:52" x14ac:dyDescent="0.2">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14.658944228555331</v>
      </c>
      <c r="T923" s="93">
        <f>IF('Net zero activities &amp; levers'!$C$12="Off",('Activity data'!AM12*EF!$H11)*kgtoGg,('Net zero Activity data'!AM12*EF!$H11)*kgtoGg)</f>
        <v>14.681268610708063</v>
      </c>
      <c r="U923" s="93">
        <f>IF('Net zero activities &amp; levers'!$C$12="Off",('Activity data'!AN12*EF!$H11)*kgtoGg,('Net zero Activity data'!AN12*EF!$H11)*kgtoGg)</f>
        <v>14.706500505161891</v>
      </c>
      <c r="V923" s="93">
        <f>IF('Net zero activities &amp; levers'!$C$12="Off",('Activity data'!AO12*EF!$H11)*kgtoGg,('Net zero Activity data'!AO12*EF!$H11)*kgtoGg)</f>
        <v>14.734964312877745</v>
      </c>
      <c r="W923" s="93">
        <f>IF('Net zero activities &amp; levers'!$C$12="Off",('Activity data'!AP12*EF!$H11)*kgtoGg,('Net zero Activity data'!AP12*EF!$H11)*kgtoGg)</f>
        <v>14.766984004263698</v>
      </c>
      <c r="X923" s="93">
        <f>IF('Net zero activities &amp; levers'!$C$12="Off",('Activity data'!AQ12*EF!$H11)*kgtoGg,('Net zero Activity data'!AQ12*EF!$H11)*kgtoGg)</f>
        <v>14.801891900917591</v>
      </c>
      <c r="Y923" s="93">
        <f>IF('Net zero activities &amp; levers'!$C$12="Off",('Activity data'!AR12*EF!$H11)*kgtoGg,('Net zero Activity data'!AR12*EF!$H11)*kgtoGg)</f>
        <v>14.823122597434484</v>
      </c>
      <c r="Z923" s="93">
        <f>IF('Net zero activities &amp; levers'!$C$12="Off",('Activity data'!AS12*EF!$H11)*kgtoGg,('Net zero Activity data'!AS12*EF!$H11)*kgtoGg)</f>
        <v>14.846836064488549</v>
      </c>
      <c r="AA923" s="93">
        <f>IF('Net zero activities &amp; levers'!$C$12="Off",('Activity data'!AT12*EF!$H11)*kgtoGg,('Net zero Activity data'!AT12*EF!$H11)*kgtoGg)</f>
        <v>14.872858349408936</v>
      </c>
      <c r="AB923" s="93">
        <f>IF('Net zero activities &amp; levers'!$C$12="Off",('Activity data'!AU12*EF!$H11)*kgtoGg,('Net zero Activity data'!AU12*EF!$H11)*kgtoGg)</f>
        <v>14.901778615062266</v>
      </c>
      <c r="AC923" s="93">
        <f>IF('Net zero activities &amp; levers'!$C$12="Off",('Activity data'!AV12*EF!$H11)*kgtoGg,('Net zero Activity data'!AV12*EF!$H11)*kgtoGg)</f>
        <v>14.932886289335453</v>
      </c>
      <c r="AD923" s="93">
        <f>IF('Net zero activities &amp; levers'!$C$12="Off",('Activity data'!AW12*EF!$H11)*kgtoGg,('Net zero Activity data'!AW12*EF!$H11)*kgtoGg)</f>
        <v>14.953213004662359</v>
      </c>
      <c r="AE923" s="93">
        <f>IF('Net zero activities &amp; levers'!$C$12="Off",('Activity data'!AX12*EF!$H11)*kgtoGg,('Net zero Activity data'!AX12*EF!$H11)*kgtoGg)</f>
        <v>14.976029833462063</v>
      </c>
      <c r="AF923" s="93">
        <f>IF('Net zero activities &amp; levers'!$C$12="Off",('Activity data'!AY12*EF!$H11)*kgtoGg,('Net zero Activity data'!AY12*EF!$H11)*kgtoGg)</f>
        <v>15.000972272761286</v>
      </c>
      <c r="AG923" s="93">
        <f>IF('Net zero activities &amp; levers'!$C$12="Off",('Activity data'!AZ12*EF!$H11)*kgtoGg,('Net zero Activity data'!AZ12*EF!$H11)*kgtoGg)</f>
        <v>15.02829935530777</v>
      </c>
      <c r="AH923" s="93">
        <f>IF('Net zero activities &amp; levers'!$C$12="Off",('Activity data'!BA12*EF!$H11)*kgtoGg,('Net zero Activity data'!BA12*EF!$H11)*kgtoGg)</f>
        <v>15.056435245705167</v>
      </c>
      <c r="AI923" s="93">
        <f>IF('Net zero activities &amp; levers'!$C$12="Off",('Activity data'!BB12*EF!$H11)*kgtoGg,('Net zero Activity data'!BB12*EF!$H11)*kgtoGg)</f>
        <v>15.073679034086307</v>
      </c>
      <c r="AJ923" s="93">
        <f>IF('Net zero activities &amp; levers'!$C$12="Off",('Activity data'!BC12*EF!$H11)*kgtoGg,('Net zero Activity data'!BC12*EF!$H11)*kgtoGg)</f>
        <v>15.092728231629481</v>
      </c>
      <c r="AK923" s="93">
        <f>IF('Net zero activities &amp; levers'!$C$12="Off",('Activity data'!BD12*EF!$H11)*kgtoGg,('Net zero Activity data'!BD12*EF!$H11)*kgtoGg)</f>
        <v>15.11309725824351</v>
      </c>
      <c r="AL923" s="93">
        <f>IF('Net zero activities &amp; levers'!$C$12="Off",('Activity data'!BE12*EF!$H11)*kgtoGg,('Net zero Activity data'!BE12*EF!$H11)*kgtoGg)</f>
        <v>15.135028448124075</v>
      </c>
      <c r="AM923" s="93">
        <f>IF('Net zero activities &amp; levers'!$C$12="Off",('Activity data'!BF12*EF!$H11)*kgtoGg,('Net zero Activity data'!BF12*EF!$H11)*kgtoGg)</f>
        <v>15.158323620073121</v>
      </c>
      <c r="AN923" s="93">
        <f>IF('Net zero activities &amp; levers'!$C$12="Off",('Activity data'!BG12*EF!$H11)*kgtoGg,('Net zero Activity data'!BG12*EF!$H11)*kgtoGg)</f>
        <v>15.171832919854392</v>
      </c>
      <c r="AO923" s="93">
        <f>IF('Net zero activities &amp; levers'!$C$12="Off",('Activity data'!BH12*EF!$H11)*kgtoGg,('Net zero Activity data'!BH12*EF!$H11)*kgtoGg)</f>
        <v>15.186363918445194</v>
      </c>
      <c r="AP923" s="93">
        <f>IF('Net zero activities &amp; levers'!$C$12="Off",('Activity data'!BI12*EF!$H11)*kgtoGg,('Net zero Activity data'!BI12*EF!$H11)*kgtoGg)</f>
        <v>15.202102323338273</v>
      </c>
      <c r="AQ923" s="93">
        <f>IF('Net zero activities &amp; levers'!$C$12="Off",('Activity data'!BJ12*EF!$H11)*kgtoGg,('Net zero Activity data'!BJ12*EF!$H11)*kgtoGg)</f>
        <v>15.219069861178557</v>
      </c>
      <c r="AR923" s="93">
        <f>IF('Net zero activities &amp; levers'!$C$12="Off",('Activity data'!BK12*EF!$H11)*kgtoGg,('Net zero Activity data'!BK12*EF!$H11)*kgtoGg)</f>
        <v>15.237254670767834</v>
      </c>
      <c r="AS923" s="93">
        <f>IF('Net zero activities &amp; levers'!$C$12="Off",('Activity data'!BL12*EF!$H11)*kgtoGg,('Net zero Activity data'!BL12*EF!$H11)*kgtoGg)</f>
        <v>15.245386011106461</v>
      </c>
      <c r="AT923" s="93">
        <f>IF('Net zero activities &amp; levers'!$C$12="Off",('Activity data'!BM12*EF!$H11)*kgtoGg,('Net zero Activity data'!BM12*EF!$H11)*kgtoGg)</f>
        <v>15.252954348272294</v>
      </c>
      <c r="AU923" s="93">
        <f>IF('Net zero activities &amp; levers'!$C$12="Off",('Activity data'!BN12*EF!$H11)*kgtoGg,('Net zero Activity data'!BN12*EF!$H11)*kgtoGg)</f>
        <v>15.261344619239132</v>
      </c>
      <c r="AV923" s="93">
        <f>IF('Net zero activities &amp; levers'!$C$12="Off",('Activity data'!BO12*EF!$H11)*kgtoGg,('Net zero Activity data'!BO12*EF!$H11)*kgtoGg)</f>
        <v>15.270691311893962</v>
      </c>
      <c r="AW923" s="93">
        <f>IF('Net zero activities &amp; levers'!$C$12="Off",('Activity data'!BP12*EF!$H11)*kgtoGg,('Net zero Activity data'!BP12*EF!$H11)*kgtoGg)</f>
        <v>15.280898208589107</v>
      </c>
      <c r="AY923" s="79"/>
      <c r="AZ923" s="79"/>
    </row>
    <row r="924" spans="1:52" x14ac:dyDescent="0.2">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15.123414197798356</v>
      </c>
      <c r="L924" s="27">
        <f t="shared" si="329"/>
        <v>15.162727774721576</v>
      </c>
      <c r="M924" s="27">
        <f t="shared" si="329"/>
        <v>15.216959464794312</v>
      </c>
      <c r="N924" s="27">
        <f t="shared" si="329"/>
        <v>15.283027985940226</v>
      </c>
      <c r="O924" s="27">
        <f t="shared" si="329"/>
        <v>15.360839106953575</v>
      </c>
      <c r="P924" s="27">
        <f t="shared" si="329"/>
        <v>15.449919228540612</v>
      </c>
      <c r="Q924" s="27">
        <f t="shared" si="329"/>
        <v>15.545788610572219</v>
      </c>
      <c r="R924" s="27">
        <f t="shared" si="329"/>
        <v>15.648067752449878</v>
      </c>
      <c r="S924" s="27">
        <f t="shared" si="329"/>
        <v>15.742031713029512</v>
      </c>
      <c r="T924" s="27">
        <f t="shared" si="329"/>
        <v>15.78777493593066</v>
      </c>
      <c r="U924" s="27">
        <f t="shared" si="329"/>
        <v>15.836941189877804</v>
      </c>
      <c r="V924" s="27">
        <f t="shared" si="329"/>
        <v>15.890131734595759</v>
      </c>
      <c r="W924" s="27">
        <f t="shared" si="329"/>
        <v>15.947930587680338</v>
      </c>
      <c r="X924" s="27">
        <f t="shared" si="329"/>
        <v>16.009309310979074</v>
      </c>
      <c r="Y924" s="27">
        <f t="shared" si="329"/>
        <v>16.047680700733103</v>
      </c>
      <c r="Z924" s="27">
        <f t="shared" si="329"/>
        <v>16.089188383327485</v>
      </c>
      <c r="AA924" s="27">
        <f t="shared" ref="L924:AW927" si="330">AA1387</f>
        <v>16.133588234011135</v>
      </c>
      <c r="AB924" s="27">
        <f t="shared" si="330"/>
        <v>16.181852398556252</v>
      </c>
      <c r="AC924" s="27">
        <f t="shared" si="330"/>
        <v>16.232869062741507</v>
      </c>
      <c r="AD924" s="27">
        <f t="shared" si="330"/>
        <v>16.26603536262477</v>
      </c>
      <c r="AE924" s="27">
        <f t="shared" si="330"/>
        <v>16.302563680867436</v>
      </c>
      <c r="AF924" s="27">
        <f t="shared" si="330"/>
        <v>16.341889153829143</v>
      </c>
      <c r="AG924" s="27">
        <f t="shared" si="330"/>
        <v>16.384434985595004</v>
      </c>
      <c r="AH924" s="27">
        <f t="shared" si="330"/>
        <v>16.427723661614785</v>
      </c>
      <c r="AI924" s="27">
        <f t="shared" si="330"/>
        <v>16.453347878804561</v>
      </c>
      <c r="AJ924" s="27">
        <f t="shared" si="330"/>
        <v>16.481391601385443</v>
      </c>
      <c r="AK924" s="27">
        <f t="shared" si="330"/>
        <v>16.511100045266552</v>
      </c>
      <c r="AL924" s="27">
        <f t="shared" si="330"/>
        <v>16.542862813406586</v>
      </c>
      <c r="AM924" s="27">
        <f t="shared" si="330"/>
        <v>16.576376781233034</v>
      </c>
      <c r="AN924" s="27">
        <f t="shared" si="330"/>
        <v>16.594247346579589</v>
      </c>
      <c r="AO924" s="27">
        <f t="shared" si="330"/>
        <v>16.613410035363255</v>
      </c>
      <c r="AP924" s="27">
        <f t="shared" si="330"/>
        <v>16.634160462915251</v>
      </c>
      <c r="AQ924" s="27">
        <f t="shared" si="330"/>
        <v>16.656536848310051</v>
      </c>
      <c r="AR924" s="27">
        <f t="shared" si="330"/>
        <v>16.680524418707119</v>
      </c>
      <c r="AS924" s="27">
        <f t="shared" si="330"/>
        <v>16.68868442435787</v>
      </c>
      <c r="AT924" s="27">
        <f t="shared" si="330"/>
        <v>16.695767676813599</v>
      </c>
      <c r="AU924" s="27">
        <f t="shared" si="330"/>
        <v>16.703924626566948</v>
      </c>
      <c r="AV924" s="27">
        <f t="shared" si="330"/>
        <v>16.713365572192938</v>
      </c>
      <c r="AW924" s="27">
        <f t="shared" si="330"/>
        <v>16.723944327870726</v>
      </c>
      <c r="AY924" s="79"/>
      <c r="AZ924" s="79"/>
    </row>
    <row r="925" spans="1:52" x14ac:dyDescent="0.2">
      <c r="A925" s="95" t="str">
        <f t="shared" si="326"/>
        <v>DS Goats</v>
      </c>
      <c r="B925" s="95" t="s">
        <v>974</v>
      </c>
      <c r="C925" s="95" t="s">
        <v>153</v>
      </c>
      <c r="D925" t="s">
        <v>15</v>
      </c>
      <c r="E925" t="s">
        <v>16</v>
      </c>
      <c r="F925" t="s">
        <v>19</v>
      </c>
      <c r="G925" t="s">
        <v>123</v>
      </c>
      <c r="H925" t="s">
        <v>1020</v>
      </c>
      <c r="I925" t="s">
        <v>121</v>
      </c>
      <c r="J925" t="s">
        <v>286</v>
      </c>
      <c r="K925" s="27">
        <f t="shared" si="329"/>
        <v>22.381101687842737</v>
      </c>
      <c r="L925" s="27">
        <f t="shared" si="330"/>
        <v>22.439281748993185</v>
      </c>
      <c r="M925" s="27">
        <f t="shared" si="330"/>
        <v>22.519539087339325</v>
      </c>
      <c r="N925" s="27">
        <f t="shared" si="330"/>
        <v>22.617313721478972</v>
      </c>
      <c r="O925" s="27">
        <f t="shared" si="330"/>
        <v>22.73246619889365</v>
      </c>
      <c r="P925" s="27">
        <f t="shared" si="330"/>
        <v>22.864295641209328</v>
      </c>
      <c r="Q925" s="27">
        <f t="shared" si="330"/>
        <v>23.006172492556328</v>
      </c>
      <c r="R925" s="27">
        <f t="shared" si="330"/>
        <v>23.157535130977113</v>
      </c>
      <c r="S925" s="27">
        <f t="shared" si="330"/>
        <v>23.296592154028918</v>
      </c>
      <c r="T925" s="27">
        <f t="shared" si="330"/>
        <v>23.36428743168846</v>
      </c>
      <c r="U925" s="27">
        <f t="shared" si="330"/>
        <v>23.437048444169463</v>
      </c>
      <c r="V925" s="27">
        <f t="shared" si="330"/>
        <v>23.51576499418881</v>
      </c>
      <c r="W925" s="27">
        <f t="shared" si="330"/>
        <v>23.601301367881135</v>
      </c>
      <c r="X925" s="27">
        <f t="shared" si="330"/>
        <v>23.692135582275586</v>
      </c>
      <c r="Y925" s="27">
        <f t="shared" si="330"/>
        <v>23.748921303063014</v>
      </c>
      <c r="Z925" s="27">
        <f t="shared" si="330"/>
        <v>23.810348415540492</v>
      </c>
      <c r="AA925" s="27">
        <f t="shared" si="330"/>
        <v>23.876055640118153</v>
      </c>
      <c r="AB925" s="27">
        <f t="shared" si="330"/>
        <v>23.947481652818404</v>
      </c>
      <c r="AC925" s="27">
        <f t="shared" si="330"/>
        <v>24.022981082641</v>
      </c>
      <c r="AD925" s="27">
        <f t="shared" si="330"/>
        <v>24.072063804345781</v>
      </c>
      <c r="AE925" s="27">
        <f t="shared" si="330"/>
        <v>24.126121968354415</v>
      </c>
      <c r="AF925" s="27">
        <f t="shared" si="330"/>
        <v>24.184319634421552</v>
      </c>
      <c r="AG925" s="27">
        <f t="shared" si="330"/>
        <v>24.247283101181864</v>
      </c>
      <c r="AH925" s="27">
        <f t="shared" si="330"/>
        <v>24.311345901238735</v>
      </c>
      <c r="AI925" s="27">
        <f t="shared" si="330"/>
        <v>24.34926711420659</v>
      </c>
      <c r="AJ925" s="27">
        <f t="shared" si="330"/>
        <v>24.390768946966002</v>
      </c>
      <c r="AK925" s="27">
        <f t="shared" si="330"/>
        <v>24.434734396486487</v>
      </c>
      <c r="AL925" s="27">
        <f t="shared" si="330"/>
        <v>24.481740035182341</v>
      </c>
      <c r="AM925" s="27">
        <f t="shared" si="330"/>
        <v>24.531337269780067</v>
      </c>
      <c r="AN925" s="27">
        <f t="shared" si="330"/>
        <v>24.557783873371651</v>
      </c>
      <c r="AO925" s="27">
        <f t="shared" si="330"/>
        <v>24.586142687107124</v>
      </c>
      <c r="AP925" s="27">
        <f t="shared" si="330"/>
        <v>24.616851191353145</v>
      </c>
      <c r="AQ925" s="27">
        <f t="shared" si="330"/>
        <v>24.649965946419517</v>
      </c>
      <c r="AR925" s="27">
        <f t="shared" si="330"/>
        <v>24.685465090017612</v>
      </c>
      <c r="AS925" s="27">
        <f t="shared" si="330"/>
        <v>24.697541061346186</v>
      </c>
      <c r="AT925" s="27">
        <f t="shared" si="330"/>
        <v>24.708023548396984</v>
      </c>
      <c r="AU925" s="27">
        <f t="shared" si="330"/>
        <v>24.720094997310881</v>
      </c>
      <c r="AV925" s="27">
        <f t="shared" si="330"/>
        <v>24.734066628406943</v>
      </c>
      <c r="AW925" s="27">
        <f t="shared" si="330"/>
        <v>24.749722101665743</v>
      </c>
      <c r="AY925" s="79"/>
      <c r="AZ925" s="79"/>
    </row>
    <row r="926" spans="1:52" x14ac:dyDescent="0.2">
      <c r="A926" s="95" t="str">
        <f t="shared" si="326"/>
        <v>DS Horses</v>
      </c>
      <c r="B926" s="95" t="s">
        <v>974</v>
      </c>
      <c r="C926" s="95" t="s">
        <v>3</v>
      </c>
      <c r="D926" t="s">
        <v>15</v>
      </c>
      <c r="E926" t="s">
        <v>16</v>
      </c>
      <c r="F926" t="s">
        <v>20</v>
      </c>
      <c r="G926" t="s">
        <v>3</v>
      </c>
      <c r="H926" t="s">
        <v>1020</v>
      </c>
      <c r="I926" t="s">
        <v>121</v>
      </c>
      <c r="J926" t="s">
        <v>286</v>
      </c>
      <c r="K926" s="27">
        <f t="shared" si="329"/>
        <v>5.5526214800767892</v>
      </c>
      <c r="L926" s="27">
        <f t="shared" si="330"/>
        <v>5.579523571019652</v>
      </c>
      <c r="M926" s="27">
        <f t="shared" si="330"/>
        <v>5.6203482259438022</v>
      </c>
      <c r="N926" s="27">
        <f t="shared" si="330"/>
        <v>5.629075655008374</v>
      </c>
      <c r="O926" s="27">
        <f t="shared" si="330"/>
        <v>5.6165815405282284</v>
      </c>
      <c r="P926" s="27">
        <f t="shared" si="330"/>
        <v>5.5833231296706103</v>
      </c>
      <c r="Q926" s="27">
        <f t="shared" si="330"/>
        <v>5.5648827699457346</v>
      </c>
      <c r="R926" s="27">
        <f t="shared" si="330"/>
        <v>5.5483103177944013</v>
      </c>
      <c r="S926" s="27">
        <f t="shared" si="330"/>
        <v>5.2545848231765602</v>
      </c>
      <c r="T926" s="27">
        <f t="shared" si="330"/>
        <v>5.3277448648735932</v>
      </c>
      <c r="U926" s="27">
        <f t="shared" si="330"/>
        <v>5.3771318788227438</v>
      </c>
      <c r="V926" s="27">
        <f t="shared" si="330"/>
        <v>5.4200550937003218</v>
      </c>
      <c r="W926" s="27">
        <f t="shared" si="330"/>
        <v>5.4726184084270573</v>
      </c>
      <c r="X926" s="27">
        <f t="shared" si="330"/>
        <v>5.5193093093258572</v>
      </c>
      <c r="Y926" s="27">
        <f t="shared" si="330"/>
        <v>5.5623143429133499</v>
      </c>
      <c r="Z926" s="27">
        <f t="shared" si="330"/>
        <v>5.6016190467987945</v>
      </c>
      <c r="AA926" s="27">
        <f t="shared" si="330"/>
        <v>5.6358734850599594</v>
      </c>
      <c r="AB926" s="27">
        <f t="shared" si="330"/>
        <v>5.6864221774832213</v>
      </c>
      <c r="AC926" s="27">
        <f t="shared" si="330"/>
        <v>5.734761216152096</v>
      </c>
      <c r="AD926" s="27">
        <f t="shared" si="330"/>
        <v>5.7937893665421401</v>
      </c>
      <c r="AE926" s="27">
        <f t="shared" si="330"/>
        <v>5.868728906856421</v>
      </c>
      <c r="AF926" s="27">
        <f t="shared" si="330"/>
        <v>5.95097387412393</v>
      </c>
      <c r="AG926" s="27">
        <f t="shared" si="330"/>
        <v>6.0502809540907023</v>
      </c>
      <c r="AH926" s="27">
        <f t="shared" si="330"/>
        <v>6.1220107529838179</v>
      </c>
      <c r="AI926" s="27">
        <f t="shared" si="330"/>
        <v>6.1941308642978408</v>
      </c>
      <c r="AJ926" s="27">
        <f t="shared" si="330"/>
        <v>6.2747694866131836</v>
      </c>
      <c r="AK926" s="27">
        <f t="shared" si="330"/>
        <v>6.3513096084096698</v>
      </c>
      <c r="AL926" s="27">
        <f t="shared" si="330"/>
        <v>6.4323283925814563</v>
      </c>
      <c r="AM926" s="27">
        <f t="shared" si="330"/>
        <v>6.5134158744418782</v>
      </c>
      <c r="AN926" s="27">
        <f t="shared" si="330"/>
        <v>6.6126163316975539</v>
      </c>
      <c r="AO926" s="27">
        <f t="shared" si="330"/>
        <v>6.7066735285892829</v>
      </c>
      <c r="AP926" s="27">
        <f t="shared" si="330"/>
        <v>6.8021224333407027</v>
      </c>
      <c r="AQ926" s="27">
        <f t="shared" si="330"/>
        <v>6.9006513009384864</v>
      </c>
      <c r="AR926" s="27">
        <f t="shared" si="330"/>
        <v>7.0028965831984893</v>
      </c>
      <c r="AS926" s="27">
        <f t="shared" si="330"/>
        <v>7.1267607896665828</v>
      </c>
      <c r="AT926" s="27">
        <f t="shared" si="330"/>
        <v>7.2071584727038323</v>
      </c>
      <c r="AU926" s="27">
        <f t="shared" si="330"/>
        <v>7.2845566532149562</v>
      </c>
      <c r="AV926" s="27">
        <f t="shared" si="330"/>
        <v>7.3636089922437549</v>
      </c>
      <c r="AW926" s="27">
        <f t="shared" si="330"/>
        <v>7.4423534956754249</v>
      </c>
      <c r="AY926" s="79"/>
      <c r="AZ926" s="79"/>
    </row>
    <row r="927" spans="1:52" x14ac:dyDescent="0.2">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2">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1.8400999552016304</v>
      </c>
      <c r="L928" s="93">
        <f>IF('Net zero activities &amp; levers'!$C$12="Off",('Activity data'!AE17*EF!$H16)*kgtoGg,('Net zero Activity data'!AE17*EF!$H16)*kgtoGg)</f>
        <v>1.8300977880312255</v>
      </c>
      <c r="M928" s="93">
        <f>IF('Net zero activities &amp; levers'!$C$12="Off",('Activity data'!AF17*EF!$H16)*kgtoGg,('Net zero Activity data'!AF17*EF!$H16)*kgtoGg)</f>
        <v>1.8309187348828158</v>
      </c>
      <c r="N928" s="93">
        <f>IF('Net zero activities &amp; levers'!$C$12="Off",('Activity data'!AG17*EF!$H16)*kgtoGg,('Net zero Activity data'!AG17*EF!$H16)*kgtoGg)</f>
        <v>1.8141094978660448</v>
      </c>
      <c r="O928" s="93">
        <f>IF('Net zero activities &amp; levers'!$C$12="Off",('Activity data'!AH17*EF!$H16)*kgtoGg,('Net zero Activity data'!AH17*EF!$H16)*kgtoGg)</f>
        <v>1.7866561368117302</v>
      </c>
      <c r="P928" s="93">
        <f>IF('Net zero activities &amp; levers'!$C$12="Off",('Activity data'!AI17*EF!$H16)*kgtoGg,('Net zero Activity data'!AI17*EF!$H16)*kgtoGg)</f>
        <v>1.7489975228040084</v>
      </c>
      <c r="Q928" s="93">
        <f>IF('Net zero activities &amp; levers'!$C$12="Off",('Activity data'!AJ17*EF!$H16)*kgtoGg,('Net zero Activity data'!AJ17*EF!$H16)*kgtoGg)</f>
        <v>1.7216531928010095</v>
      </c>
      <c r="R928" s="93">
        <f>IF('Net zero activities &amp; levers'!$C$12="Off",('Activity data'!AK17*EF!$H16)*kgtoGg,('Net zero Activity data'!AK17*EF!$H16)*kgtoGg)</f>
        <v>1.6967284692901876</v>
      </c>
      <c r="S928" s="93">
        <f>IF('Net zero activities &amp; levers'!$C$12="Off",('Activity data'!AL17*EF!$H16)*kgtoGg,('Net zero Activity data'!AL17*EF!$H16)*kgtoGg)</f>
        <v>1.5117747469441463</v>
      </c>
      <c r="T928" s="93">
        <f>IF('Net zero activities &amp; levers'!$C$12="Off",('Activity data'!AM17*EF!$H16)*kgtoGg,('Net zero Activity data'!AM17*EF!$H16)*kgtoGg)</f>
        <v>1.5353784458928466</v>
      </c>
      <c r="U928" s="93">
        <f>IF('Net zero activities &amp; levers'!$C$12="Off",('Activity data'!AN17*EF!$H16)*kgtoGg,('Net zero Activity data'!AN17*EF!$H16)*kgtoGg)</f>
        <v>1.5454031535928081</v>
      </c>
      <c r="V928" s="93">
        <f>IF('Net zero activities &amp; levers'!$C$12="Off",('Activity data'!AO17*EF!$H16)*kgtoGg,('Net zero Activity data'!AO17*EF!$H16)*kgtoGg)</f>
        <v>1.5520051748391652</v>
      </c>
      <c r="W928" s="93">
        <f>IF('Net zero activities &amp; levers'!$C$12="Off",('Activity data'!AP17*EF!$H16)*kgtoGg,('Net zero Activity data'!AP17*EF!$H16)*kgtoGg)</f>
        <v>1.564229983889788</v>
      </c>
      <c r="X928" s="93">
        <f>IF('Net zero activities &amp; levers'!$C$12="Off",('Activity data'!AQ17*EF!$H16)*kgtoGg,('Net zero Activity data'!AQ17*EF!$H16)*kgtoGg)</f>
        <v>1.5733351038653358</v>
      </c>
      <c r="Y928" s="93">
        <f>IF('Net zero activities &amp; levers'!$C$12="Off",('Activity data'!AR17*EF!$H16)*kgtoGg,('Net zero Activity data'!AR17*EF!$H16)*kgtoGg)</f>
        <v>1.5781110770621192</v>
      </c>
      <c r="Z928" s="93">
        <f>IF('Net zero activities &amp; levers'!$C$12="Off",('Activity data'!AS17*EF!$H16)*kgtoGg,('Net zero Activity data'!AS17*EF!$H16)*kgtoGg)</f>
        <v>1.5810372890528743</v>
      </c>
      <c r="AA928" s="93">
        <f>IF('Net zero activities &amp; levers'!$C$12="Off",('Activity data'!AT17*EF!$H16)*kgtoGg,('Net zero Activity data'!AT17*EF!$H16)*kgtoGg)</f>
        <v>1.5814342334658642</v>
      </c>
      <c r="AB928" s="93">
        <f>IF('Net zero activities &amp; levers'!$C$12="Off",('Activity data'!AU17*EF!$H16)*kgtoGg,('Net zero Activity data'!AU17*EF!$H16)*kgtoGg)</f>
        <v>1.5906175911874081</v>
      </c>
      <c r="AC928" s="93">
        <f>IF('Net zero activities &amp; levers'!$C$12="Off",('Activity data'!AV17*EF!$H16)*kgtoGg,('Net zero Activity data'!AV17*EF!$H16)*kgtoGg)</f>
        <v>1.598639197477874</v>
      </c>
      <c r="AD928" s="93">
        <f>IF('Net zero activities &amp; levers'!$C$12="Off",('Activity data'!AW17*EF!$H16)*kgtoGg,('Net zero Activity data'!AW17*EF!$H16)*kgtoGg)</f>
        <v>1.6101808279098371</v>
      </c>
      <c r="AE928" s="93">
        <f>IF('Net zero activities &amp; levers'!$C$12="Off",('Activity data'!AX17*EF!$H16)*kgtoGg,('Net zero Activity data'!AX17*EF!$H16)*kgtoGg)</f>
        <v>1.6296768229523677</v>
      </c>
      <c r="AF928" s="93">
        <f>IF('Net zero activities &amp; levers'!$C$12="Off",('Activity data'!AY17*EF!$H16)*kgtoGg,('Net zero Activity data'!AY17*EF!$H16)*kgtoGg)</f>
        <v>1.6525077177354268</v>
      </c>
      <c r="AG928" s="93">
        <f>IF('Net zero activities &amp; levers'!$C$12="Off",('Activity data'!AZ17*EF!$H16)*kgtoGg,('Net zero Activity data'!AZ17*EF!$H16)*kgtoGg)</f>
        <v>1.6834189005947389</v>
      </c>
      <c r="AH928" s="93">
        <f>IF('Net zero activities &amp; levers'!$C$12="Off",('Activity data'!BA17*EF!$H16)*kgtoGg,('Net zero Activity data'!BA17*EF!$H16)*kgtoGg)</f>
        <v>1.7001060999840301</v>
      </c>
      <c r="AI928" s="93">
        <f>IF('Net zero activities &amp; levers'!$C$12="Off",('Activity data'!BB17*EF!$H16)*kgtoGg,('Net zero Activity data'!BB17*EF!$H16)*kgtoGg)</f>
        <v>1.714680678931171</v>
      </c>
      <c r="AJ928" s="93">
        <f>IF('Net zero activities &amp; levers'!$C$12="Off",('Activity data'!BC17*EF!$H16)*kgtoGg,('Net zero Activity data'!BC17*EF!$H16)*kgtoGg)</f>
        <v>1.7329967482102966</v>
      </c>
      <c r="AK928" s="93">
        <f>IF('Net zero activities &amp; levers'!$C$12="Off",('Activity data'!BD17*EF!$H16)*kgtoGg,('Net zero Activity data'!BD17*EF!$H16)*kgtoGg)</f>
        <v>1.7488990397133231</v>
      </c>
      <c r="AL928" s="93">
        <f>IF('Net zero activities &amp; levers'!$C$12="Off",('Activity data'!BE17*EF!$H16)*kgtoGg,('Net zero Activity data'!BE17*EF!$H16)*kgtoGg)</f>
        <v>1.7664947607476369</v>
      </c>
      <c r="AM928" s="93">
        <f>IF('Net zero activities &amp; levers'!$C$12="Off",('Activity data'!BF17*EF!$H16)*kgtoGg,('Net zero Activity data'!BF17*EF!$H16)*kgtoGg)</f>
        <v>1.7836580054040596</v>
      </c>
      <c r="AN928" s="93">
        <f>IF('Net zero activities &amp; levers'!$C$12="Off",('Activity data'!BG17*EF!$H16)*kgtoGg,('Net zero Activity data'!BG17*EF!$H16)*kgtoGg)</f>
        <v>1.8067654920152938</v>
      </c>
      <c r="AO928" s="93">
        <f>IF('Net zero activities &amp; levers'!$C$12="Off",('Activity data'!BH17*EF!$H16)*kgtoGg,('Net zero Activity data'!BH17*EF!$H16)*kgtoGg)</f>
        <v>1.8268312610518465</v>
      </c>
      <c r="AP928" s="93">
        <f>IF('Net zero activities &amp; levers'!$C$12="Off",('Activity data'!BI17*EF!$H16)*kgtoGg,('Net zero Activity data'!BI17*EF!$H16)*kgtoGg)</f>
        <v>1.8468791974694727</v>
      </c>
      <c r="AQ928" s="93">
        <f>IF('Net zero activities &amp; levers'!$C$12="Off",('Activity data'!BJ17*EF!$H16)*kgtoGg,('Net zero Activity data'!BJ17*EF!$H16)*kgtoGg)</f>
        <v>1.8676391522371276</v>
      </c>
      <c r="AR928" s="93">
        <f>IF('Net zero activities &amp; levers'!$C$12="Off",('Activity data'!BK17*EF!$H16)*kgtoGg,('Net zero Activity data'!BK17*EF!$H16)*kgtoGg)</f>
        <v>1.8893444874946981</v>
      </c>
      <c r="AS928" s="93">
        <f>IF('Net zero activities &amp; levers'!$C$12="Off",('Activity data'!BL17*EF!$H16)*kgtoGg,('Net zero Activity data'!BL17*EF!$H16)*kgtoGg)</f>
        <v>1.9176308190810374</v>
      </c>
      <c r="AT928" s="93">
        <f>IF('Net zero activities &amp; levers'!$C$12="Off",('Activity data'!BM17*EF!$H16)*kgtoGg,('Net zero Activity data'!BM17*EF!$H16)*kgtoGg)</f>
        <v>1.9263908565050327</v>
      </c>
      <c r="AU928" s="93">
        <f>IF('Net zero activities &amp; levers'!$C$12="Off",('Activity data'!BN17*EF!$H16)*kgtoGg,('Net zero Activity data'!BN17*EF!$H16)*kgtoGg)</f>
        <v>1.9333876275197814</v>
      </c>
      <c r="AV928" s="93">
        <f>IF('Net zero activities &amp; levers'!$C$12="Off",('Activity data'!BO17*EF!$H16)*kgtoGg,('Net zero Activity data'!BO17*EF!$H16)*kgtoGg)</f>
        <v>1.9406033255753634</v>
      </c>
      <c r="AW928" s="93">
        <f>IF('Net zero activities &amp; levers'!$C$12="Off",('Activity data'!BP17*EF!$H16)*kgtoGg,('Net zero Activity data'!BP17*EF!$H16)*kgtoGg)</f>
        <v>1.947207220691618</v>
      </c>
      <c r="AY928" s="79"/>
      <c r="AZ928" s="79"/>
    </row>
    <row r="929" spans="1:52" x14ac:dyDescent="0.2">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0.25496723934882609</v>
      </c>
      <c r="L929" s="93">
        <f>IF('Net zero activities &amp; levers'!$C$12="Off",('Activity data'!AE18*EF!$H17)*kgtoGg,('Net zero Activity data'!AE18*EF!$H17)*kgtoGg)</f>
        <v>0.25358132281546897</v>
      </c>
      <c r="M929" s="93">
        <f>IF('Net zero activities &amp; levers'!$C$12="Off",('Activity data'!AF18*EF!$H17)*kgtoGg,('Net zero Activity data'!AF18*EF!$H17)*kgtoGg)</f>
        <v>0.25369507454499346</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0.24756197704412711</v>
      </c>
      <c r="P929" s="93">
        <f>IF('Net zero activities &amp; levers'!$C$12="Off",('Activity data'!AI18*EF!$H17)*kgtoGg,('Net zero Activity data'!AI18*EF!$H17)*kgtoGg)</f>
        <v>0.2423439383043785</v>
      </c>
      <c r="Q929" s="93">
        <f>IF('Net zero activities &amp; levers'!$C$12="Off",('Activity data'!AJ18*EF!$H17)*kgtoGg,('Net zero Activity data'!AJ18*EF!$H17)*kgtoGg)</f>
        <v>0.23855506351363703</v>
      </c>
      <c r="R929" s="93">
        <f>IF('Net zero activities &amp; levers'!$C$12="Off",('Activity data'!AK18*EF!$H17)*kgtoGg,('Net zero Activity data'!AK18*EF!$H17)*kgtoGg)</f>
        <v>0.23510145332951488</v>
      </c>
      <c r="S929" s="93">
        <f>IF('Net zero activities &amp; levers'!$C$12="Off",('Activity data'!AL18*EF!$H17)*kgtoGg,('Net zero Activity data'!AL18*EF!$H17)*kgtoGg)</f>
        <v>0.20947396507239346</v>
      </c>
      <c r="T929" s="93">
        <f>IF('Net zero activities &amp; levers'!$C$12="Off",('Activity data'!AM18*EF!$H17)*kgtoGg,('Net zero Activity data'!AM18*EF!$H17)*kgtoGg)</f>
        <v>0.21274453194695842</v>
      </c>
      <c r="U929" s="93">
        <f>IF('Net zero activities &amp; levers'!$C$12="Off",('Activity data'!AN18*EF!$H17)*kgtoGg,('Net zero Activity data'!AN18*EF!$H17)*kgtoGg)</f>
        <v>0.21413357173271183</v>
      </c>
      <c r="V929" s="93">
        <f>IF('Net zero activities &amp; levers'!$C$12="Off",('Activity data'!AO18*EF!$H17)*kgtoGg,('Net zero Activity data'!AO18*EF!$H17)*kgtoGg)</f>
        <v>0.21504835852271614</v>
      </c>
      <c r="W929" s="93">
        <f>IF('Net zero activities &amp; levers'!$C$12="Off",('Activity data'!AP18*EF!$H17)*kgtoGg,('Net zero Activity data'!AP18*EF!$H17)*kgtoGg)</f>
        <v>0.21674224792605687</v>
      </c>
      <c r="X929" s="93">
        <f>IF('Net zero activities &amp; levers'!$C$12="Off",('Activity data'!AQ18*EF!$H17)*kgtoGg,('Net zero Activity data'!AQ18*EF!$H17)*kgtoGg)</f>
        <v>0.21800386814268849</v>
      </c>
      <c r="Y929" s="93">
        <f>IF('Net zero activities &amp; levers'!$C$12="Off",('Activity data'!AR18*EF!$H17)*kgtoGg,('Net zero Activity data'!AR18*EF!$H17)*kgtoGg)</f>
        <v>0.21866563474821746</v>
      </c>
      <c r="Z929" s="93">
        <f>IF('Net zero activities &amp; levers'!$C$12="Off",('Activity data'!AS18*EF!$H17)*kgtoGg,('Net zero Activity data'!AS18*EF!$H17)*kgtoGg)</f>
        <v>0.21907109543578676</v>
      </c>
      <c r="AA929" s="93">
        <f>IF('Net zero activities &amp; levers'!$C$12="Off",('Activity data'!AT18*EF!$H17)*kgtoGg,('Net zero Activity data'!AT18*EF!$H17)*kgtoGg)</f>
        <v>0.21912609669855451</v>
      </c>
      <c r="AB929" s="93">
        <f>IF('Net zero activities &amp; levers'!$C$12="Off",('Activity data'!AU18*EF!$H17)*kgtoGg,('Net zero Activity data'!AU18*EF!$H17)*kgtoGg)</f>
        <v>0.22039855766438188</v>
      </c>
      <c r="AC929" s="93">
        <f>IF('Net zero activities &amp; levers'!$C$12="Off",('Activity data'!AV18*EF!$H17)*kgtoGg,('Net zero Activity data'!AV18*EF!$H17)*kgtoGg)</f>
        <v>0.22151004446445585</v>
      </c>
      <c r="AD929" s="93">
        <f>IF('Net zero activities &amp; levers'!$C$12="Off",('Activity data'!AW18*EF!$H17)*kgtoGg,('Net zero Activity data'!AW18*EF!$H17)*kgtoGg)</f>
        <v>0.22310927152845497</v>
      </c>
      <c r="AE929" s="93">
        <f>IF('Net zero activities &amp; levers'!$C$12="Off",('Activity data'!AX18*EF!$H17)*kgtoGg,('Net zero Activity data'!AX18*EF!$H17)*kgtoGg)</f>
        <v>0.22581066827611573</v>
      </c>
      <c r="AF929" s="93">
        <f>IF('Net zero activities &amp; levers'!$C$12="Off",('Activity data'!AY18*EF!$H17)*kgtoGg,('Net zero Activity data'!AY18*EF!$H17)*kgtoGg)</f>
        <v>0.22897415414993735</v>
      </c>
      <c r="AG929" s="93">
        <f>IF('Net zero activities &amp; levers'!$C$12="Off",('Activity data'!AZ18*EF!$H17)*kgtoGg,('Net zero Activity data'!AZ18*EF!$H17)*kgtoGg)</f>
        <v>0.23325725786741008</v>
      </c>
      <c r="AH929" s="93">
        <f>IF('Net zero activities &amp; levers'!$C$12="Off",('Activity data'!BA18*EF!$H17)*kgtoGg,('Net zero Activity data'!BA18*EF!$H17)*kgtoGg)</f>
        <v>0.2355694633259906</v>
      </c>
      <c r="AI929" s="93">
        <f>IF('Net zero activities &amp; levers'!$C$12="Off",('Activity data'!BB18*EF!$H17)*kgtoGg,('Net zero Activity data'!BB18*EF!$H17)*kgtoGg)</f>
        <v>0.23758894066379471</v>
      </c>
      <c r="AJ929" s="93">
        <f>IF('Net zero activities &amp; levers'!$C$12="Off",('Activity data'!BC18*EF!$H17)*kgtoGg,('Net zero Activity data'!BC18*EF!$H17)*kgtoGg)</f>
        <v>0.24012684498068754</v>
      </c>
      <c r="AK929" s="93">
        <f>IF('Net zero activities &amp; levers'!$C$12="Off",('Activity data'!BD18*EF!$H17)*kgtoGg,('Net zero Activity data'!BD18*EF!$H17)*kgtoGg)</f>
        <v>0.24233029232733053</v>
      </c>
      <c r="AL929" s="93">
        <f>IF('Net zero activities &amp; levers'!$C$12="Off",('Activity data'!BE18*EF!$H17)*kgtoGg,('Net zero Activity data'!BE18*EF!$H17)*kgtoGg)</f>
        <v>0.24476838402109372</v>
      </c>
      <c r="AM929" s="93">
        <f>IF('Net zero activities &amp; levers'!$C$12="Off",('Activity data'!BF18*EF!$H17)*kgtoGg,('Net zero Activity data'!BF18*EF!$H17)*kgtoGg)</f>
        <v>0.2471465510853047</v>
      </c>
      <c r="AN929" s="93">
        <f>IF('Net zero activities &amp; levers'!$C$12="Off",('Activity data'!BG18*EF!$H17)*kgtoGg,('Net zero Activity data'!BG18*EF!$H17)*kgtoGg)</f>
        <v>0.25034836197220872</v>
      </c>
      <c r="AO929" s="93">
        <f>IF('Net zero activities &amp; levers'!$C$12="Off",('Activity data'!BH18*EF!$H17)*kgtoGg,('Net zero Activity data'!BH18*EF!$H17)*kgtoGg)</f>
        <v>0.25312870753017624</v>
      </c>
      <c r="AP929" s="93">
        <f>IF('Net zero activities &amp; levers'!$C$12="Off",('Activity data'!BI18*EF!$H17)*kgtoGg,('Net zero Activity data'!BI18*EF!$H17)*kgtoGg)</f>
        <v>0.25590658217149315</v>
      </c>
      <c r="AQ929" s="93">
        <f>IF('Net zero activities &amp; levers'!$C$12="Off",('Activity data'!BJ18*EF!$H17)*kgtoGg,('Net zero Activity data'!BJ18*EF!$H17)*kgtoGg)</f>
        <v>0.25878311523218522</v>
      </c>
      <c r="AR929" s="93">
        <f>IF('Net zero activities &amp; levers'!$C$12="Off",('Activity data'!BK18*EF!$H17)*kgtoGg,('Net zero Activity data'!BK18*EF!$H17)*kgtoGg)</f>
        <v>0.26179064174949174</v>
      </c>
      <c r="AS929" s="93">
        <f>IF('Net zero activities &amp; levers'!$C$12="Off",('Activity data'!BL18*EF!$H17)*kgtoGg,('Net zero Activity data'!BL18*EF!$H17)*kgtoGg)</f>
        <v>0.26571004181006297</v>
      </c>
      <c r="AT929" s="93">
        <f>IF('Net zero activities &amp; levers'!$C$12="Off",('Activity data'!BM18*EF!$H17)*kgtoGg,('Net zero Activity data'!BM18*EF!$H17)*kgtoGg)</f>
        <v>0.26692384682770609</v>
      </c>
      <c r="AU929" s="93">
        <f>IF('Net zero activities &amp; levers'!$C$12="Off",('Activity data'!BN18*EF!$H17)*kgtoGg,('Net zero Activity data'!BN18*EF!$H17)*kgtoGg)</f>
        <v>0.26789333078695698</v>
      </c>
      <c r="AV929" s="93">
        <f>IF('Net zero activities &amp; levers'!$C$12="Off",('Activity data'!BO18*EF!$H17)*kgtoGg,('Net zero Activity data'!BO18*EF!$H17)*kgtoGg)</f>
        <v>0.26889314963267008</v>
      </c>
      <c r="AW929" s="93">
        <f>IF('Net zero activities &amp; levers'!$C$12="Off",('Activity data'!BP18*EF!$H17)*kgtoGg,('Net zero Activity data'!BP18*EF!$H17)*kgtoGg)</f>
        <v>0.26980819606913181</v>
      </c>
      <c r="AY929" s="79"/>
      <c r="AZ929" s="79"/>
    </row>
    <row r="930" spans="1:52" x14ac:dyDescent="0.2">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7.3924283487896005</v>
      </c>
      <c r="M930" s="27">
        <f t="shared" si="331"/>
        <v>7.4507389435191715</v>
      </c>
      <c r="N930" s="27">
        <f t="shared" si="331"/>
        <v>7.4882097119910753</v>
      </c>
      <c r="O930" s="27">
        <f t="shared" si="331"/>
        <v>7.5131092090175455</v>
      </c>
      <c r="P930" s="27">
        <f t="shared" si="331"/>
        <v>7.5251923679492405</v>
      </c>
      <c r="Q930" s="27">
        <f t="shared" si="331"/>
        <v>7.5518885629203734</v>
      </c>
      <c r="R930" s="27">
        <f t="shared" si="331"/>
        <v>7.5825135825669046</v>
      </c>
      <c r="S930" s="27">
        <f t="shared" si="331"/>
        <v>7.3749406226465846</v>
      </c>
      <c r="T930" s="27">
        <f t="shared" si="331"/>
        <v>7.4596947338228921</v>
      </c>
      <c r="U930" s="27">
        <f t="shared" si="331"/>
        <v>7.5261085209621994</v>
      </c>
      <c r="V930" s="27">
        <f t="shared" si="331"/>
        <v>7.5890282866946253</v>
      </c>
      <c r="W930" s="27">
        <f t="shared" si="331"/>
        <v>7.6625876396153867</v>
      </c>
      <c r="X930" s="27">
        <f t="shared" si="331"/>
        <v>7.733033452737752</v>
      </c>
      <c r="Y930" s="27">
        <f t="shared" si="331"/>
        <v>7.7921158726045912</v>
      </c>
      <c r="Z930" s="27">
        <f t="shared" si="331"/>
        <v>7.8495573007710338</v>
      </c>
      <c r="AA930" s="27">
        <f t="shared" ref="L930:AW932" si="332">AA1393</f>
        <v>7.9040412638168576</v>
      </c>
      <c r="AB930" s="27">
        <f t="shared" si="332"/>
        <v>7.9749152148387106</v>
      </c>
      <c r="AC930" s="27">
        <f t="shared" si="332"/>
        <v>8.0454247210614032</v>
      </c>
      <c r="AD930" s="27">
        <f t="shared" si="332"/>
        <v>8.118986526852904</v>
      </c>
      <c r="AE930" s="27">
        <f t="shared" si="332"/>
        <v>8.2087302780498543</v>
      </c>
      <c r="AF930" s="27">
        <f t="shared" si="332"/>
        <v>8.3068407116005449</v>
      </c>
      <c r="AG930" s="27">
        <f t="shared" si="332"/>
        <v>8.4224927361534156</v>
      </c>
      <c r="AH930" s="27">
        <f t="shared" si="332"/>
        <v>8.5140894306414712</v>
      </c>
      <c r="AI930" s="27">
        <f t="shared" si="332"/>
        <v>8.5991817671771109</v>
      </c>
      <c r="AJ930" s="27">
        <f t="shared" si="332"/>
        <v>8.6936031201600006</v>
      </c>
      <c r="AK930" s="27">
        <f t="shared" si="332"/>
        <v>8.7854891773357977</v>
      </c>
      <c r="AL930" s="27">
        <f t="shared" si="332"/>
        <v>8.8829387927935777</v>
      </c>
      <c r="AM930" s="27">
        <f t="shared" si="332"/>
        <v>8.981789259815093</v>
      </c>
      <c r="AN930" s="27">
        <f t="shared" si="332"/>
        <v>9.0910335877436168</v>
      </c>
      <c r="AO930" s="27">
        <f t="shared" si="332"/>
        <v>9.1965466271076242</v>
      </c>
      <c r="AP930" s="27">
        <f t="shared" si="332"/>
        <v>9.3045679627692603</v>
      </c>
      <c r="AQ930" s="27">
        <f t="shared" si="332"/>
        <v>9.416735487095643</v>
      </c>
      <c r="AR930" s="27">
        <f t="shared" si="332"/>
        <v>9.5336904606360946</v>
      </c>
      <c r="AS930" s="27">
        <f t="shared" si="332"/>
        <v>9.6639189531179213</v>
      </c>
      <c r="AT930" s="27">
        <f t="shared" si="332"/>
        <v>9.7529871408715216</v>
      </c>
      <c r="AU930" s="27">
        <f t="shared" si="332"/>
        <v>9.8400068754522785</v>
      </c>
      <c r="AV930" s="27">
        <f t="shared" si="332"/>
        <v>9.9294924345892497</v>
      </c>
      <c r="AW930" s="27">
        <f t="shared" si="332"/>
        <v>10.019533761751701</v>
      </c>
      <c r="AY930" s="79"/>
      <c r="AZ930" s="79"/>
    </row>
    <row r="931" spans="1:52" x14ac:dyDescent="0.2">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2.1061581299686476</v>
      </c>
      <c r="M931" s="27">
        <f t="shared" si="332"/>
        <v>2.1227712545548472</v>
      </c>
      <c r="N931" s="27">
        <f t="shared" si="332"/>
        <v>2.1334469567638776</v>
      </c>
      <c r="O931" s="27">
        <f t="shared" si="332"/>
        <v>2.1405410097083362</v>
      </c>
      <c r="P931" s="27">
        <f t="shared" si="332"/>
        <v>2.143983592066792</v>
      </c>
      <c r="Q931" s="27">
        <f t="shared" si="332"/>
        <v>2.151589537694508</v>
      </c>
      <c r="R931" s="27">
        <f t="shared" si="332"/>
        <v>2.1603148348588084</v>
      </c>
      <c r="S931" s="27">
        <f t="shared" si="332"/>
        <v>2.1011757459869611</v>
      </c>
      <c r="T931" s="27">
        <f t="shared" si="332"/>
        <v>2.1253228261993073</v>
      </c>
      <c r="U931" s="27">
        <f t="shared" si="332"/>
        <v>2.1442446109127653</v>
      </c>
      <c r="V931" s="27">
        <f t="shared" si="332"/>
        <v>2.162170922793051</v>
      </c>
      <c r="W931" s="27">
        <f t="shared" si="332"/>
        <v>2.1831285326445773</v>
      </c>
      <c r="X931" s="27">
        <f t="shared" si="332"/>
        <v>2.2031990717190912</v>
      </c>
      <c r="Y931" s="27">
        <f t="shared" si="332"/>
        <v>2.2200320950599446</v>
      </c>
      <c r="Z931" s="27">
        <f t="shared" si="332"/>
        <v>2.2363975875911741</v>
      </c>
      <c r="AA931" s="27">
        <f t="shared" si="332"/>
        <v>2.2519204761884857</v>
      </c>
      <c r="AB931" s="27">
        <f t="shared" si="332"/>
        <v>2.2721129949529209</v>
      </c>
      <c r="AC931" s="27">
        <f t="shared" si="332"/>
        <v>2.2922016806681249</v>
      </c>
      <c r="AD931" s="27">
        <f t="shared" si="332"/>
        <v>2.3131599893608721</v>
      </c>
      <c r="AE931" s="27">
        <f t="shared" si="332"/>
        <v>2.3387286553362805</v>
      </c>
      <c r="AF931" s="27">
        <f t="shared" si="332"/>
        <v>2.3666810516948278</v>
      </c>
      <c r="AG931" s="27">
        <f t="shared" si="332"/>
        <v>2.3996311785363349</v>
      </c>
      <c r="AH931" s="27">
        <f t="shared" si="332"/>
        <v>2.4257277619149016</v>
      </c>
      <c r="AI931" s="27">
        <f t="shared" si="332"/>
        <v>2.4499712050619578</v>
      </c>
      <c r="AJ931" s="27">
        <f t="shared" si="332"/>
        <v>2.4768725547733976</v>
      </c>
      <c r="AK931" s="27">
        <f t="shared" si="332"/>
        <v>2.5030515797460584</v>
      </c>
      <c r="AL931" s="27">
        <f t="shared" si="332"/>
        <v>2.5308157040871935</v>
      </c>
      <c r="AM931" s="27">
        <f t="shared" si="332"/>
        <v>2.5589789415168327</v>
      </c>
      <c r="AN931" s="27">
        <f t="shared" si="332"/>
        <v>2.5901034676621961</v>
      </c>
      <c r="AO931" s="27">
        <f t="shared" si="332"/>
        <v>2.6201649217864809</v>
      </c>
      <c r="AP931" s="27">
        <f t="shared" si="332"/>
        <v>2.6509410082873499</v>
      </c>
      <c r="AQ931" s="27">
        <f t="shared" si="332"/>
        <v>2.6828983749511943</v>
      </c>
      <c r="AR931" s="27">
        <f t="shared" si="332"/>
        <v>2.7162197217049746</v>
      </c>
      <c r="AS931" s="27">
        <f t="shared" si="332"/>
        <v>2.7533227932875448</v>
      </c>
      <c r="AT931" s="27">
        <f t="shared" si="332"/>
        <v>2.7786989861849074</v>
      </c>
      <c r="AU931" s="27">
        <f t="shared" si="332"/>
        <v>2.8034915594514418</v>
      </c>
      <c r="AV931" s="27">
        <f t="shared" si="332"/>
        <v>2.8289866645777546</v>
      </c>
      <c r="AW931" s="27">
        <f t="shared" si="332"/>
        <v>2.854640112171523</v>
      </c>
      <c r="AY931" s="79"/>
      <c r="AZ931" s="79"/>
    </row>
    <row r="932" spans="1:52" x14ac:dyDescent="0.2">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0.43500213637199753</v>
      </c>
      <c r="M932" s="27">
        <f t="shared" si="332"/>
        <v>0.43843338143569016</v>
      </c>
      <c r="N932" s="27">
        <f t="shared" si="332"/>
        <v>0.44063832189202168</v>
      </c>
      <c r="O932" s="27">
        <f t="shared" si="332"/>
        <v>0.44210351490980404</v>
      </c>
      <c r="P932" s="27">
        <f t="shared" si="332"/>
        <v>0.44281453971808232</v>
      </c>
      <c r="Q932" s="27">
        <f t="shared" si="332"/>
        <v>0.44438545813589125</v>
      </c>
      <c r="R932" s="27">
        <f t="shared" si="332"/>
        <v>0.44618756541973886</v>
      </c>
      <c r="S932" s="27">
        <f t="shared" si="332"/>
        <v>0.43397308368814624</v>
      </c>
      <c r="T932" s="27">
        <f t="shared" si="332"/>
        <v>0.43896037848337277</v>
      </c>
      <c r="U932" s="27">
        <f t="shared" si="332"/>
        <v>0.4428684500840781</v>
      </c>
      <c r="V932" s="27">
        <f t="shared" si="332"/>
        <v>0.44657091850477143</v>
      </c>
      <c r="W932" s="27">
        <f t="shared" si="332"/>
        <v>0.45089946579138956</v>
      </c>
      <c r="X932" s="27">
        <f t="shared" si="332"/>
        <v>0.45504479906495582</v>
      </c>
      <c r="Y932" s="27">
        <f t="shared" si="332"/>
        <v>0.4585214616244665</v>
      </c>
      <c r="Z932" s="27">
        <f t="shared" si="332"/>
        <v>0.46190156120605425</v>
      </c>
      <c r="AA932" s="27">
        <f t="shared" si="332"/>
        <v>0.46510763087689888</v>
      </c>
      <c r="AB932" s="27">
        <f t="shared" si="332"/>
        <v>0.46927815761763869</v>
      </c>
      <c r="AC932" s="27">
        <f t="shared" si="332"/>
        <v>0.47342723886594434</v>
      </c>
      <c r="AD932" s="27">
        <f t="shared" si="332"/>
        <v>0.4777559304899795</v>
      </c>
      <c r="AE932" s="27">
        <f t="shared" si="332"/>
        <v>0.48303683706827621</v>
      </c>
      <c r="AF932" s="27">
        <f t="shared" si="332"/>
        <v>0.48881007506008173</v>
      </c>
      <c r="AG932" s="27">
        <f t="shared" si="332"/>
        <v>0.49561553537468644</v>
      </c>
      <c r="AH932" s="27">
        <f t="shared" si="332"/>
        <v>0.50100547707002141</v>
      </c>
      <c r="AI932" s="27">
        <f t="shared" si="332"/>
        <v>0.50601267449357823</v>
      </c>
      <c r="AJ932" s="27">
        <f t="shared" si="332"/>
        <v>0.51156883118915397</v>
      </c>
      <c r="AK932" s="27">
        <f t="shared" si="332"/>
        <v>0.51697580022400658</v>
      </c>
      <c r="AL932" s="27">
        <f t="shared" si="332"/>
        <v>0.52271015284978539</v>
      </c>
      <c r="AM932" s="27">
        <f t="shared" si="332"/>
        <v>0.52852693757963265</v>
      </c>
      <c r="AN932" s="27">
        <f t="shared" si="332"/>
        <v>0.5349553415888797</v>
      </c>
      <c r="AO932" s="27">
        <f t="shared" si="332"/>
        <v>0.54116418060264715</v>
      </c>
      <c r="AP932" s="27">
        <f t="shared" si="332"/>
        <v>0.54752061851039679</v>
      </c>
      <c r="AQ932" s="27">
        <f t="shared" si="332"/>
        <v>0.55412103591201056</v>
      </c>
      <c r="AR932" s="27">
        <f t="shared" si="332"/>
        <v>0.56100316732391087</v>
      </c>
      <c r="AS932" s="27">
        <f t="shared" si="332"/>
        <v>0.56866636942385063</v>
      </c>
      <c r="AT932" s="27">
        <f t="shared" si="332"/>
        <v>0.57390752295656533</v>
      </c>
      <c r="AU932" s="27">
        <f t="shared" si="332"/>
        <v>0.57902813673368103</v>
      </c>
      <c r="AV932" s="27">
        <f t="shared" si="332"/>
        <v>0.58429385018566193</v>
      </c>
      <c r="AW932" s="27">
        <f t="shared" si="332"/>
        <v>0.5895922674079066</v>
      </c>
      <c r="AY932" s="79"/>
      <c r="AZ932" s="79"/>
    </row>
    <row r="933" spans="1:52" x14ac:dyDescent="0.2">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9.4871637196006553E-2</v>
      </c>
      <c r="L933" s="93">
        <f>IF('Net zero activities &amp; levers'!$C$12="Off",('Activity data'!AE8*EF!$H21)*kgtoGg,('Net zero Activity data'!AE8*EF!$H21)*kgtoGg)</f>
        <v>9.4048845784615531E-2</v>
      </c>
      <c r="M933" s="93">
        <f>IF('Net zero activities &amp; levers'!$C$12="Off",('Activity data'!AF8*EF!$H21)*kgtoGg,('Net zero Activity data'!AF8*EF!$H21)*kgtoGg)</f>
        <v>9.3735634002294246E-2</v>
      </c>
      <c r="N933" s="93">
        <f>IF('Net zero activities &amp; levers'!$C$12="Off",('Activity data'!AG8*EF!$H21)*kgtoGg,('Net zero Activity data'!AG8*EF!$H21)*kgtoGg)</f>
        <v>9.2483917307495084E-2</v>
      </c>
      <c r="O933" s="93">
        <f>IF('Net zero activities &amp; levers'!$C$12="Off",('Activity data'!AH8*EF!$H21)*kgtoGg,('Net zero Activity data'!AH8*EF!$H21)*kgtoGg)</f>
        <v>9.0667019955957398E-2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7.5194221843696937E-2</v>
      </c>
      <c r="T933" s="93">
        <f>IF('Net zero activities &amp; levers'!$C$12="Off",('Activity data'!AM8*EF!$H21)*kgtoGg,('Net zero Activity data'!AM8*EF!$H21)*kgtoGg)</f>
        <v>7.6632536915557561E-2</v>
      </c>
      <c r="U933" s="93">
        <f>IF('Net zero activities &amp; levers'!$C$12="Off",('Activity data'!AN8*EF!$H21)*kgtoGg,('Net zero Activity data'!AN8*EF!$H21)*kgtoGg)</f>
        <v>7.7401549005272907E-2</v>
      </c>
      <c r="V933" s="93">
        <f>IF('Net zero activities &amp; levers'!$C$12="Off",('Activity data'!AO8*EF!$H21)*kgtoGg,('Net zero Activity data'!AO8*EF!$H21)*kgtoGg)</f>
        <v>7.7993527400119084E-2</v>
      </c>
      <c r="W933" s="93">
        <f>IF('Net zero activities &amp; levers'!$C$12="Off",('Activity data'!AP8*EF!$H21)*kgtoGg,('Net zero Activity data'!AP8*EF!$H21)*kgtoGg)</f>
        <v>7.8850028173398812E-2</v>
      </c>
      <c r="X933" s="93">
        <f>IF('Net zero activities &amp; levers'!$C$12="Off",('Activity data'!AQ8*EF!$H21)*kgtoGg,('Net zero Activity data'!AQ8*EF!$H21)*kgtoGg)</f>
        <v>7.9545124288710786E-2</v>
      </c>
      <c r="Y933" s="93">
        <f>IF('Net zero activities &amp; levers'!$C$12="Off",('Activity data'!AR8*EF!$H21)*kgtoGg,('Net zero Activity data'!AR8*EF!$H21)*kgtoGg)</f>
        <v>7.9993221888415164E-2</v>
      </c>
      <c r="Z933" s="93">
        <f>IF('Net zero activities &amp; levers'!$C$12="Off",('Activity data'!AS8*EF!$H21)*kgtoGg,('Net zero Activity data'!AS8*EF!$H21)*kgtoGg)</f>
        <v>8.0342032341122221E-2</v>
      </c>
      <c r="AA933" s="93">
        <f>IF('Net zero activities &amp; levers'!$C$12="Off",('Activity data'!AT8*EF!$H21)*kgtoGg,('Net zero Activity data'!AT8*EF!$H21)*kgtoGg)</f>
        <v>8.0558218611879576E-2</v>
      </c>
      <c r="AB933" s="93">
        <f>IF('Net zero activities &amp; levers'!$C$12="Off",('Activity data'!AU8*EF!$H21)*kgtoGg,('Net zero Activity data'!AU8*EF!$H21)*kgtoGg)</f>
        <v>8.1198214942881639E-2</v>
      </c>
      <c r="AC933" s="93">
        <f>IF('Net zero activities &amp; levers'!$C$12="Off",('Activity data'!AV8*EF!$H21)*kgtoGg,('Net zero Activity data'!AV8*EF!$H21)*kgtoGg)</f>
        <v>8.1774057106542911E-2</v>
      </c>
      <c r="AD933" s="93">
        <f>IF('Net zero activities &amp; levers'!$C$12="Off",('Activity data'!AW8*EF!$H21)*kgtoGg,('Net zero Activity data'!AW8*EF!$H21)*kgtoGg)</f>
        <v>8.1803756887802739E-2</v>
      </c>
      <c r="AE933" s="93">
        <f>IF('Net zero activities &amp; levers'!$C$12="Off",('Activity data'!AX8*EF!$H21)*kgtoGg,('Net zero Activity data'!AX8*EF!$H21)*kgtoGg)</f>
        <v>8.2189518118440233E-2</v>
      </c>
      <c r="AF933" s="93">
        <f>IF('Net zero activities &amp; levers'!$C$12="Off",('Activity data'!AY8*EF!$H21)*kgtoGg,('Net zero Activity data'!AY8*EF!$H21)*kgtoGg)</f>
        <v>8.2699636683975147E-2</v>
      </c>
      <c r="AG933" s="93">
        <f>IF('Net zero activities &amp; levers'!$C$12="Off",('Activity data'!AZ8*EF!$H21)*kgtoGg,('Net zero Activity data'!AZ8*EF!$H21)*kgtoGg)</f>
        <v>8.3556074547621109E-2</v>
      </c>
      <c r="AH933" s="93">
        <f>IF('Net zero activities &amp; levers'!$C$12="Off",('Activity data'!BA8*EF!$H21)*kgtoGg,('Net zero Activity data'!BA8*EF!$H21)*kgtoGg)</f>
        <v>8.3692861347297365E-2</v>
      </c>
      <c r="AI933" s="93">
        <f>IF('Net zero activities &amp; levers'!$C$12="Off",('Activity data'!BB8*EF!$H21)*kgtoGg,('Net zero Activity data'!BB8*EF!$H21)*kgtoGg)</f>
        <v>8.3678502694708126E-2</v>
      </c>
      <c r="AJ933" s="93">
        <f>IF('Net zero activities &amp; levers'!$C$12="Off",('Activity data'!BC8*EF!$H21)*kgtoGg,('Net zero Activity data'!BC8*EF!$H21)*kgtoGg)</f>
        <v>8.380415826329729E-2</v>
      </c>
      <c r="AK933" s="93">
        <f>IF('Net zero activities &amp; levers'!$C$12="Off",('Activity data'!BD8*EF!$H21)*kgtoGg,('Net zero Activity data'!BD8*EF!$H21)*kgtoGg)</f>
        <v>8.3780965761712248E-2</v>
      </c>
      <c r="AL933" s="93">
        <f>IF('Net zero activities &amp; levers'!$C$12="Off",('Activity data'!BE8*EF!$H21)*kgtoGg,('Net zero Activity data'!BE8*EF!$H21)*kgtoGg)</f>
        <v>8.3798710851856847E-2</v>
      </c>
      <c r="AM933" s="93">
        <f>IF('Net zero activities &amp; levers'!$C$12="Off",('Activity data'!BF8*EF!$H21)*kgtoGg,('Net zero Activity data'!BF8*EF!$H21)*kgtoGg)</f>
        <v>8.3758438816059183E-2</v>
      </c>
      <c r="AN933" s="93">
        <f>IF('Net zero activities &amp; levers'!$C$12="Off",('Activity data'!BG8*EF!$H21)*kgtoGg,('Net zero Activity data'!BG8*EF!$H21)*kgtoGg)</f>
        <v>8.4359602001058728E-2</v>
      </c>
      <c r="AO933" s="93">
        <f>IF('Net zero activities &amp; levers'!$C$12="Off",('Activity data'!BH8*EF!$H21)*kgtoGg,('Net zero Activity data'!BH8*EF!$H21)*kgtoGg)</f>
        <v>8.4799386999346651E-2</v>
      </c>
      <c r="AP933" s="93">
        <f>IF('Net zero activities &amp; levers'!$C$12="Off",('Activity data'!BI8*EF!$H21)*kgtoGg,('Net zero Activity data'!BI8*EF!$H21)*kgtoGg)</f>
        <v>8.5213797519739967E-2</v>
      </c>
      <c r="AQ933" s="93">
        <f>IF('Net zero activities &amp; levers'!$C$12="Off",('Activity data'!BJ8*EF!$H21)*kgtoGg,('Net zero Activity data'!BJ8*EF!$H21)*kgtoGg)</f>
        <v>8.5634541045958551E-2</v>
      </c>
      <c r="AR933" s="93">
        <f>IF('Net zero activities &amp; levers'!$C$12="Off",('Activity data'!BK8*EF!$H21)*kgtoGg,('Net zero Activity data'!BK8*EF!$H21)*kgtoGg)</f>
        <v>8.6070741793779534E-2</v>
      </c>
      <c r="AS933" s="93">
        <f>IF('Net zero activities &amp; levers'!$C$12="Off",('Activity data'!BL8*EF!$H21)*kgtoGg,('Net zero Activity data'!BL8*EF!$H21)*kgtoGg)</f>
        <v>8.6754318409979284E-2</v>
      </c>
      <c r="AT933" s="93">
        <f>IF('Net zero activities &amp; levers'!$C$12="Off",('Activity data'!BM8*EF!$H21)*kgtoGg,('Net zero Activity data'!BM8*EF!$H21)*kgtoGg)</f>
        <v>8.6561782662480824E-2</v>
      </c>
      <c r="AU933" s="93">
        <f>IF('Net zero activities &amp; levers'!$C$12="Off",('Activity data'!BN8*EF!$H21)*kgtoGg,('Net zero Activity data'!BN8*EF!$H21)*kgtoGg)</f>
        <v>8.6273112387571071E-2</v>
      </c>
      <c r="AV933" s="93">
        <f>IF('Net zero activities &amp; levers'!$C$12="Off",('Activity data'!BO8*EF!$H21)*kgtoGg,('Net zero Activity data'!BO8*EF!$H21)*kgtoGg)</f>
        <v>8.5974128279328724E-2</v>
      </c>
      <c r="AW933" s="93">
        <f>IF('Net zero activities &amp; levers'!$C$12="Off",('Activity data'!BP8*EF!$H21)*kgtoGg,('Net zero Activity data'!BP8*EF!$H21)*kgtoGg)</f>
        <v>8.5629055859458861E-2</v>
      </c>
      <c r="AY933" s="79"/>
      <c r="AZ933" s="79"/>
    </row>
    <row r="934" spans="1:52" x14ac:dyDescent="0.2">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6.9689449734106304E-2</v>
      </c>
      <c r="L934" s="93">
        <f>IF('Net zero activities &amp; levers'!$C$12="Off",('Activity data'!AE9*EF!$H22)*kgtoGg,('Net zero Activity data'!AE9*EF!$H22)*kgtoGg)</f>
        <v>6.908505539244103E-2</v>
      </c>
      <c r="M934" s="93">
        <f>IF('Net zero activities &amp; levers'!$C$12="Off",('Activity data'!AF9*EF!$H22)*kgtoGg,('Net zero Activity data'!AF9*EF!$H22)*kgtoGg)</f>
        <v>6.8854980763127793E-2</v>
      </c>
      <c r="N934" s="93">
        <f>IF('Net zero activities &amp; levers'!$C$12="Off",('Activity data'!AG9*EF!$H22)*kgtoGg,('Net zero Activity data'!AG9*EF!$H22)*kgtoGg)</f>
        <v>6.7935512624264269E-2</v>
      </c>
      <c r="O934" s="93">
        <f>IF('Net zero activities &amp; levers'!$C$12="Off",('Activity data'!AH9*EF!$H22)*kgtoGg,('Net zero Activity data'!AH9*EF!$H22)*kgtoGg)</f>
        <v>6.6600882165738284E-2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5.5235095528552075E-2</v>
      </c>
      <c r="T934" s="93">
        <f>IF('Net zero activities &amp; levers'!$C$12="Off",('Activity data'!AM9*EF!$H22)*kgtoGg,('Net zero Activity data'!AM9*EF!$H22)*kgtoGg)</f>
        <v>5.629163243320303E-2</v>
      </c>
      <c r="U934" s="93">
        <f>IF('Net zero activities &amp; levers'!$C$12="Off",('Activity data'!AN9*EF!$H22)*kgtoGg,('Net zero Activity data'!AN9*EF!$H22)*kgtoGg)</f>
        <v>5.6856522330279623E-2</v>
      </c>
      <c r="V934" s="93">
        <f>IF('Net zero activities &amp; levers'!$C$12="Off",('Activity data'!AO9*EF!$H22)*kgtoGg,('Net zero Activity data'!AO9*EF!$H22)*kgtoGg)</f>
        <v>5.7291369348952612E-2</v>
      </c>
      <c r="W934" s="93">
        <f>IF('Net zero activities &amp; levers'!$C$12="Off",('Activity data'!AP9*EF!$H22)*kgtoGg,('Net zero Activity data'!AP9*EF!$H22)*kgtoGg)</f>
        <v>5.7920525431327162E-2</v>
      </c>
      <c r="X934" s="93">
        <f>IF('Net zero activities &amp; levers'!$C$12="Off",('Activity data'!AQ9*EF!$H22)*kgtoGg,('Net zero Activity data'!AQ9*EF!$H22)*kgtoGg)</f>
        <v>5.8431119189589487E-2</v>
      </c>
      <c r="Y934" s="93">
        <f>IF('Net zero activities &amp; levers'!$C$12="Off",('Activity data'!AR9*EF!$H22)*kgtoGg,('Net zero Activity data'!AR9*EF!$H22)*kgtoGg)</f>
        <v>5.8760276312556113E-2</v>
      </c>
      <c r="Z934" s="93">
        <f>IF('Net zero activities &amp; levers'!$C$12="Off",('Activity data'!AS9*EF!$H22)*kgtoGg,('Net zero Activity data'!AS9*EF!$H22)*kgtoGg)</f>
        <v>5.9016500503780274E-2</v>
      </c>
      <c r="AA934" s="93">
        <f>IF('Net zero activities &amp; levers'!$C$12="Off",('Activity data'!AT9*EF!$H22)*kgtoGg,('Net zero Activity data'!AT9*EF!$H22)*kgtoGg)</f>
        <v>5.9175303521145986E-2</v>
      </c>
      <c r="AB934" s="93">
        <f>IF('Net zero activities &amp; levers'!$C$12="Off",('Activity data'!AU9*EF!$H22)*kgtoGg,('Net zero Activity data'!AU9*EF!$H22)*kgtoGg)</f>
        <v>5.9645422868272187E-2</v>
      </c>
      <c r="AC934" s="93">
        <f>IF('Net zero activities &amp; levers'!$C$12="Off",('Activity data'!AV9*EF!$H22)*kgtoGg,('Net zero Activity data'!AV9*EF!$H22)*kgtoGg)</f>
        <v>6.0068416765134525E-2</v>
      </c>
      <c r="AD934" s="93">
        <f>IF('Net zero activities &amp; levers'!$C$12="Off",('Activity data'!AW9*EF!$H22)*kgtoGg,('Net zero Activity data'!AW9*EF!$H22)*kgtoGg)</f>
        <v>6.0090233205478502E-2</v>
      </c>
      <c r="AE934" s="93">
        <f>IF('Net zero activities &amp; levers'!$C$12="Off",('Activity data'!AX9*EF!$H22)*kgtoGg,('Net zero Activity data'!AX9*EF!$H22)*kgtoGg)</f>
        <v>6.0373600170426478E-2</v>
      </c>
      <c r="AF934" s="93">
        <f>IF('Net zero activities &amp; levers'!$C$12="Off",('Activity data'!AY9*EF!$H22)*kgtoGg,('Net zero Activity data'!AY9*EF!$H22)*kgtoGg)</f>
        <v>6.0748315767015518E-2</v>
      </c>
      <c r="AG934" s="93">
        <f>IF('Net zero activities &amp; levers'!$C$12="Off",('Activity data'!AZ9*EF!$H22)*kgtoGg,('Net zero Activity data'!AZ9*EF!$H22)*kgtoGg)</f>
        <v>6.1377425638131498E-2</v>
      </c>
      <c r="AH934" s="93">
        <f>IF('Net zero activities &amp; levers'!$C$12="Off",('Activity data'!BA9*EF!$H22)*kgtoGg,('Net zero Activity data'!BA9*EF!$H22)*kgtoGg)</f>
        <v>6.1477904528156692E-2</v>
      </c>
      <c r="AI934" s="93">
        <f>IF('Net zero activities &amp; levers'!$C$12="Off",('Activity data'!BB9*EF!$H22)*kgtoGg,('Net zero Activity data'!BB9*EF!$H22)*kgtoGg)</f>
        <v>6.1467357154595496E-2</v>
      </c>
      <c r="AJ934" s="93">
        <f>IF('Net zero activities &amp; levers'!$C$12="Off",('Activity data'!BC9*EF!$H22)*kgtoGg,('Net zero Activity data'!BC9*EF!$H22)*kgtoGg)</f>
        <v>6.1559659424165428E-2</v>
      </c>
      <c r="AK934" s="93">
        <f>IF('Net zero activities &amp; levers'!$C$12="Off",('Activity data'!BD9*EF!$H22)*kgtoGg,('Net zero Activity data'!BD9*EF!$H22)*kgtoGg)</f>
        <v>6.1542623008212359E-2</v>
      </c>
      <c r="AL934" s="93">
        <f>IF('Net zero activities &amp; levers'!$C$12="Off",('Activity data'!BE9*EF!$H22)*kgtoGg,('Net zero Activity data'!BE9*EF!$H22)*kgtoGg)</f>
        <v>6.155565794261645E-2</v>
      </c>
      <c r="AM934" s="93">
        <f>IF('Net zero activities &amp; levers'!$C$12="Off",('Activity data'!BF9*EF!$H22)*kgtoGg,('Net zero Activity data'!BF9*EF!$H22)*kgtoGg)</f>
        <v>6.1526075486812389E-2</v>
      </c>
      <c r="AN934" s="93">
        <f>IF('Net zero activities &amp; levers'!$C$12="Off",('Activity data'!BG9*EF!$H22)*kgtoGg,('Net zero Activity data'!BG9*EF!$H22)*kgtoGg)</f>
        <v>6.1967669337211172E-2</v>
      </c>
      <c r="AO934" s="93">
        <f>IF('Net zero activities &amp; levers'!$C$12="Off",('Activity data'!BH9*EF!$H22)*kgtoGg,('Net zero Activity data'!BH9*EF!$H22)*kgtoGg)</f>
        <v>6.2290720308374216E-2</v>
      </c>
      <c r="AP934" s="93">
        <f>IF('Net zero activities &amp; levers'!$C$12="Off",('Activity data'!BI9*EF!$H22)*kgtoGg,('Net zero Activity data'!BI9*EF!$H22)*kgtoGg)</f>
        <v>6.2595132058648639E-2</v>
      </c>
      <c r="AQ934" s="93">
        <f>IF('Net zero activities &amp; levers'!$C$12="Off",('Activity data'!BJ9*EF!$H22)*kgtoGg,('Net zero Activity data'!BJ9*EF!$H22)*kgtoGg)</f>
        <v>6.2904195817723246E-2</v>
      </c>
      <c r="AR934" s="93">
        <f>IF('Net zero activities &amp; levers'!$C$12="Off",('Activity data'!BK9*EF!$H22)*kgtoGg,('Net zero Activity data'!BK9*EF!$H22)*kgtoGg)</f>
        <v>6.3224613921465334E-2</v>
      </c>
      <c r="AS934" s="93">
        <f>IF('Net zero activities &amp; levers'!$C$12="Off",('Activity data'!BL9*EF!$H22)*kgtoGg,('Net zero Activity data'!BL9*EF!$H22)*kgtoGg)</f>
        <v>6.3726745850902156E-2</v>
      </c>
      <c r="AT934" s="93">
        <f>IF('Net zero activities &amp; levers'!$C$12="Off",('Activity data'!BM9*EF!$H22)*kgtoGg,('Net zero Activity data'!BM9*EF!$H22)*kgtoGg)</f>
        <v>6.3585315696496877E-2</v>
      </c>
      <c r="AU934" s="93">
        <f>IF('Net zero activities &amp; levers'!$C$12="Off",('Activity data'!BN9*EF!$H22)*kgtoGg,('Net zero Activity data'!BN9*EF!$H22)*kgtoGg)</f>
        <v>6.3373268416533846E-2</v>
      </c>
      <c r="AV934" s="93">
        <f>IF('Net zero activities &amp; levers'!$C$12="Off",('Activity data'!BO9*EF!$H22)*kgtoGg,('Net zero Activity data'!BO9*EF!$H22)*kgtoGg)</f>
        <v>6.3153644948461887E-2</v>
      </c>
      <c r="AW934" s="93">
        <f>IF('Net zero activities &amp; levers'!$C$12="Off",('Activity data'!BP9*EF!$H22)*kgtoGg,('Net zero Activity data'!BP9*EF!$H22)*kgtoGg)</f>
        <v>6.2900166587911782E-2</v>
      </c>
      <c r="AY934" s="79"/>
      <c r="AZ934" s="79"/>
    </row>
    <row r="935" spans="1:52" x14ac:dyDescent="0.2">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0.48695387967725956</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0.53070826286138573</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0.51624279949509155</v>
      </c>
      <c r="T935" s="93">
        <f>IF('Net zero activities &amp; levers'!$C$12="Off",('Activity data'!AM10*EF!$H23)*kgtoGg,('Net zero Activity data'!AM10*EF!$H23)*kgtoGg)</f>
        <v>0.53879307932677856</v>
      </c>
      <c r="U935" s="93">
        <f>IF('Net zero activities &amp; levers'!$C$12="Off",('Activity data'!AN10*EF!$H23)*kgtoGg,('Net zero Activity data'!AN10*EF!$H23)*kgtoGg)</f>
        <v>0.55713109899852753</v>
      </c>
      <c r="V935" s="93">
        <f>IF('Net zero activities &amp; levers'!$C$12="Off",('Activity data'!AO10*EF!$H23)*kgtoGg,('Net zero Activity data'!AO10*EF!$H23)*kgtoGg)</f>
        <v>0.57456229359809852</v>
      </c>
      <c r="W935" s="93">
        <f>IF('Net zero activities &amp; levers'!$C$12="Off",('Activity data'!AP10*EF!$H23)*kgtoGg,('Net zero Activity data'!AP10*EF!$H23)*kgtoGg)</f>
        <v>0.59433872658918863</v>
      </c>
      <c r="X935" s="93">
        <f>IF('Net zero activities &amp; levers'!$C$12="Off",('Activity data'!AQ10*EF!$H23)*kgtoGg,('Net zero Activity data'!AQ10*EF!$H23)*kgtoGg)</f>
        <v>0.61332693480888556</v>
      </c>
      <c r="Y935" s="93">
        <f>IF('Net zero activities &amp; levers'!$C$12="Off",('Activity data'!AR10*EF!$H23)*kgtoGg,('Net zero Activity data'!AR10*EF!$H23)*kgtoGg)</f>
        <v>0.63078242094770143</v>
      </c>
      <c r="Z935" s="93">
        <f>IF('Net zero activities &amp; levers'!$C$12="Off",('Activity data'!AS10*EF!$H23)*kgtoGg,('Net zero Activity data'!AS10*EF!$H23)*kgtoGg)</f>
        <v>0.64777903840881934</v>
      </c>
      <c r="AA935" s="93">
        <f>IF('Net zero activities &amp; levers'!$C$12="Off",('Activity data'!AT10*EF!$H23)*kgtoGg,('Net zero Activity data'!AT10*EF!$H23)*kgtoGg)</f>
        <v>0.66400113500174907</v>
      </c>
      <c r="AB935" s="93">
        <f>IF('Net zero activities &amp; levers'!$C$12="Off",('Activity data'!AU10*EF!$H23)*kgtoGg,('Net zero Activity data'!AU10*EF!$H23)*kgtoGg)</f>
        <v>0.68407603128870909</v>
      </c>
      <c r="AC935" s="93">
        <f>IF('Net zero activities &amp; levers'!$C$12="Off",('Activity data'!AV10*EF!$H23)*kgtoGg,('Net zero Activity data'!AV10*EF!$H23)*kgtoGg)</f>
        <v>0.70404867201485544</v>
      </c>
      <c r="AD935" s="93">
        <f>IF('Net zero activities &amp; levers'!$C$12="Off",('Activity data'!AW10*EF!$H23)*kgtoGg,('Net zero Activity data'!AW10*EF!$H23)*kgtoGg)</f>
        <v>0.72766101903000513</v>
      </c>
      <c r="AE935" s="93">
        <f>IF('Net zero activities &amp; levers'!$C$12="Off",('Activity data'!AX10*EF!$H23)*kgtoGg,('Net zero Activity data'!AX10*EF!$H23)*kgtoGg)</f>
        <v>0.75538392864169213</v>
      </c>
      <c r="AF935" s="93">
        <f>IF('Net zero activities &amp; levers'!$C$12="Off",('Activity data'!AY10*EF!$H23)*kgtoGg,('Net zero Activity data'!AY10*EF!$H23)*kgtoGg)</f>
        <v>0.78539118200338776</v>
      </c>
      <c r="AG935" s="93">
        <f>IF('Net zero activities &amp; levers'!$C$12="Off",('Activity data'!AZ10*EF!$H23)*kgtoGg,('Net zero Activity data'!AZ10*EF!$H23)*kgtoGg)</f>
        <v>0.8200419216488164</v>
      </c>
      <c r="AH935" s="93">
        <f>IF('Net zero activities &amp; levers'!$C$12="Off",('Activity data'!BA10*EF!$H23)*kgtoGg,('Net zero Activity data'!BA10*EF!$H23)*kgtoGg)</f>
        <v>0.8489366901406914</v>
      </c>
      <c r="AI935" s="93">
        <f>IF('Net zero activities &amp; levers'!$C$12="Off",('Activity data'!BB10*EF!$H23)*kgtoGg,('Net zero Activity data'!BB10*EF!$H23)*kgtoGg)</f>
        <v>0.87738791798686844</v>
      </c>
      <c r="AJ935" s="93">
        <f>IF('Net zero activities &amp; levers'!$C$12="Off",('Activity data'!BC10*EF!$H23)*kgtoGg,('Net zero Activity data'!BC10*EF!$H23)*kgtoGg)</f>
        <v>0.90845821020325546</v>
      </c>
      <c r="AK935" s="93">
        <f>IF('Net zero activities &amp; levers'!$C$12="Off",('Activity data'!BD10*EF!$H23)*kgtoGg,('Net zero Activity data'!BD10*EF!$H23)*kgtoGg)</f>
        <v>0.93913064377113187</v>
      </c>
      <c r="AL935" s="93">
        <f>IF('Net zero activities &amp; levers'!$C$12="Off",('Activity data'!BE10*EF!$H23)*kgtoGg,('Net zero Activity data'!BE10*EF!$H23)*kgtoGg)</f>
        <v>0.97151128715932467</v>
      </c>
      <c r="AM935" s="93">
        <f>IF('Net zero activities &amp; levers'!$C$12="Off",('Activity data'!BF10*EF!$H23)*kgtoGg,('Net zero Activity data'!BF10*EF!$H23)*kgtoGg)</f>
        <v>1.0045387395175103</v>
      </c>
      <c r="AN935" s="93">
        <f>IF('Net zero activities &amp; levers'!$C$12="Off",('Activity data'!BG10*EF!$H23)*kgtoGg,('Net zero Activity data'!BG10*EF!$H23)*kgtoGg)</f>
        <v>1.0402953867873999</v>
      </c>
      <c r="AO935" s="93">
        <f>IF('Net zero activities &amp; levers'!$C$12="Off",('Activity data'!BH10*EF!$H23)*kgtoGg,('Net zero Activity data'!BH10*EF!$H23)*kgtoGg)</f>
        <v>1.0753258690752492</v>
      </c>
      <c r="AP935" s="93">
        <f>IF('Net zero activities &amp; levers'!$C$12="Off",('Activity data'!BI10*EF!$H23)*kgtoGg,('Net zero Activity data'!BI10*EF!$H23)*kgtoGg)</f>
        <v>1.1112943424505797</v>
      </c>
      <c r="AQ935" s="93">
        <f>IF('Net zero activities &amp; levers'!$C$12="Off",('Activity data'!BJ10*EF!$H23)*kgtoGg,('Net zero Activity data'!BJ10*EF!$H23)*kgtoGg)</f>
        <v>1.1486611306142331</v>
      </c>
      <c r="AR935" s="93">
        <f>IF('Net zero activities &amp; levers'!$C$12="Off",('Activity data'!BK10*EF!$H23)*kgtoGg,('Net zero Activity data'!BK10*EF!$H23)*kgtoGg)</f>
        <v>1.1876258937828315</v>
      </c>
      <c r="AS935" s="93">
        <f>IF('Net zero activities &amp; levers'!$C$12="Off",('Activity data'!BL10*EF!$H23)*kgtoGg,('Net zero Activity data'!BL10*EF!$H23)*kgtoGg)</f>
        <v>1.2315704356820807</v>
      </c>
      <c r="AT935" s="93">
        <f>IF('Net zero activities &amp; levers'!$C$12="Off",('Activity data'!BM10*EF!$H23)*kgtoGg,('Net zero Activity data'!BM10*EF!$H23)*kgtoGg)</f>
        <v>1.2644650423303223</v>
      </c>
      <c r="AU935" s="93">
        <f>IF('Net zero activities &amp; levers'!$C$12="Off",('Activity data'!BN10*EF!$H23)*kgtoGg,('Net zero Activity data'!BN10*EF!$H23)*kgtoGg)</f>
        <v>1.2970080883934705</v>
      </c>
      <c r="AV935" s="93">
        <f>IF('Net zero activities &amp; levers'!$C$12="Off",('Activity data'!BO10*EF!$H23)*kgtoGg,('Net zero Activity data'!BO10*EF!$H23)*kgtoGg)</f>
        <v>1.3304588860507658</v>
      </c>
      <c r="AW935" s="93">
        <f>IF('Net zero activities &amp; levers'!$C$12="Off",('Activity data'!BP10*EF!$H23)*kgtoGg,('Net zero Activity data'!BP10*EF!$H23)*kgtoGg)</f>
        <v>1.3642912097880298</v>
      </c>
      <c r="AY935" s="79"/>
      <c r="AZ935" s="79"/>
    </row>
    <row r="936" spans="1:52" x14ac:dyDescent="0.2">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3.6781380176720842E-2</v>
      </c>
      <c r="T936" s="93">
        <f>IF('Net zero activities &amp; levers'!$C$12="Off",('Activity data'!AM11*EF!$H24)*kgtoGg,IF('Net zero activities &amp; levers'!$C$12="PB",('Activity data'!AM11*EF!$H24)*kgtoGg,IF('Net zero activities &amp; levers'!$C$12="MS",('Net zero Activity data'!AM11*EF!$H24)*kgtoGg,"ERROR")))</f>
        <v>3.6837395233082854E-2</v>
      </c>
      <c r="U936" s="93">
        <f>IF('Net zero activities &amp; levers'!$C$12="Off",('Activity data'!AN11*EF!$H24)*kgtoGg,IF('Net zero activities &amp; levers'!$C$12="PB",('Activity data'!AN11*EF!$H24)*kgtoGg,IF('Net zero activities &amp; levers'!$C$12="MS",('Net zero Activity data'!AN11*EF!$H24)*kgtoGg,"ERROR")))</f>
        <v>3.6900705652170011E-2</v>
      </c>
      <c r="V936" s="93">
        <f>IF('Net zero activities &amp; levers'!$C$12="Off",('Activity data'!AO11*EF!$H24)*kgtoGg,IF('Net zero activities &amp; levers'!$C$12="PB",('Activity data'!AO11*EF!$H24)*kgtoGg,IF('Net zero activities &amp; levers'!$C$12="MS",('Net zero Activity data'!AO11*EF!$H24)*kgtoGg,"ERROR")))</f>
        <v>3.6972125402225033E-2</v>
      </c>
      <c r="W936" s="93">
        <f>IF('Net zero activities &amp; levers'!$C$12="Off",('Activity data'!AP11*EF!$H24)*kgtoGg,IF('Net zero activities &amp; levers'!$C$12="PB",('Activity data'!AP11*EF!$H24)*kgtoGg,IF('Net zero activities &amp; levers'!$C$12="MS",('Net zero Activity data'!AP11*EF!$H24)*kgtoGg,"ERROR")))</f>
        <v>3.7052467371172147E-2</v>
      </c>
      <c r="X936" s="93">
        <f>IF('Net zero activities &amp; levers'!$C$12="Off",('Activity data'!AQ11*EF!$H24)*kgtoGg,IF('Net zero activities &amp; levers'!$C$12="PB",('Activity data'!AQ11*EF!$H24)*kgtoGg,IF('Net zero activities &amp; levers'!$C$12="MS",('Net zero Activity data'!AQ11*EF!$H24)*kgtoGg,"ERROR")))</f>
        <v>3.7140056258746688E-2</v>
      </c>
      <c r="Y936" s="93">
        <f>IF('Net zero activities &amp; levers'!$C$12="Off",('Activity data'!AR11*EF!$H24)*kgtoGg,IF('Net zero activities &amp; levers'!$C$12="PB",('Activity data'!AR11*EF!$H24)*kgtoGg,IF('Net zero activities &amp; levers'!$C$12="MS",('Net zero Activity data'!AR11*EF!$H24)*kgtoGg,"ERROR")))</f>
        <v>3.7193327101982677E-2</v>
      </c>
      <c r="Z936" s="93">
        <f>IF('Net zero activities &amp; levers'!$C$12="Off",('Activity data'!AS11*EF!$H24)*kgtoGg,IF('Net zero activities &amp; levers'!$C$12="PB",('Activity data'!AS11*EF!$H24)*kgtoGg,IF('Net zero activities &amp; levers'!$C$12="MS",('Net zero Activity data'!AS11*EF!$H24)*kgtoGg,"ERROR")))</f>
        <v>3.725282757032642E-2</v>
      </c>
      <c r="AA936" s="93">
        <f>IF('Net zero activities &amp; levers'!$C$12="Off",('Activity data'!AT11*EF!$H24)*kgtoGg,IF('Net zero activities &amp; levers'!$C$12="PB",('Activity data'!AT11*EF!$H24)*kgtoGg,IF('Net zero activities &amp; levers'!$C$12="MS",('Net zero Activity data'!AT11*EF!$H24)*kgtoGg,"ERROR")))</f>
        <v>3.7318121191736012E-2</v>
      </c>
      <c r="AB936" s="93">
        <f>IF('Net zero activities &amp; levers'!$C$12="Off",('Activity data'!AU11*EF!$H24)*kgtoGg,IF('Net zero activities &amp; levers'!$C$12="PB",('Activity data'!AU11*EF!$H24)*kgtoGg,IF('Net zero activities &amp; levers'!$C$12="MS",('Net zero Activity data'!AU11*EF!$H24)*kgtoGg,"ERROR")))</f>
        <v>3.7390686259807883E-2</v>
      </c>
      <c r="AC936" s="93">
        <f>IF('Net zero activities &amp; levers'!$C$12="Off",('Activity data'!AV11*EF!$H24)*kgtoGg,IF('Net zero activities &amp; levers'!$C$12="PB",('Activity data'!AV11*EF!$H24)*kgtoGg,IF('Net zero activities &amp; levers'!$C$12="MS",('Net zero Activity data'!AV11*EF!$H24)*kgtoGg,"ERROR")))</f>
        <v>3.7468739847843706E-2</v>
      </c>
      <c r="AD936" s="93">
        <f>IF('Net zero activities &amp; levers'!$C$12="Off",('Activity data'!AW11*EF!$H24)*kgtoGg,IF('Net zero activities &amp; levers'!$C$12="PB",('Activity data'!AW11*EF!$H24)*kgtoGg,IF('Net zero activities &amp; levers'!$C$12="MS",('Net zero Activity data'!AW11*EF!$H24)*kgtoGg,"ERROR")))</f>
        <v>3.751974247344389E-2</v>
      </c>
      <c r="AE936" s="93">
        <f>IF('Net zero activities &amp; levers'!$C$12="Off",('Activity data'!AX11*EF!$H24)*kgtoGg,IF('Net zero activities &amp; levers'!$C$12="PB",('Activity data'!AX11*EF!$H24)*kgtoGg,IF('Net zero activities &amp; levers'!$C$12="MS",('Net zero Activity data'!AX11*EF!$H24)*kgtoGg,"ERROR")))</f>
        <v>3.7576993148623769E-2</v>
      </c>
      <c r="AF936" s="93">
        <f>IF('Net zero activities &amp; levers'!$C$12="Off",('Activity data'!AY11*EF!$H24)*kgtoGg,IF('Net zero activities &amp; levers'!$C$12="PB",('Activity data'!AY11*EF!$H24)*kgtoGg,IF('Net zero activities &amp; levers'!$C$12="MS",('Net zero Activity data'!AY11*EF!$H24)*kgtoGg,"ERROR")))</f>
        <v>3.7639577283476555E-2</v>
      </c>
      <c r="AG936" s="93">
        <f>IF('Net zero activities &amp; levers'!$C$12="Off",('Activity data'!AZ11*EF!$H24)*kgtoGg,IF('Net zero activities &amp; levers'!$C$12="PB",('Activity data'!AZ11*EF!$H24)*kgtoGg,IF('Net zero activities &amp; levers'!$C$12="MS",('Net zero Activity data'!AZ11*EF!$H24)*kgtoGg,"ERROR")))</f>
        <v>3.7708144828082185E-2</v>
      </c>
      <c r="AH936" s="93">
        <f>IF('Net zero activities &amp; levers'!$C$12="Off",('Activity data'!BA11*EF!$H24)*kgtoGg,IF('Net zero activities &amp; levers'!$C$12="PB",('Activity data'!BA11*EF!$H24)*kgtoGg,IF('Net zero activities &amp; levers'!$C$12="MS",('Net zero Activity data'!BA11*EF!$H24)*kgtoGg,"ERROR")))</f>
        <v>3.7778741786852331E-2</v>
      </c>
      <c r="AI936" s="93">
        <f>IF('Net zero activities &amp; levers'!$C$12="Off",('Activity data'!BB11*EF!$H24)*kgtoGg,IF('Net zero activities &amp; levers'!$C$12="PB",('Activity data'!BB11*EF!$H24)*kgtoGg,IF('Net zero activities &amp; levers'!$C$12="MS",('Net zero Activity data'!BB11*EF!$H24)*kgtoGg,"ERROR")))</f>
        <v>3.7822008909384815E-2</v>
      </c>
      <c r="AJ936" s="93">
        <f>IF('Net zero activities &amp; levers'!$C$12="Off",('Activity data'!BC11*EF!$H24)*kgtoGg,IF('Net zero activities &amp; levers'!$C$12="PB",('Activity data'!BC11*EF!$H24)*kgtoGg,IF('Net zero activities &amp; levers'!$C$12="MS",('Net zero Activity data'!BC11*EF!$H24)*kgtoGg,"ERROR")))</f>
        <v>3.7869806060801224E-2</v>
      </c>
      <c r="AK936" s="93">
        <f>IF('Net zero activities &amp; levers'!$C$12="Off",('Activity data'!BD11*EF!$H24)*kgtoGg,IF('Net zero activities &amp; levers'!$C$12="PB",('Activity data'!BD11*EF!$H24)*kgtoGg,IF('Net zero activities &amp; levers'!$C$12="MS",('Net zero Activity data'!BD11*EF!$H24)*kgtoGg,"ERROR")))</f>
        <v>3.7920914851450743E-2</v>
      </c>
      <c r="AL936" s="93">
        <f>IF('Net zero activities &amp; levers'!$C$12="Off",('Activity data'!BE11*EF!$H24)*kgtoGg,IF('Net zero activities &amp; levers'!$C$12="PB",('Activity data'!BE11*EF!$H24)*kgtoGg,IF('Net zero activities &amp; levers'!$C$12="MS",('Net zero Activity data'!BE11*EF!$H24)*kgtoGg,"ERROR")))</f>
        <v>3.7975943332366417E-2</v>
      </c>
      <c r="AM936" s="93">
        <f>IF('Net zero activities &amp; levers'!$C$12="Off",('Activity data'!BF11*EF!$H24)*kgtoGg,IF('Net zero activities &amp; levers'!$C$12="PB",('Activity data'!BF11*EF!$H24)*kgtoGg,IF('Net zero activities &amp; levers'!$C$12="MS",('Net zero Activity data'!BF11*EF!$H24)*kgtoGg,"ERROR")))</f>
        <v>3.8034394238678673E-2</v>
      </c>
      <c r="AN936" s="93">
        <f>IF('Net zero activities &amp; levers'!$C$12="Off",('Activity data'!BG11*EF!$H24)*kgtoGg,IF('Net zero activities &amp; levers'!$C$12="PB",('Activity data'!BG11*EF!$H24)*kgtoGg,IF('Net zero activities &amp; levers'!$C$12="MS",('Net zero Activity data'!BG11*EF!$H24)*kgtoGg,"ERROR")))</f>
        <v>3.8068290997096535E-2</v>
      </c>
      <c r="AO936" s="93">
        <f>IF('Net zero activities &amp; levers'!$C$12="Off",('Activity data'!BH11*EF!$H24)*kgtoGg,IF('Net zero activities &amp; levers'!$C$12="PB",('Activity data'!BH11*EF!$H24)*kgtoGg,IF('Net zero activities &amp; levers'!$C$12="MS",('Net zero Activity data'!BH11*EF!$H24)*kgtoGg,"ERROR")))</f>
        <v>3.8104751343434065E-2</v>
      </c>
      <c r="AP936" s="93">
        <f>IF('Net zero activities &amp; levers'!$C$12="Off",('Activity data'!BI11*EF!$H24)*kgtoGg,IF('Net zero activities &amp; levers'!$C$12="PB",('Activity data'!BI11*EF!$H24)*kgtoGg,IF('Net zero activities &amp; levers'!$C$12="MS",('Net zero Activity data'!BI11*EF!$H24)*kgtoGg,"ERROR")))</f>
        <v>3.8144241244256513E-2</v>
      </c>
      <c r="AQ936" s="93">
        <f>IF('Net zero activities &amp; levers'!$C$12="Off",('Activity data'!BJ11*EF!$H24)*kgtoGg,IF('Net zero activities &amp; levers'!$C$12="PB",('Activity data'!BJ11*EF!$H24)*kgtoGg,IF('Net zero activities &amp; levers'!$C$12="MS",('Net zero Activity data'!BJ11*EF!$H24)*kgtoGg,"ERROR")))</f>
        <v>3.8186815214812375E-2</v>
      </c>
      <c r="AR936" s="93">
        <f>IF('Net zero activities &amp; levers'!$C$12="Off",('Activity data'!BK11*EF!$H24)*kgtoGg,IF('Net zero activities &amp; levers'!$C$12="PB",('Activity data'!BK11*EF!$H24)*kgtoGg,IF('Net zero activities &amp; levers'!$C$12="MS",('Net zero Activity data'!BK11*EF!$H24)*kgtoGg,"ERROR")))</f>
        <v>3.8232443493664919E-2</v>
      </c>
      <c r="AS936" s="93">
        <f>IF('Net zero activities &amp; levers'!$C$12="Off",('Activity data'!BL11*EF!$H24)*kgtoGg,IF('Net zero activities &amp; levers'!$C$12="PB",('Activity data'!BL11*EF!$H24)*kgtoGg,IF('Net zero activities &amp; levers'!$C$12="MS",('Net zero Activity data'!BL11*EF!$H24)*kgtoGg,"ERROR")))</f>
        <v>3.825284618540576E-2</v>
      </c>
      <c r="AT936" s="93">
        <f>IF('Net zero activities &amp; levers'!$C$12="Off",('Activity data'!BM11*EF!$H24)*kgtoGg,IF('Net zero activities &amp; levers'!$C$12="PB",('Activity data'!BM11*EF!$H24)*kgtoGg,IF('Net zero activities &amp; levers'!$C$12="MS",('Net zero Activity data'!BM11*EF!$H24)*kgtoGg,"ERROR")))</f>
        <v>3.8271836221950122E-2</v>
      </c>
      <c r="AU936" s="93">
        <f>IF('Net zero activities &amp; levers'!$C$12="Off",('Activity data'!BN11*EF!$H24)*kgtoGg,IF('Net zero activities &amp; levers'!$C$12="PB",('Activity data'!BN11*EF!$H24)*kgtoGg,IF('Net zero activities &amp; levers'!$C$12="MS",('Net zero Activity data'!BN11*EF!$H24)*kgtoGg,"ERROR")))</f>
        <v>3.8292888607538426E-2</v>
      </c>
      <c r="AV936" s="93">
        <f>IF('Net zero activities &amp; levers'!$C$12="Off",('Activity data'!BO11*EF!$H24)*kgtoGg,IF('Net zero activities &amp; levers'!$C$12="PB",('Activity data'!BO11*EF!$H24)*kgtoGg,IF('Net zero activities &amp; levers'!$C$12="MS",('Net zero Activity data'!BO11*EF!$H24)*kgtoGg,"ERROR")))</f>
        <v>3.8316340791445545E-2</v>
      </c>
      <c r="AW936" s="93">
        <f>IF('Net zero activities &amp; levers'!$C$12="Off",('Activity data'!BP11*EF!$H24)*kgtoGg,IF('Net zero activities &amp; levers'!$C$12="PB",('Activity data'!BP11*EF!$H24)*kgtoGg,IF('Net zero activities &amp; levers'!$C$12="MS",('Net zero Activity data'!BP11*EF!$H24)*kgtoGg,"ERROR")))</f>
        <v>3.8341951349881082E-2</v>
      </c>
      <c r="AY936" s="79"/>
      <c r="AZ936" s="79"/>
    </row>
    <row r="937" spans="1:52" x14ac:dyDescent="0.2">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4.2006089356439562E-3</v>
      </c>
      <c r="T937" s="93">
        <f>IF('Net zero activities &amp; levers'!$C$12="Off",('Activity data'!AM12*EF!$H25)*kgtoGg,IF('Net zero activities &amp; levers'!$C$12="PB",('Activity data'!AM12*EF!$H25)*kgtoGg,IF('Net zero activities &amp; levers'!$C$12="MS",('Net zero Activity data'!AM12*EF!$H25)*kgtoGg,"ERROR")))</f>
        <v>4.2070061220778072E-3</v>
      </c>
      <c r="U937" s="93">
        <f>IF('Net zero activities &amp; levers'!$C$12="Off",('Activity data'!AN12*EF!$H25)*kgtoGg,IF('Net zero activities &amp; levers'!$C$12="PB",('Activity data'!AN12*EF!$H25)*kgtoGg,IF('Net zero activities &amp; levers'!$C$12="MS",('Net zero Activity data'!AN12*EF!$H25)*kgtoGg,"ERROR")))</f>
        <v>4.2142364737084185E-3</v>
      </c>
      <c r="V937" s="93">
        <f>IF('Net zero activities &amp; levers'!$C$12="Off",('Activity data'!AO12*EF!$H25)*kgtoGg,IF('Net zero activities &amp; levers'!$C$12="PB",('Activity data'!AO12*EF!$H25)*kgtoGg,IF('Net zero activities &amp; levers'!$C$12="MS",('Net zero Activity data'!AO12*EF!$H25)*kgtoGg,"ERROR")))</f>
        <v>4.2223929495889085E-3</v>
      </c>
      <c r="W937" s="93">
        <f>IF('Net zero activities &amp; levers'!$C$12="Off",('Activity data'!AP12*EF!$H25)*kgtoGg,IF('Net zero activities &amp; levers'!$C$12="PB",('Activity data'!AP12*EF!$H25)*kgtoGg,IF('Net zero activities &amp; levers'!$C$12="MS",('Net zero Activity data'!AP12*EF!$H25)*kgtoGg,"ERROR")))</f>
        <v>4.2315683853948781E-3</v>
      </c>
      <c r="X937" s="93">
        <f>IF('Net zero activities &amp; levers'!$C$12="Off",('Activity data'!AQ12*EF!$H25)*kgtoGg,IF('Net zero activities &amp; levers'!$C$12="PB",('Activity data'!AQ12*EF!$H25)*kgtoGg,IF('Net zero activities &amp; levers'!$C$12="MS",('Net zero Activity data'!AQ12*EF!$H25)*kgtoGg,"ERROR")))</f>
        <v>4.2415714538507386E-3</v>
      </c>
      <c r="Y937" s="93">
        <f>IF('Net zero activities &amp; levers'!$C$12="Off",('Activity data'!AR12*EF!$H25)*kgtoGg,IF('Net zero activities &amp; levers'!$C$12="PB",('Activity data'!AR12*EF!$H25)*kgtoGg,IF('Net zero activities &amp; levers'!$C$12="MS",('Net zero Activity data'!AR12*EF!$H25)*kgtoGg,"ERROR")))</f>
        <v>4.2476552380652311E-3</v>
      </c>
      <c r="Z937" s="93">
        <f>IF('Net zero activities &amp; levers'!$C$12="Off",('Activity data'!AS12*EF!$H25)*kgtoGg,IF('Net zero activities &amp; levers'!$C$12="PB",('Activity data'!AS12*EF!$H25)*kgtoGg,IF('Net zero activities &amp; levers'!$C$12="MS",('Net zero Activity data'!AS12*EF!$H25)*kgtoGg,"ERROR")))</f>
        <v>4.2544504751607076E-3</v>
      </c>
      <c r="AA937" s="93">
        <f>IF('Net zero activities &amp; levers'!$C$12="Off",('Activity data'!AT12*EF!$H25)*kgtoGg,IF('Net zero activities &amp; levers'!$C$12="PB",('Activity data'!AT12*EF!$H25)*kgtoGg,IF('Net zero activities &amp; levers'!$C$12="MS",('Net zero Activity data'!AT12*EF!$H25)*kgtoGg,"ERROR")))</f>
        <v>4.261907317949531E-3</v>
      </c>
      <c r="AB937" s="93">
        <f>IF('Net zero activities &amp; levers'!$C$12="Off",('Activity data'!AU12*EF!$H25)*kgtoGg,IF('Net zero activities &amp; levers'!$C$12="PB",('Activity data'!AU12*EF!$H25)*kgtoGg,IF('Net zero activities &amp; levers'!$C$12="MS",('Net zero Activity data'!AU12*EF!$H25)*kgtoGg,"ERROR")))</f>
        <v>4.2701945946067351E-3</v>
      </c>
      <c r="AC937" s="93">
        <f>IF('Net zero activities &amp; levers'!$C$12="Off",('Activity data'!AV12*EF!$H25)*kgtoGg,IF('Net zero activities &amp; levers'!$C$12="PB",('Activity data'!AV12*EF!$H25)*kgtoGg,IF('Net zero activities &amp; levers'!$C$12="MS",('Net zero Activity data'!AV12*EF!$H25)*kgtoGg,"ERROR")))</f>
        <v>4.2791086864050034E-3</v>
      </c>
      <c r="AD937" s="93">
        <f>IF('Net zero activities &amp; levers'!$C$12="Off",('Activity data'!AW12*EF!$H25)*kgtoGg,IF('Net zero activities &amp; levers'!$C$12="PB",('Activity data'!AW12*EF!$H25)*kgtoGg,IF('Net zero activities &amp; levers'!$C$12="MS",('Net zero Activity data'!AW12*EF!$H25)*kgtoGg,"ERROR")))</f>
        <v>4.284933429353965E-3</v>
      </c>
      <c r="AE937" s="93">
        <f>IF('Net zero activities &amp; levers'!$C$12="Off",('Activity data'!AX12*EF!$H25)*kgtoGg,IF('Net zero activities &amp; levers'!$C$12="PB",('Activity data'!AX12*EF!$H25)*kgtoGg,IF('Net zero activities &amp; levers'!$C$12="MS",('Net zero Activity data'!AX12*EF!$H25)*kgtoGg,"ERROR")))</f>
        <v>4.2914717293464286E-3</v>
      </c>
      <c r="AF937" s="93">
        <f>IF('Net zero activities &amp; levers'!$C$12="Off",('Activity data'!AY12*EF!$H25)*kgtoGg,IF('Net zero activities &amp; levers'!$C$12="PB",('Activity data'!AY12*EF!$H25)*kgtoGg,IF('Net zero activities &amp; levers'!$C$12="MS",('Net zero Activity data'!AY12*EF!$H25)*kgtoGg,"ERROR")))</f>
        <v>4.2986191358556219E-3</v>
      </c>
      <c r="AG937" s="93">
        <f>IF('Net zero activities &amp; levers'!$C$12="Off",('Activity data'!AZ12*EF!$H25)*kgtoGg,IF('Net zero activities &amp; levers'!$C$12="PB",('Activity data'!AZ12*EF!$H25)*kgtoGg,IF('Net zero activities &amp; levers'!$C$12="MS",('Net zero Activity data'!AZ12*EF!$H25)*kgtoGg,"ERROR")))</f>
        <v>4.3064498762786759E-3</v>
      </c>
      <c r="AH937" s="93">
        <f>IF('Net zero activities &amp; levers'!$C$12="Off",('Activity data'!BA12*EF!$H25)*kgtoGg,IF('Net zero activities &amp; levers'!$C$12="PB",('Activity data'!BA12*EF!$H25)*kgtoGg,IF('Net zero activities &amp; levers'!$C$12="MS",('Net zero Activity data'!BA12*EF!$H25)*kgtoGg,"ERROR")))</f>
        <v>4.3145123854725761E-3</v>
      </c>
      <c r="AI937" s="93">
        <f>IF('Net zero activities &amp; levers'!$C$12="Off",('Activity data'!BB12*EF!$H25)*kgtoGg,IF('Net zero activities &amp; levers'!$C$12="PB",('Activity data'!BB12*EF!$H25)*kgtoGg,IF('Net zero activities &amp; levers'!$C$12="MS",('Net zero Activity data'!BB12*EF!$H25)*kgtoGg,"ERROR")))</f>
        <v>4.3194536970997174E-3</v>
      </c>
      <c r="AJ937" s="93">
        <f>IF('Net zero activities &amp; levers'!$C$12="Off",('Activity data'!BC12*EF!$H25)*kgtoGg,IF('Net zero activities &amp; levers'!$C$12="PB",('Activity data'!BC12*EF!$H25)*kgtoGg,IF('Net zero activities &amp; levers'!$C$12="MS",('Net zero Activity data'!BC12*EF!$H25)*kgtoGg,"ERROR")))</f>
        <v>4.3249123596179112E-3</v>
      </c>
      <c r="AK937" s="93">
        <f>IF('Net zero activities &amp; levers'!$C$12="Off",('Activity data'!BD12*EF!$H25)*kgtoGg,IF('Net zero activities &amp; levers'!$C$12="PB",('Activity data'!BD12*EF!$H25)*kgtoGg,IF('Net zero activities &amp; levers'!$C$12="MS",('Net zero Activity data'!BD12*EF!$H25)*kgtoGg,"ERROR")))</f>
        <v>4.3307492271215465E-3</v>
      </c>
      <c r="AL937" s="93">
        <f>IF('Net zero activities &amp; levers'!$C$12="Off",('Activity data'!BE12*EF!$H25)*kgtoGg,IF('Net zero activities &amp; levers'!$C$12="PB",('Activity data'!BE12*EF!$H25)*kgtoGg,IF('Net zero activities &amp; levers'!$C$12="MS",('Net zero Activity data'!BE12*EF!$H25)*kgtoGg,"ERROR")))</f>
        <v>4.3370337419368866E-3</v>
      </c>
      <c r="AM937" s="93">
        <f>IF('Net zero activities &amp; levers'!$C$12="Off",('Activity data'!BF12*EF!$H25)*kgtoGg,IF('Net zero activities &amp; levers'!$C$12="PB",('Activity data'!BF12*EF!$H25)*kgtoGg,IF('Net zero activities &amp; levers'!$C$12="MS",('Net zero Activity data'!BF12*EF!$H25)*kgtoGg,"ERROR")))</f>
        <v>4.3437091140456031E-3</v>
      </c>
      <c r="AN937" s="93">
        <f>IF('Net zero activities &amp; levers'!$C$12="Off",('Activity data'!BG12*EF!$H25)*kgtoGg,IF('Net zero activities &amp; levers'!$C$12="PB",('Activity data'!BG12*EF!$H25)*kgtoGg,IF('Net zero activities &amp; levers'!$C$12="MS",('Net zero Activity data'!BG12*EF!$H25)*kgtoGg,"ERROR")))</f>
        <v>4.3475802854267562E-3</v>
      </c>
      <c r="AO937" s="93">
        <f>IF('Net zero activities &amp; levers'!$C$12="Off",('Activity data'!BH12*EF!$H25)*kgtoGg,IF('Net zero activities &amp; levers'!$C$12="PB",('Activity data'!BH12*EF!$H25)*kgtoGg,IF('Net zero activities &amp; levers'!$C$12="MS",('Net zero Activity data'!BH12*EF!$H25)*kgtoGg,"ERROR")))</f>
        <v>4.3517442307677472E-3</v>
      </c>
      <c r="AP937" s="93">
        <f>IF('Net zero activities &amp; levers'!$C$12="Off",('Activity data'!BI12*EF!$H25)*kgtoGg,IF('Net zero activities &amp; levers'!$C$12="PB",('Activity data'!BI12*EF!$H25)*kgtoGg,IF('Net zero activities &amp; levers'!$C$12="MS",('Net zero Activity data'!BI12*EF!$H25)*kgtoGg,"ERROR")))</f>
        <v>4.3562541656713728E-3</v>
      </c>
      <c r="AQ937" s="93">
        <f>IF('Net zero activities &amp; levers'!$C$12="Off",('Activity data'!BJ12*EF!$H25)*kgtoGg,IF('Net zero activities &amp; levers'!$C$12="PB",('Activity data'!BJ12*EF!$H25)*kgtoGg,IF('Net zero activities &amp; levers'!$C$12="MS",('Net zero Activity data'!BJ12*EF!$H25)*kgtoGg,"ERROR")))</f>
        <v>4.3611163160388556E-3</v>
      </c>
      <c r="AR937" s="93">
        <f>IF('Net zero activities &amp; levers'!$C$12="Off",('Activity data'!BK12*EF!$H25)*kgtoGg,IF('Net zero activities &amp; levers'!$C$12="PB",('Activity data'!BK12*EF!$H25)*kgtoGg,IF('Net zero activities &amp; levers'!$C$12="MS",('Net zero Activity data'!BK12*EF!$H25)*kgtoGg,"ERROR")))</f>
        <v>4.3663272829722651E-3</v>
      </c>
      <c r="AS937" s="93">
        <f>IF('Net zero activities &amp; levers'!$C$12="Off",('Activity data'!BL12*EF!$H25)*kgtoGg,IF('Net zero activities &amp; levers'!$C$12="PB",('Activity data'!BL12*EF!$H25)*kgtoGg,IF('Net zero activities &amp; levers'!$C$12="MS",('Net zero Activity data'!BL12*EF!$H25)*kgtoGg,"ERROR")))</f>
        <v>4.3686573676190608E-3</v>
      </c>
      <c r="AT937" s="93">
        <f>IF('Net zero activities &amp; levers'!$C$12="Off",('Activity data'!BM12*EF!$H25)*kgtoGg,IF('Net zero activities &amp; levers'!$C$12="PB",('Activity data'!BM12*EF!$H25)*kgtoGg,IF('Net zero activities &amp; levers'!$C$12="MS",('Net zero Activity data'!BM12*EF!$H25)*kgtoGg,"ERROR")))</f>
        <v>4.3708261203089602E-3</v>
      </c>
      <c r="AU937" s="93">
        <f>IF('Net zero activities &amp; levers'!$C$12="Off",('Activity data'!BN12*EF!$H25)*kgtoGg,IF('Net zero activities &amp; levers'!$C$12="PB",('Activity data'!BN12*EF!$H25)*kgtoGg,IF('Net zero activities &amp; levers'!$C$12="MS",('Net zero Activity data'!BN12*EF!$H25)*kgtoGg,"ERROR")))</f>
        <v>4.3732304030899213E-3</v>
      </c>
      <c r="AV937" s="93">
        <f>IF('Net zero activities &amp; levers'!$C$12="Off",('Activity data'!BO12*EF!$H25)*kgtoGg,IF('Net zero activities &amp; levers'!$C$12="PB",('Activity data'!BO12*EF!$H25)*kgtoGg,IF('Net zero activities &amp; levers'!$C$12="MS",('Net zero Activity data'!BO12*EF!$H25)*kgtoGg,"ERROR")))</f>
        <v>4.3759087542775948E-3</v>
      </c>
      <c r="AW937" s="93">
        <f>IF('Net zero activities &amp; levers'!$C$12="Off",('Activity data'!BP12*EF!$H25)*kgtoGg,IF('Net zero activities &amp; levers'!$C$12="PB",('Activity data'!BP12*EF!$H25)*kgtoGg,IF('Net zero activities &amp; levers'!$C$12="MS",('Net zero Activity data'!BP12*EF!$H25)*kgtoGg,"ERROR")))</f>
        <v>4.3788336021243655E-3</v>
      </c>
      <c r="AY937" s="79"/>
      <c r="AZ937" s="79"/>
    </row>
    <row r="938" spans="1:52" x14ac:dyDescent="0.2">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1.5789672763163298E-2</v>
      </c>
      <c r="L938" s="27">
        <f t="shared" si="333"/>
        <v>1.5830718290757027E-2</v>
      </c>
      <c r="M938" s="27">
        <f t="shared" si="333"/>
        <v>1.588733914557475E-2</v>
      </c>
      <c r="N938" s="27">
        <f t="shared" si="333"/>
        <v>1.5956318300360574E-2</v>
      </c>
      <c r="O938" s="27">
        <f t="shared" si="333"/>
        <v>1.6037557372574476E-2</v>
      </c>
      <c r="P938" s="27">
        <f t="shared" si="333"/>
        <v>1.6130561898613765E-2</v>
      </c>
      <c r="Q938" s="27">
        <f t="shared" si="333"/>
        <v>1.623065478441902E-2</v>
      </c>
      <c r="R938" s="27">
        <f t="shared" si="333"/>
        <v>1.6337439810579345E-2</v>
      </c>
      <c r="S938" s="27">
        <f t="shared" si="333"/>
        <v>1.643554333202487E-2</v>
      </c>
      <c r="T938" s="27">
        <f t="shared" si="333"/>
        <v>1.6483301762184554E-2</v>
      </c>
      <c r="U938" s="27">
        <f t="shared" si="333"/>
        <v>1.6534634024242746E-2</v>
      </c>
      <c r="V938" s="27">
        <f t="shared" si="333"/>
        <v>1.6590167866284391E-2</v>
      </c>
      <c r="W938" s="27">
        <f t="shared" si="333"/>
        <v>1.6650513034667372E-2</v>
      </c>
      <c r="X938" s="27">
        <f t="shared" si="333"/>
        <v>1.6714595783630822E-2</v>
      </c>
      <c r="Y938" s="27">
        <f t="shared" si="333"/>
        <v>1.675465761621437E-2</v>
      </c>
      <c r="Z938" s="27">
        <f t="shared" si="333"/>
        <v>1.6797993910304499E-2</v>
      </c>
      <c r="AA938" s="27">
        <f t="shared" ref="L938:AW941" si="334">AA1401</f>
        <v>1.6844349786289844E-2</v>
      </c>
      <c r="AB938" s="27">
        <f t="shared" si="334"/>
        <v>1.6894740217603017E-2</v>
      </c>
      <c r="AC938" s="27">
        <f t="shared" si="334"/>
        <v>1.6948004409300596E-2</v>
      </c>
      <c r="AD938" s="27">
        <f t="shared" si="334"/>
        <v>1.6982631842965532E-2</v>
      </c>
      <c r="AE938" s="27">
        <f t="shared" si="334"/>
        <v>1.7020769407942386E-2</v>
      </c>
      <c r="AF938" s="27">
        <f t="shared" si="334"/>
        <v>1.706182735565186E-2</v>
      </c>
      <c r="AG938" s="27">
        <f t="shared" si="334"/>
        <v>1.7106247534338585E-2</v>
      </c>
      <c r="AH938" s="27">
        <f t="shared" si="334"/>
        <v>1.7151443283113514E-2</v>
      </c>
      <c r="AI938" s="27">
        <f t="shared" si="334"/>
        <v>1.7178196369350997E-2</v>
      </c>
      <c r="AJ938" s="27">
        <f t="shared" si="334"/>
        <v>1.7207475551738096E-2</v>
      </c>
      <c r="AK938" s="27">
        <f t="shared" si="334"/>
        <v>1.7238492794342867E-2</v>
      </c>
      <c r="AL938" s="27">
        <f t="shared" si="334"/>
        <v>1.7271654863993541E-2</v>
      </c>
      <c r="AM938" s="27">
        <f t="shared" si="334"/>
        <v>1.7306645282033659E-2</v>
      </c>
      <c r="AN938" s="27">
        <f t="shared" si="334"/>
        <v>1.7325303131063272E-2</v>
      </c>
      <c r="AO938" s="27">
        <f t="shared" si="334"/>
        <v>1.7345310027733502E-2</v>
      </c>
      <c r="AP938" s="27">
        <f t="shared" si="334"/>
        <v>1.73669746106416E-2</v>
      </c>
      <c r="AQ938" s="27">
        <f t="shared" si="334"/>
        <v>1.7390336782594662E-2</v>
      </c>
      <c r="AR938" s="27">
        <f t="shared" si="334"/>
        <v>1.7415381119938025E-2</v>
      </c>
      <c r="AS938" s="27">
        <f t="shared" si="334"/>
        <v>1.7423900612777786E-2</v>
      </c>
      <c r="AT938" s="27">
        <f t="shared" si="334"/>
        <v>1.7431295916305947E-2</v>
      </c>
      <c r="AU938" s="27">
        <f t="shared" si="334"/>
        <v>1.7439812218621446E-2</v>
      </c>
      <c r="AV938" s="27">
        <f t="shared" si="334"/>
        <v>1.7449669082955088E-2</v>
      </c>
      <c r="AW938" s="27">
        <f t="shared" si="334"/>
        <v>1.7460713883303017E-2</v>
      </c>
      <c r="AY938" s="79"/>
      <c r="AZ938" s="79"/>
    </row>
    <row r="939" spans="1:52" x14ac:dyDescent="0.2">
      <c r="A939" s="95" t="str">
        <f t="shared" si="326"/>
        <v>DS Goats MMCH4</v>
      </c>
      <c r="B939" s="95" t="s">
        <v>974</v>
      </c>
      <c r="C939" s="95" t="s">
        <v>1325</v>
      </c>
      <c r="D939" t="s">
        <v>15</v>
      </c>
      <c r="E939" t="s">
        <v>22</v>
      </c>
      <c r="F939" t="s">
        <v>19</v>
      </c>
      <c r="G939" t="s">
        <v>123</v>
      </c>
      <c r="H939" t="s">
        <v>1227</v>
      </c>
      <c r="I939" t="s">
        <v>121</v>
      </c>
      <c r="J939" t="s">
        <v>286</v>
      </c>
      <c r="K939" s="27">
        <f t="shared" si="333"/>
        <v>2.6592218800664796E-2</v>
      </c>
      <c r="L939" s="27">
        <f t="shared" si="334"/>
        <v>2.6661345733624896E-2</v>
      </c>
      <c r="M939" s="27">
        <f t="shared" si="334"/>
        <v>2.6756703894783639E-2</v>
      </c>
      <c r="N939" s="27">
        <f t="shared" si="334"/>
        <v>2.6872875319249701E-2</v>
      </c>
      <c r="O939" s="27">
        <f t="shared" si="334"/>
        <v>2.7009694315810229E-2</v>
      </c>
      <c r="P939" s="27">
        <f t="shared" si="334"/>
        <v>2.7166328132291764E-2</v>
      </c>
      <c r="Q939" s="27">
        <f t="shared" si="334"/>
        <v>2.7334899828466049E-2</v>
      </c>
      <c r="R939" s="27">
        <f t="shared" si="334"/>
        <v>2.7514742110372921E-2</v>
      </c>
      <c r="S939" s="27">
        <f t="shared" si="334"/>
        <v>2.7679963413342622E-2</v>
      </c>
      <c r="T939" s="27">
        <f t="shared" si="334"/>
        <v>2.7760395898767241E-2</v>
      </c>
      <c r="U939" s="27">
        <f t="shared" si="334"/>
        <v>2.7846847262557959E-2</v>
      </c>
      <c r="V939" s="27">
        <f t="shared" si="334"/>
        <v>2.7940374728298613E-2</v>
      </c>
      <c r="W939" s="27">
        <f t="shared" si="334"/>
        <v>2.8042005201917224E-2</v>
      </c>
      <c r="X939" s="27">
        <f t="shared" si="334"/>
        <v>2.8149930331674167E-2</v>
      </c>
      <c r="Y939" s="27">
        <f t="shared" si="334"/>
        <v>2.8217400572102636E-2</v>
      </c>
      <c r="Z939" s="27">
        <f t="shared" si="334"/>
        <v>2.8290385505466368E-2</v>
      </c>
      <c r="AA939" s="27">
        <f t="shared" si="334"/>
        <v>2.8368455875599344E-2</v>
      </c>
      <c r="AB939" s="27">
        <f t="shared" si="334"/>
        <v>2.8453321052670396E-2</v>
      </c>
      <c r="AC939" s="27">
        <f t="shared" si="334"/>
        <v>2.8543026080830765E-2</v>
      </c>
      <c r="AD939" s="27">
        <f t="shared" si="334"/>
        <v>2.8601343964065915E-2</v>
      </c>
      <c r="AE939" s="27">
        <f t="shared" si="334"/>
        <v>2.8665573444157176E-2</v>
      </c>
      <c r="AF939" s="27">
        <f t="shared" si="334"/>
        <v>2.87347212944878E-2</v>
      </c>
      <c r="AG939" s="27">
        <f t="shared" si="334"/>
        <v>2.8809531654937933E-2</v>
      </c>
      <c r="AH939" s="27">
        <f t="shared" si="334"/>
        <v>2.8885648193786462E-2</v>
      </c>
      <c r="AI939" s="27">
        <f t="shared" si="334"/>
        <v>2.8930704474147112E-2</v>
      </c>
      <c r="AJ939" s="27">
        <f t="shared" si="334"/>
        <v>2.8980015085964157E-2</v>
      </c>
      <c r="AK939" s="27">
        <f t="shared" si="334"/>
        <v>2.9032252856455738E-2</v>
      </c>
      <c r="AL939" s="27">
        <f t="shared" si="334"/>
        <v>2.9088102843042599E-2</v>
      </c>
      <c r="AM939" s="27">
        <f t="shared" si="334"/>
        <v>2.914703204736533E-2</v>
      </c>
      <c r="AN939" s="27">
        <f t="shared" si="334"/>
        <v>2.9178454712748408E-2</v>
      </c>
      <c r="AO939" s="27">
        <f t="shared" si="334"/>
        <v>2.9212149380254012E-2</v>
      </c>
      <c r="AP939" s="27">
        <f t="shared" si="334"/>
        <v>2.9248635844385265E-2</v>
      </c>
      <c r="AQ939" s="27">
        <f t="shared" si="334"/>
        <v>2.9287981307559392E-2</v>
      </c>
      <c r="AR939" s="27">
        <f t="shared" si="334"/>
        <v>2.9330159793987943E-2</v>
      </c>
      <c r="AS939" s="27">
        <f t="shared" si="334"/>
        <v>2.9344507920200803E-2</v>
      </c>
      <c r="AT939" s="27">
        <f t="shared" si="334"/>
        <v>2.9356962740035762E-2</v>
      </c>
      <c r="AU939" s="27">
        <f t="shared" si="334"/>
        <v>2.9371305492918821E-2</v>
      </c>
      <c r="AV939" s="27">
        <f t="shared" si="334"/>
        <v>2.9387905956841046E-2</v>
      </c>
      <c r="AW939" s="27">
        <f t="shared" si="334"/>
        <v>2.9406507086317708E-2</v>
      </c>
      <c r="AY939" s="79"/>
      <c r="AZ939" s="79"/>
    </row>
    <row r="940" spans="1:52" x14ac:dyDescent="0.2">
      <c r="A940" s="95" t="str">
        <f t="shared" si="326"/>
        <v>DS Horses MMCH4</v>
      </c>
      <c r="B940" s="95" t="s">
        <v>974</v>
      </c>
      <c r="C940" s="95" t="s">
        <v>1326</v>
      </c>
      <c r="D940" t="s">
        <v>15</v>
      </c>
      <c r="E940" t="s">
        <v>22</v>
      </c>
      <c r="F940" t="s">
        <v>20</v>
      </c>
      <c r="G940" t="s">
        <v>3</v>
      </c>
      <c r="H940" t="s">
        <v>1227</v>
      </c>
      <c r="I940" t="s">
        <v>121</v>
      </c>
      <c r="J940" t="s">
        <v>286</v>
      </c>
      <c r="K940" s="27">
        <f t="shared" si="333"/>
        <v>4.1336182129460544E-3</v>
      </c>
      <c r="L940" s="27">
        <f t="shared" si="334"/>
        <v>4.1536453250924079E-3</v>
      </c>
      <c r="M940" s="27">
        <f t="shared" si="334"/>
        <v>4.1840370126470534E-3</v>
      </c>
      <c r="N940" s="27">
        <f t="shared" si="334"/>
        <v>4.1905340987284569E-3</v>
      </c>
      <c r="O940" s="27">
        <f t="shared" si="334"/>
        <v>4.1812329246154597E-3</v>
      </c>
      <c r="P940" s="27">
        <f t="shared" si="334"/>
        <v>4.1564738854214548E-3</v>
      </c>
      <c r="Q940" s="27">
        <f t="shared" si="334"/>
        <v>4.1427460620707141E-3</v>
      </c>
      <c r="R940" s="27">
        <f t="shared" si="334"/>
        <v>4.1304087921358321E-3</v>
      </c>
      <c r="S940" s="27">
        <f t="shared" si="334"/>
        <v>3.9117464794758833E-3</v>
      </c>
      <c r="T940" s="27">
        <f t="shared" si="334"/>
        <v>3.9662100660725645E-3</v>
      </c>
      <c r="U940" s="27">
        <f t="shared" si="334"/>
        <v>4.0029759542347092E-3</v>
      </c>
      <c r="V940" s="27">
        <f t="shared" si="334"/>
        <v>4.034929903088018E-3</v>
      </c>
      <c r="W940" s="27">
        <f t="shared" si="334"/>
        <v>4.0740603707179208E-3</v>
      </c>
      <c r="X940" s="27">
        <f t="shared" si="334"/>
        <v>4.1088191524981379E-3</v>
      </c>
      <c r="Y940" s="27">
        <f t="shared" si="334"/>
        <v>4.1408340108354943E-3</v>
      </c>
      <c r="Z940" s="27">
        <f t="shared" si="334"/>
        <v>4.1700941792835473E-3</v>
      </c>
      <c r="AA940" s="27">
        <f t="shared" si="334"/>
        <v>4.1955947055446379E-3</v>
      </c>
      <c r="AB940" s="27">
        <f t="shared" si="334"/>
        <v>4.2332253987930647E-3</v>
      </c>
      <c r="AC940" s="27">
        <f t="shared" si="334"/>
        <v>4.2692111275798939E-3</v>
      </c>
      <c r="AD940" s="27">
        <f t="shared" si="334"/>
        <v>4.3131543062035933E-3</v>
      </c>
      <c r="AE940" s="27">
        <f t="shared" si="334"/>
        <v>4.3689426306597803E-3</v>
      </c>
      <c r="AF940" s="27">
        <f t="shared" si="334"/>
        <v>4.4301694396255923E-3</v>
      </c>
      <c r="AG940" s="27">
        <f t="shared" si="334"/>
        <v>4.5040980436008553E-3</v>
      </c>
      <c r="AH940" s="27">
        <f t="shared" si="334"/>
        <v>4.5574968938879535E-3</v>
      </c>
      <c r="AI940" s="27">
        <f t="shared" si="334"/>
        <v>4.6111863100883922E-3</v>
      </c>
      <c r="AJ940" s="27">
        <f t="shared" si="334"/>
        <v>4.6712172844787037E-3</v>
      </c>
      <c r="AK940" s="27">
        <f t="shared" si="334"/>
        <v>4.7281971529271986E-3</v>
      </c>
      <c r="AL940" s="27">
        <f t="shared" si="334"/>
        <v>4.7885111366995289E-3</v>
      </c>
      <c r="AM940" s="27">
        <f t="shared" si="334"/>
        <v>4.8488762620845097E-3</v>
      </c>
      <c r="AN940" s="27">
        <f t="shared" si="334"/>
        <v>4.9227254913748455E-3</v>
      </c>
      <c r="AO940" s="27">
        <f t="shared" si="334"/>
        <v>4.9927458490609099E-3</v>
      </c>
      <c r="AP940" s="27">
        <f t="shared" si="334"/>
        <v>5.0638022559314124E-3</v>
      </c>
      <c r="AQ940" s="27">
        <f t="shared" si="334"/>
        <v>5.1371515240319849E-3</v>
      </c>
      <c r="AR940" s="27">
        <f t="shared" si="334"/>
        <v>5.2132674563810976E-3</v>
      </c>
      <c r="AS940" s="27">
        <f t="shared" si="334"/>
        <v>5.3054774767517902E-3</v>
      </c>
      <c r="AT940" s="27">
        <f t="shared" si="334"/>
        <v>5.3653290852350754E-3</v>
      </c>
      <c r="AU940" s="27">
        <f t="shared" si="334"/>
        <v>5.4229477307266892E-3</v>
      </c>
      <c r="AV940" s="27">
        <f t="shared" si="334"/>
        <v>5.4817978053370176E-3</v>
      </c>
      <c r="AW940" s="27">
        <f t="shared" si="334"/>
        <v>5.5404187134472614E-3</v>
      </c>
      <c r="AY940" s="79"/>
      <c r="AZ940" s="79"/>
    </row>
    <row r="941" spans="1:52" x14ac:dyDescent="0.2">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2">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23.279067868377396</v>
      </c>
      <c r="L942" s="93">
        <f>IF('Net zero activities &amp; levers'!$C$12="Off",('Activity data'!AE17*EF!$H30)*kgtoGg,IF('Net zero activities &amp; levers'!$C$12="PB",('Activity data'!AE17*EF!$H30)*kgtoGg,IF('Net zero activities &amp; levers'!$C$12="MS",('Net zero Activity data'!AE17*EF!$H30)*kgtoGg,"ERROR")))</f>
        <v>23.152530650802607</v>
      </c>
      <c r="M942" s="93">
        <f>IF('Net zero activities &amp; levers'!$C$12="Off",('Activity data'!AF17*EF!$H30)*kgtoGg,IF('Net zero activities &amp; levers'!$C$12="PB",('Activity data'!AF17*EF!$H30)*kgtoGg,IF('Net zero activities &amp; levers'!$C$12="MS",('Net zero Activity data'!AF17*EF!$H30)*kgtoGg,"ERROR")))</f>
        <v>23.162916433064311</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22.602951186820608</v>
      </c>
      <c r="P942" s="93">
        <f>IF('Net zero activities &amp; levers'!$C$12="Off",('Activity data'!AI17*EF!$H30)*kgtoGg,IF('Net zero activities &amp; levers'!$C$12="PB",('Activity data'!AI17*EF!$H30)*kgtoGg,IF('Net zero activities &amp; levers'!$C$12="MS",('Net zero Activity data'!AI17*EF!$H30)*kgtoGg,"ERROR")))</f>
        <v>22.126532811374954</v>
      </c>
      <c r="Q942" s="93">
        <f>IF('Net zero activities &amp; levers'!$C$12="Off",('Activity data'!AJ17*EF!$H30)*kgtoGg,IF('Net zero activities &amp; levers'!$C$12="PB",('Activity data'!AJ17*EF!$H30)*kgtoGg,IF('Net zero activities &amp; levers'!$C$12="MS",('Net zero Activity data'!AJ17*EF!$H30)*kgtoGg,"ERROR")))</f>
        <v>21.780600237355969</v>
      </c>
      <c r="R942" s="93">
        <f>IF('Net zero activities &amp; levers'!$C$12="Off",('Activity data'!AK17*EF!$H30)*kgtoGg,IF('Net zero activities &amp; levers'!$C$12="PB",('Activity data'!AK17*EF!$H30)*kgtoGg,IF('Net zero activities &amp; levers'!$C$12="MS",('Net zero Activity data'!AK17*EF!$H30)*kgtoGg,"ERROR")))</f>
        <v>21.465278056857684</v>
      </c>
      <c r="S942" s="93">
        <f>IF('Net zero activities &amp; levers'!$C$12="Off",('Activity data'!AL17*EF!$H30)*kgtoGg,IF('Net zero activities &amp; levers'!$C$12="PB",('Activity data'!AL17*EF!$H30)*kgtoGg,IF('Net zero activities &amp; levers'!$C$12="MS",('Net zero Activity data'!AL17*EF!$H30)*kgtoGg,"ERROR")))</f>
        <v>19.125432200749973</v>
      </c>
      <c r="T942" s="93">
        <f>IF('Net zero activities &amp; levers'!$C$12="Off",('Activity data'!AM17*EF!$H30)*kgtoGg,IF('Net zero activities &amp; levers'!$C$12="PB",('Activity data'!AM17*EF!$H30)*kgtoGg,IF('Net zero activities &amp; levers'!$C$12="MS",('Net zero Activity data'!AM17*EF!$H30)*kgtoGg,"ERROR")))</f>
        <v>19.424042125834905</v>
      </c>
      <c r="U942" s="93">
        <f>IF('Net zero activities &amp; levers'!$C$12="Off",('Activity data'!AN17*EF!$H30)*kgtoGg,IF('Net zero activities &amp; levers'!$C$12="PB",('Activity data'!AN17*EF!$H30)*kgtoGg,IF('Net zero activities &amp; levers'!$C$12="MS",('Net zero Activity data'!AN17*EF!$H30)*kgtoGg,"ERROR")))</f>
        <v>19.550864503199985</v>
      </c>
      <c r="V942" s="93">
        <f>IF('Net zero activities &amp; levers'!$C$12="Off",('Activity data'!AO17*EF!$H30)*kgtoGg,IF('Net zero activities &amp; levers'!$C$12="PB",('Activity data'!AO17*EF!$H30)*kgtoGg,IF('Net zero activities &amp; levers'!$C$12="MS",('Net zero Activity data'!AO17*EF!$H30)*kgtoGg,"ERROR")))</f>
        <v>19.634386542439195</v>
      </c>
      <c r="W942" s="93">
        <f>IF('Net zero activities &amp; levers'!$C$12="Off",('Activity data'!AP17*EF!$H30)*kgtoGg,IF('Net zero activities &amp; levers'!$C$12="PB",('Activity data'!AP17*EF!$H30)*kgtoGg,IF('Net zero activities &amp; levers'!$C$12="MS",('Net zero Activity data'!AP17*EF!$H30)*kgtoGg,"ERROR")))</f>
        <v>19.789042358153409</v>
      </c>
      <c r="X942" s="93">
        <f>IF('Net zero activities &amp; levers'!$C$12="Off",('Activity data'!AQ17*EF!$H30)*kgtoGg,IF('Net zero activities &amp; levers'!$C$12="PB",('Activity data'!AQ17*EF!$H30)*kgtoGg,IF('Net zero activities &amp; levers'!$C$12="MS",('Net zero Activity data'!AQ17*EF!$H30)*kgtoGg,"ERROR")))</f>
        <v>19.904231049540165</v>
      </c>
      <c r="Y942" s="93">
        <f>IF('Net zero activities &amp; levers'!$C$12="Off",('Activity data'!AR17*EF!$H30)*kgtoGg,IF('Net zero activities &amp; levers'!$C$12="PB",('Activity data'!AR17*EF!$H30)*kgtoGg,IF('Net zero activities &amp; levers'!$C$12="MS",('Net zero Activity data'!AR17*EF!$H30)*kgtoGg,"ERROR")))</f>
        <v>19.9646517912891</v>
      </c>
      <c r="Z942" s="93">
        <f>IF('Net zero activities &amp; levers'!$C$12="Off",('Activity data'!AS17*EF!$H30)*kgtoGg,IF('Net zero activities &amp; levers'!$C$12="PB",('Activity data'!AS17*EF!$H30)*kgtoGg,IF('Net zero activities &amp; levers'!$C$12="MS",('Net zero Activity data'!AS17*EF!$H30)*kgtoGg,"ERROR")))</f>
        <v>20.001671240877961</v>
      </c>
      <c r="AA942" s="93">
        <f>IF('Net zero activities &amp; levers'!$C$12="Off",('Activity data'!AT17*EF!$H30)*kgtoGg,IF('Net zero activities &amp; levers'!$C$12="PB",('Activity data'!AT17*EF!$H30)*kgtoGg,IF('Net zero activities &amp; levers'!$C$12="MS",('Net zero Activity data'!AT17*EF!$H30)*kgtoGg,"ERROR")))</f>
        <v>20.006692976737387</v>
      </c>
      <c r="AB942" s="93">
        <f>IF('Net zero activities &amp; levers'!$C$12="Off",('Activity data'!AU17*EF!$H30)*kgtoGg,IF('Net zero activities &amp; levers'!$C$12="PB",('Activity data'!AU17*EF!$H30)*kgtoGg,IF('Net zero activities &amp; levers'!$C$12="MS",('Net zero Activity data'!AU17*EF!$H30)*kgtoGg,"ERROR")))</f>
        <v>20.122871452289811</v>
      </c>
      <c r="AC942" s="93">
        <f>IF('Net zero activities &amp; levers'!$C$12="Off",('Activity data'!AV17*EF!$H30)*kgtoGg,IF('Net zero activities &amp; levers'!$C$12="PB",('Activity data'!AV17*EF!$H30)*kgtoGg,IF('Net zero activities &amp; levers'!$C$12="MS",('Net zero Activity data'!AV17*EF!$H30)*kgtoGg,"ERROR")))</f>
        <v>20.224352633636123</v>
      </c>
      <c r="AD942" s="93">
        <f>IF('Net zero activities &amp; levers'!$C$12="Off",('Activity data'!AW17*EF!$H30)*kgtoGg,IF('Net zero activities &amp; levers'!$C$12="PB",('Activity data'!AW17*EF!$H30)*kgtoGg,IF('Net zero activities &amp; levers'!$C$12="MS",('Net zero Activity data'!AW17*EF!$H30)*kgtoGg,"ERROR")))</f>
        <v>20.37036557025834</v>
      </c>
      <c r="AE942" s="93">
        <f>IF('Net zero activities &amp; levers'!$C$12="Off",('Activity data'!AX17*EF!$H30)*kgtoGg,IF('Net zero activities &amp; levers'!$C$12="PB",('Activity data'!AX17*EF!$H30)*kgtoGg,IF('Net zero activities &amp; levers'!$C$12="MS",('Net zero Activity data'!AX17*EF!$H30)*kgtoGg,"ERROR")))</f>
        <v>20.617009015074299</v>
      </c>
      <c r="AF942" s="93">
        <f>IF('Net zero activities &amp; levers'!$C$12="Off",('Activity data'!AY17*EF!$H30)*kgtoGg,IF('Net zero activities &amp; levers'!$C$12="PB",('Activity data'!AY17*EF!$H30)*kgtoGg,IF('Net zero activities &amp; levers'!$C$12="MS",('Net zero Activity data'!AY17*EF!$H30)*kgtoGg,"ERROR")))</f>
        <v>20.905842210058196</v>
      </c>
      <c r="AG942" s="93">
        <f>IF('Net zero activities &amp; levers'!$C$12="Off",('Activity data'!AZ17*EF!$H30)*kgtoGg,IF('Net zero activities &amp; levers'!$C$12="PB",('Activity data'!AZ17*EF!$H30)*kgtoGg,IF('Net zero activities &amp; levers'!$C$12="MS",('Net zero Activity data'!AZ17*EF!$H30)*kgtoGg,"ERROR")))</f>
        <v>21.296898968491135</v>
      </c>
      <c r="AH942" s="93">
        <f>IF('Net zero activities &amp; levers'!$C$12="Off",('Activity data'!BA17*EF!$H30)*kgtoGg,IF('Net zero activities &amp; levers'!$C$12="PB",('Activity data'!BA17*EF!$H30)*kgtoGg,IF('Net zero activities &amp; levers'!$C$12="MS",('Net zero Activity data'!BA17*EF!$H30)*kgtoGg,"ERROR")))</f>
        <v>21.508008395464572</v>
      </c>
      <c r="AI942" s="93">
        <f>IF('Net zero activities &amp; levers'!$C$12="Off",('Activity data'!BB17*EF!$H30)*kgtoGg,IF('Net zero activities &amp; levers'!$C$12="PB",('Activity data'!BB17*EF!$H30)*kgtoGg,IF('Net zero activities &amp; levers'!$C$12="MS",('Net zero Activity data'!BB17*EF!$H30)*kgtoGg,"ERROR")))</f>
        <v>21.692391103319341</v>
      </c>
      <c r="AJ942" s="93">
        <f>IF('Net zero activities &amp; levers'!$C$12="Off",('Activity data'!BC17*EF!$H30)*kgtoGg,IF('Net zero activities &amp; levers'!$C$12="PB",('Activity data'!BC17*EF!$H30)*kgtoGg,IF('Net zero activities &amp; levers'!$C$12="MS",('Net zero Activity data'!BC17*EF!$H30)*kgtoGg,"ERROR")))</f>
        <v>21.924107330813051</v>
      </c>
      <c r="AK942" s="93">
        <f>IF('Net zero activities &amp; levers'!$C$12="Off",('Activity data'!BD17*EF!$H30)*kgtoGg,IF('Net zero activities &amp; levers'!$C$12="PB",('Activity data'!BD17*EF!$H30)*kgtoGg,IF('Net zero activities &amp; levers'!$C$12="MS",('Net zero Activity data'!BD17*EF!$H30)*kgtoGg,"ERROR")))</f>
        <v>22.125286903757015</v>
      </c>
      <c r="AL942" s="93">
        <f>IF('Net zero activities &amp; levers'!$C$12="Off",('Activity data'!BE17*EF!$H30)*kgtoGg,IF('Net zero activities &amp; levers'!$C$12="PB",('Activity data'!BE17*EF!$H30)*kgtoGg,IF('Net zero activities &amp; levers'!$C$12="MS",('Net zero Activity data'!BE17*EF!$H30)*kgtoGg,"ERROR")))</f>
        <v>22.347890019958896</v>
      </c>
      <c r="AM942" s="93">
        <f>IF('Net zero activities &amp; levers'!$C$12="Off",('Activity data'!BF17*EF!$H30)*kgtoGg,IF('Net zero activities &amp; levers'!$C$12="PB",('Activity data'!BF17*EF!$H30)*kgtoGg,IF('Net zero activities &amp; levers'!$C$12="MS",('Net zero Activity data'!BF17*EF!$H30)*kgtoGg,"ERROR")))</f>
        <v>22.565021886121382</v>
      </c>
      <c r="AN942" s="93">
        <f>IF('Net zero activities &amp; levers'!$C$12="Off",('Activity data'!BG17*EF!$H30)*kgtoGg,IF('Net zero activities &amp; levers'!$C$12="PB",('Activity data'!BG17*EF!$H30)*kgtoGg,IF('Net zero activities &amp; levers'!$C$12="MS",('Net zero Activity data'!BG17*EF!$H30)*kgtoGg,"ERROR")))</f>
        <v>22.857354238812295</v>
      </c>
      <c r="AO942" s="93">
        <f>IF('Net zero activities &amp; levers'!$C$12="Off",('Activity data'!BH17*EF!$H30)*kgtoGg,IF('Net zero activities &amp; levers'!$C$12="PB",('Activity data'!BH17*EF!$H30)*kgtoGg,IF('Net zero activities &amp; levers'!$C$12="MS",('Net zero Activity data'!BH17*EF!$H30)*kgtoGg,"ERROR")))</f>
        <v>23.111205883073605</v>
      </c>
      <c r="AP942" s="93">
        <f>IF('Net zero activities &amp; levers'!$C$12="Off",('Activity data'!BI17*EF!$H30)*kgtoGg,IF('Net zero activities &amp; levers'!$C$12="PB",('Activity data'!BI17*EF!$H30)*kgtoGg,IF('Net zero activities &amp; levers'!$C$12="MS",('Net zero Activity data'!BI17*EF!$H30)*kgtoGg,"ERROR")))</f>
        <v>23.364831927228202</v>
      </c>
      <c r="AQ942" s="93">
        <f>IF('Net zero activities &amp; levers'!$C$12="Off",('Activity data'!BJ17*EF!$H30)*kgtoGg,IF('Net zero activities &amp; levers'!$C$12="PB",('Activity data'!BJ17*EF!$H30)*kgtoGg,IF('Net zero activities &amp; levers'!$C$12="MS",('Net zero Activity data'!BJ17*EF!$H30)*kgtoGg,"ERROR")))</f>
        <v>23.627465701341702</v>
      </c>
      <c r="AR942" s="93">
        <f>IF('Net zero activities &amp; levers'!$C$12="Off",('Activity data'!BK17*EF!$H30)*kgtoGg,IF('Net zero activities &amp; levers'!$C$12="PB",('Activity data'!BK17*EF!$H30)*kgtoGg,IF('Net zero activities &amp; levers'!$C$12="MS",('Net zero Activity data'!BK17*EF!$H30)*kgtoGg,"ERROR")))</f>
        <v>23.902059465195961</v>
      </c>
      <c r="AS942" s="93">
        <f>IF('Net zero activities &amp; levers'!$C$12="Off",('Activity data'!BL17*EF!$H30)*kgtoGg,IF('Net zero activities &amp; levers'!$C$12="PB",('Activity data'!BL17*EF!$H30)*kgtoGg,IF('Net zero activities &amp; levers'!$C$12="MS",('Net zero Activity data'!BL17*EF!$H30)*kgtoGg,"ERROR")))</f>
        <v>24.259909282475949</v>
      </c>
      <c r="AT942" s="93">
        <f>IF('Net zero activities &amp; levers'!$C$12="Off",('Activity data'!BM17*EF!$H30)*kgtoGg,IF('Net zero activities &amp; levers'!$C$12="PB",('Activity data'!BM17*EF!$H30)*kgtoGg,IF('Net zero activities &amp; levers'!$C$12="MS",('Net zero Activity data'!BM17*EF!$H30)*kgtoGg,"ERROR")))</f>
        <v>24.370732341378943</v>
      </c>
      <c r="AU942" s="93">
        <f>IF('Net zero activities &amp; levers'!$C$12="Off",('Activity data'!BN17*EF!$H30)*kgtoGg,IF('Net zero activities &amp; levers'!$C$12="PB",('Activity data'!BN17*EF!$H30)*kgtoGg,IF('Net zero activities &amp; levers'!$C$12="MS",('Net zero Activity data'!BN17*EF!$H30)*kgtoGg,"ERROR")))</f>
        <v>24.459248352072496</v>
      </c>
      <c r="AV942" s="93">
        <f>IF('Net zero activities &amp; levers'!$C$12="Off",('Activity data'!BO17*EF!$H30)*kgtoGg,IF('Net zero activities &amp; levers'!$C$12="PB",('Activity data'!BO17*EF!$H30)*kgtoGg,IF('Net zero activities &amp; levers'!$C$12="MS",('Net zero Activity data'!BO17*EF!$H30)*kgtoGg,"ERROR")))</f>
        <v>24.550534004397402</v>
      </c>
      <c r="AW942" s="93">
        <f>IF('Net zero activities &amp; levers'!$C$12="Off",('Activity data'!BP17*EF!$H30)*kgtoGg,IF('Net zero activities &amp; levers'!$C$12="PB",('Activity data'!BP17*EF!$H30)*kgtoGg,IF('Net zero activities &amp; levers'!$C$12="MS",('Net zero Activity data'!BP17*EF!$H30)*kgtoGg,"ERROR")))</f>
        <v>24.634079749927345</v>
      </c>
      <c r="AY942" s="79"/>
      <c r="AZ942" s="79"/>
    </row>
    <row r="943" spans="1:52" x14ac:dyDescent="0.2">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7.7508449141861155E-2</v>
      </c>
      <c r="M943" s="93">
        <f>IF('Net zero activities &amp; levers'!$C$12="Off",('Activity data'!AF18*EF!$H31)*kgtoGg,IF('Net zero activities &amp; levers'!$C$12="PB",('Activity data'!AF18*EF!$H31)*kgtoGg,IF('Net zero activities &amp; levers'!$C$12="MS",('Net zero Activity data'!AF18*EF!$H31)*kgtoGg,"ERROR")))</f>
        <v>7.7543217949140625E-2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7.5668604825232064E-2</v>
      </c>
      <c r="P943" s="93">
        <f>IF('Net zero activities &amp; levers'!$C$12="Off",('Activity data'!AI18*EF!$H31)*kgtoGg,IF('Net zero activities &amp; levers'!$C$12="PB",('Activity data'!AI18*EF!$H31)*kgtoGg,IF('Net zero activities &amp; levers'!$C$12="MS",('Net zero Activity data'!AI18*EF!$H31)*kgtoGg,"ERROR")))</f>
        <v>7.4073684167079407E-2</v>
      </c>
      <c r="Q943" s="93">
        <f>IF('Net zero activities &amp; levers'!$C$12="Off",('Activity data'!AJ18*EF!$H31)*kgtoGg,IF('Net zero activities &amp; levers'!$C$12="PB",('Activity data'!AJ18*EF!$H31)*kgtoGg,IF('Net zero activities &amp; levers'!$C$12="MS",('Net zero Activity data'!AJ18*EF!$H31)*kgtoGg,"ERROR")))</f>
        <v>7.291559489708703E-2</v>
      </c>
      <c r="R943" s="93">
        <f>IF('Net zero activities &amp; levers'!$C$12="Off",('Activity data'!AK18*EF!$H31)*kgtoGg,IF('Net zero activities &amp; levers'!$C$12="PB",('Activity data'!AK18*EF!$H31)*kgtoGg,IF('Net zero activities &amp; levers'!$C$12="MS",('Net zero Activity data'!AK18*EF!$H31)*kgtoGg,"ERROR")))</f>
        <v>7.1859980996426695E-2</v>
      </c>
      <c r="S943" s="93">
        <f>IF('Net zero activities &amp; levers'!$C$12="Off",('Activity data'!AL18*EF!$H31)*kgtoGg,IF('Net zero activities &amp; levers'!$C$12="PB",('Activity data'!AL18*EF!$H31)*kgtoGg,IF('Net zero activities &amp; levers'!$C$12="MS",('Net zero Activity data'!AL18*EF!$H31)*kgtoGg,"ERROR")))</f>
        <v>6.4026806028504468E-2</v>
      </c>
      <c r="T943" s="93">
        <f>IF('Net zero activities &amp; levers'!$C$12="Off",('Activity data'!AM18*EF!$H31)*kgtoGg,IF('Net zero activities &amp; levers'!$C$12="PB",('Activity data'!AM18*EF!$H31)*kgtoGg,IF('Net zero activities &amp; levers'!$C$12="MS",('Net zero Activity data'!AM18*EF!$H31)*kgtoGg,"ERROR")))</f>
        <v>6.5026471790350593E-2</v>
      </c>
      <c r="U943" s="93">
        <f>IF('Net zero activities &amp; levers'!$C$12="Off",('Activity data'!AN18*EF!$H31)*kgtoGg,IF('Net zero activities &amp; levers'!$C$12="PB",('Activity data'!AN18*EF!$H31)*kgtoGg,IF('Net zero activities &amp; levers'!$C$12="MS",('Net zero Activity data'!AN18*EF!$H31)*kgtoGg,"ERROR")))</f>
        <v>6.5451039019493229E-2</v>
      </c>
      <c r="V943" s="93">
        <f>IF('Net zero activities &amp; levers'!$C$12="Off",('Activity data'!AO18*EF!$H31)*kgtoGg,IF('Net zero activities &amp; levers'!$C$12="PB",('Activity data'!AO18*EF!$H31)*kgtoGg,IF('Net zero activities &amp; levers'!$C$12="MS",('Net zero Activity data'!AO18*EF!$H31)*kgtoGg,"ERROR")))</f>
        <v>6.5730648355864951E-2</v>
      </c>
      <c r="W943" s="93">
        <f>IF('Net zero activities &amp; levers'!$C$12="Off",('Activity data'!AP18*EF!$H31)*kgtoGg,IF('Net zero activities &amp; levers'!$C$12="PB",('Activity data'!AP18*EF!$H31)*kgtoGg,IF('Net zero activities &amp; levers'!$C$12="MS",('Net zero Activity data'!AP18*EF!$H31)*kgtoGg,"ERROR")))</f>
        <v>6.6248394454879955E-2</v>
      </c>
      <c r="X943" s="93">
        <f>IF('Net zero activities &amp; levers'!$C$12="Off",('Activity data'!AQ18*EF!$H31)*kgtoGg,IF('Net zero activities &amp; levers'!$C$12="PB",('Activity data'!AQ18*EF!$H31)*kgtoGg,IF('Net zero activities &amp; levers'!$C$12="MS",('Net zero Activity data'!AQ18*EF!$H31)*kgtoGg,"ERROR")))</f>
        <v>6.6634015230540536E-2</v>
      </c>
      <c r="Y943" s="93">
        <f>IF('Net zero activities &amp; levers'!$C$12="Off",('Activity data'!AR18*EF!$H31)*kgtoGg,IF('Net zero activities &amp; levers'!$C$12="PB",('Activity data'!AR18*EF!$H31)*kgtoGg,IF('Net zero activities &amp; levers'!$C$12="MS",('Net zero Activity data'!AR18*EF!$H31)*kgtoGg,"ERROR")))</f>
        <v>6.6836287632620187E-2</v>
      </c>
      <c r="Z943" s="93">
        <f>IF('Net zero activities &amp; levers'!$C$12="Off",('Activity data'!AS18*EF!$H31)*kgtoGg,IF('Net zero activities &amp; levers'!$C$12="PB",('Activity data'!AS18*EF!$H31)*kgtoGg,IF('Net zero activities &amp; levers'!$C$12="MS",('Net zero Activity data'!AS18*EF!$H31)*kgtoGg,"ERROR")))</f>
        <v>6.696021879889287E-2</v>
      </c>
      <c r="AA943" s="93">
        <f>IF('Net zero activities &amp; levers'!$C$12="Off",('Activity data'!AT18*EF!$H31)*kgtoGg,IF('Net zero activities &amp; levers'!$C$12="PB",('Activity data'!AT18*EF!$H31)*kgtoGg,IF('Net zero activities &amp; levers'!$C$12="MS",('Net zero Activity data'!AT18*EF!$H31)*kgtoGg,"ERROR")))</f>
        <v>6.6977030220690986E-2</v>
      </c>
      <c r="AB943" s="93">
        <f>IF('Net zero activities &amp; levers'!$C$12="Off",('Activity data'!AU18*EF!$H31)*kgtoGg,IF('Net zero activities &amp; levers'!$C$12="PB",('Activity data'!AU18*EF!$H31)*kgtoGg,IF('Net zero activities &amp; levers'!$C$12="MS",('Net zero Activity data'!AU18*EF!$H31)*kgtoGg,"ERROR")))</f>
        <v>6.7365964527680941E-2</v>
      </c>
      <c r="AC943" s="93">
        <f>IF('Net zero activities &amp; levers'!$C$12="Off",('Activity data'!AV18*EF!$H31)*kgtoGg,IF('Net zero activities &amp; levers'!$C$12="PB",('Activity data'!AV18*EF!$H31)*kgtoGg,IF('Net zero activities &amp; levers'!$C$12="MS",('Net zero Activity data'!AV18*EF!$H31)*kgtoGg,"ERROR")))</f>
        <v>6.77056962443503E-2</v>
      </c>
      <c r="AD943" s="93">
        <f>IF('Net zero activities &amp; levers'!$C$12="Off",('Activity data'!AW18*EF!$H31)*kgtoGg,IF('Net zero activities &amp; levers'!$C$12="PB",('Activity data'!AW18*EF!$H31)*kgtoGg,IF('Net zero activities &amp; levers'!$C$12="MS",('Net zero Activity data'!AW18*EF!$H31)*kgtoGg,"ERROR")))</f>
        <v>6.8194508307399856E-2</v>
      </c>
      <c r="AE943" s="93">
        <f>IF('Net zero activities &amp; levers'!$C$12="Off",('Activity data'!AX18*EF!$H31)*kgtoGg,IF('Net zero activities &amp; levers'!$C$12="PB",('Activity data'!AX18*EF!$H31)*kgtoGg,IF('Net zero activities &amp; levers'!$C$12="MS",('Net zero Activity data'!AX18*EF!$H31)*kgtoGg,"ERROR")))</f>
        <v>6.9020204262067689E-2</v>
      </c>
      <c r="AF943" s="93">
        <f>IF('Net zero activities &amp; levers'!$C$12="Off",('Activity data'!AY18*EF!$H31)*kgtoGg,IF('Net zero activities &amp; levers'!$C$12="PB",('Activity data'!AY18*EF!$H31)*kgtoGg,IF('Net zero activities &amp; levers'!$C$12="MS",('Net zero Activity data'!AY18*EF!$H31)*kgtoGg,"ERROR")))</f>
        <v>6.9987140159553041E-2</v>
      </c>
      <c r="AG943" s="93">
        <f>IF('Net zero activities &amp; levers'!$C$12="Off",('Activity data'!AZ18*EF!$H31)*kgtoGg,IF('Net zero activities &amp; levers'!$C$12="PB",('Activity data'!AZ18*EF!$H31)*kgtoGg,IF('Net zero activities &amp; levers'!$C$12="MS",('Net zero Activity data'!AZ18*EF!$H31)*kgtoGg,"ERROR")))</f>
        <v>7.1296293069432901E-2</v>
      </c>
      <c r="AH943" s="93">
        <f>IF('Net zero activities &amp; levers'!$C$12="Off",('Activity data'!BA18*EF!$H31)*kgtoGg,IF('Net zero activities &amp; levers'!$C$12="PB",('Activity data'!BA18*EF!$H31)*kgtoGg,IF('Net zero activities &amp; levers'!$C$12="MS",('Net zero Activity data'!BA18*EF!$H31)*kgtoGg,"ERROR")))</f>
        <v>7.2003030684025804E-2</v>
      </c>
      <c r="AI943" s="93">
        <f>IF('Net zero activities &amp; levers'!$C$12="Off",('Activity data'!BB18*EF!$H31)*kgtoGg,IF('Net zero activities &amp; levers'!$C$12="PB",('Activity data'!BB18*EF!$H31)*kgtoGg,IF('Net zero activities &amp; levers'!$C$12="MS",('Net zero Activity data'!BB18*EF!$H31)*kgtoGg,"ERROR")))</f>
        <v>7.262029442724019E-2</v>
      </c>
      <c r="AJ943" s="93">
        <f>IF('Net zero activities &amp; levers'!$C$12="Off",('Activity data'!BC18*EF!$H31)*kgtoGg,IF('Net zero activities &amp; levers'!$C$12="PB",('Activity data'!BC18*EF!$H31)*kgtoGg,IF('Net zero activities &amp; levers'!$C$12="MS",('Net zero Activity data'!BC18*EF!$H31)*kgtoGg,"ERROR")))</f>
        <v>7.339601807079868E-2</v>
      </c>
      <c r="AK943" s="93">
        <f>IF('Net zero activities &amp; levers'!$C$12="Off",('Activity data'!BD18*EF!$H31)*kgtoGg,IF('Net zero activities &amp; levers'!$C$12="PB",('Activity data'!BD18*EF!$H31)*kgtoGg,IF('Net zero activities &amp; levers'!$C$12="MS",('Net zero Activity data'!BD18*EF!$H31)*kgtoGg,"ERROR")))</f>
        <v>7.4069513203278647E-2</v>
      </c>
      <c r="AL943" s="93">
        <f>IF('Net zero activities &amp; levers'!$C$12="Off",('Activity data'!BE18*EF!$H31)*kgtoGg,IF('Net zero activities &amp; levers'!$C$12="PB",('Activity data'!BE18*EF!$H31)*kgtoGg,IF('Net zero activities &amp; levers'!$C$12="MS",('Net zero Activity data'!BE18*EF!$H31)*kgtoGg,"ERROR")))</f>
        <v>7.4814728599866626E-2</v>
      </c>
      <c r="AM943" s="93">
        <f>IF('Net zero activities &amp; levers'!$C$12="Off",('Activity data'!BF18*EF!$H31)*kgtoGg,IF('Net zero activities &amp; levers'!$C$12="PB",('Activity data'!BF18*EF!$H31)*kgtoGg,IF('Net zero activities &amp; levers'!$C$12="MS",('Net zero Activity data'!BF18*EF!$H31)*kgtoGg,"ERROR")))</f>
        <v>7.5541627722012866E-2</v>
      </c>
      <c r="AN943" s="93">
        <f>IF('Net zero activities &amp; levers'!$C$12="Off",('Activity data'!BG18*EF!$H31)*kgtoGg,IF('Net zero activities &amp; levers'!$C$12="PB",('Activity data'!BG18*EF!$H31)*kgtoGg,IF('Net zero activities &amp; levers'!$C$12="MS",('Net zero Activity data'!BG18*EF!$H31)*kgtoGg,"ERROR")))</f>
        <v>7.6520277858916103E-2</v>
      </c>
      <c r="AO943" s="93">
        <f>IF('Net zero activities &amp; levers'!$C$12="Off",('Activity data'!BH18*EF!$H31)*kgtoGg,IF('Net zero activities &amp; levers'!$C$12="PB",('Activity data'!BH18*EF!$H31)*kgtoGg,IF('Net zero activities &amp; levers'!$C$12="MS",('Net zero Activity data'!BH18*EF!$H31)*kgtoGg,"ERROR")))</f>
        <v>7.7370104927739061E-2</v>
      </c>
      <c r="AP943" s="93">
        <f>IF('Net zero activities &amp; levers'!$C$12="Off",('Activity data'!BI18*EF!$H31)*kgtoGg,IF('Net zero activities &amp; levers'!$C$12="PB",('Activity data'!BI18*EF!$H31)*kgtoGg,IF('Net zero activities &amp; levers'!$C$12="MS",('Net zero Activity data'!BI18*EF!$H31)*kgtoGg,"ERROR")))</f>
        <v>7.821917674804682E-2</v>
      </c>
      <c r="AQ943" s="93">
        <f>IF('Net zero activities &amp; levers'!$C$12="Off",('Activity data'!BJ18*EF!$H31)*kgtoGg,IF('Net zero activities &amp; levers'!$C$12="PB",('Activity data'!BJ18*EF!$H31)*kgtoGg,IF('Net zero activities &amp; levers'!$C$12="MS",('Net zero Activity data'!BJ18*EF!$H31)*kgtoGg,"ERROR")))</f>
        <v>7.9098404026949301E-2</v>
      </c>
      <c r="AR943" s="93">
        <f>IF('Net zero activities &amp; levers'!$C$12="Off",('Activity data'!BK18*EF!$H31)*kgtoGg,IF('Net zero activities &amp; levers'!$C$12="PB",('Activity data'!BK18*EF!$H31)*kgtoGg,IF('Net zero activities &amp; levers'!$C$12="MS",('Net zero Activity data'!BK18*EF!$H31)*kgtoGg,"ERROR")))</f>
        <v>8.0017670136618924E-2</v>
      </c>
      <c r="AS943" s="93">
        <f>IF('Net zero activities &amp; levers'!$C$12="Off",('Activity data'!BL18*EF!$H31)*kgtoGg,IF('Net zero activities &amp; levers'!$C$12="PB",('Activity data'!BL18*EF!$H31)*kgtoGg,IF('Net zero activities &amp; levers'!$C$12="MS",('Net zero Activity data'!BL18*EF!$H31)*kgtoGg,"ERROR")))</f>
        <v>8.1215655133654599E-2</v>
      </c>
      <c r="AT943" s="93">
        <f>IF('Net zero activities &amp; levers'!$C$12="Off",('Activity data'!BM18*EF!$H31)*kgtoGg,IF('Net zero activities &amp; levers'!$C$12="PB",('Activity data'!BM18*EF!$H31)*kgtoGg,IF('Net zero activities &amp; levers'!$C$12="MS",('Net zero Activity data'!BM18*EF!$H31)*kgtoGg,"ERROR")))</f>
        <v>8.1586660945256045E-2</v>
      </c>
      <c r="AU943" s="93">
        <f>IF('Net zero activities &amp; levers'!$C$12="Off",('Activity data'!BN18*EF!$H31)*kgtoGg,IF('Net zero activities &amp; levers'!$C$12="PB",('Activity data'!BN18*EF!$H31)*kgtoGg,IF('Net zero activities &amp; levers'!$C$12="MS",('Net zero Activity data'!BN18*EF!$H31)*kgtoGg,"ERROR")))</f>
        <v>8.1882988755660815E-2</v>
      </c>
      <c r="AV943" s="93">
        <f>IF('Net zero activities &amp; levers'!$C$12="Off",('Activity data'!BO18*EF!$H31)*kgtoGg,IF('Net zero activities &amp; levers'!$C$12="PB",('Activity data'!BO18*EF!$H31)*kgtoGg,IF('Net zero activities &amp; levers'!$C$12="MS",('Net zero Activity data'!BO18*EF!$H31)*kgtoGg,"ERROR")))</f>
        <v>8.2188588581758509E-2</v>
      </c>
      <c r="AW943" s="93">
        <f>IF('Net zero activities &amp; levers'!$C$12="Off",('Activity data'!BP18*EF!$H31)*kgtoGg,IF('Net zero activities &amp; levers'!$C$12="PB",('Activity data'!BP18*EF!$H31)*kgtoGg,IF('Net zero activities &amp; levers'!$C$12="MS",('Net zero Activity data'!BP18*EF!$H31)*kgtoGg,"ERROR")))</f>
        <v>8.2468277280419264E-2</v>
      </c>
      <c r="AY943" s="79"/>
      <c r="AZ943" s="79"/>
    </row>
    <row r="944" spans="1:52" x14ac:dyDescent="0.2">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0.59866182774590171</v>
      </c>
      <c r="P944" s="93">
        <f>IF('Net zero activities &amp; levers'!$C$12="Off",('Activity data'!AI19*EF!$H32)*kgtoGg,IF('Net zero activities &amp; levers'!$C$12="PB",('Activity data'!AI19*EF!$H32)*kgtoGg,IF('Net zero activities &amp; levers'!$C$12="MS",('Net zero Activity data'!AI19*EF!$H32)*kgtoGg,"ERROR")))</f>
        <v>0.60475451589519702</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0.6206898695388976</v>
      </c>
      <c r="S944" s="93">
        <f>IF('Net zero activities &amp; levers'!$C$12="Off",('Activity data'!AL19*EF!$H32)*kgtoGg,IF('Net zero activities &amp; levers'!$C$12="PB",('Activity data'!AL19*EF!$H32)*kgtoGg,IF('Net zero activities &amp; levers'!$C$12="MS",('Net zero Activity data'!AL19*EF!$H32)*kgtoGg,"ERROR")))</f>
        <v>0.59586205354866417</v>
      </c>
      <c r="T944" s="93">
        <f>IF('Net zero activities &amp; levers'!$C$12="Off",('Activity data'!AM19*EF!$H32)*kgtoGg,IF('Net zero activities &amp; levers'!$C$12="PB",('Activity data'!AM19*EF!$H32)*kgtoGg,IF('Net zero activities &amp; levers'!$C$12="MS",('Net zero Activity data'!AM19*EF!$H32)*kgtoGg,"ERROR")))</f>
        <v>0.61166609228342095</v>
      </c>
      <c r="U944" s="93">
        <f>IF('Net zero activities &amp; levers'!$C$12="Off",('Activity data'!AN19*EF!$H32)*kgtoGg,IF('Net zero activities &amp; levers'!$C$12="PB",('Activity data'!AN19*EF!$H32)*kgtoGg,IF('Net zero activities &amp; levers'!$C$12="MS",('Net zero Activity data'!AN19*EF!$H32)*kgtoGg,"ERROR")))</f>
        <v>0.62485299056124621</v>
      </c>
      <c r="V944" s="93">
        <f>IF('Net zero activities &amp; levers'!$C$12="Off",('Activity data'!AO19*EF!$H32)*kgtoGg,IF('Net zero activities &amp; levers'!$C$12="PB",('Activity data'!AO19*EF!$H32)*kgtoGg,IF('Net zero activities &amp; levers'!$C$12="MS",('Net zero Activity data'!AO19*EF!$H32)*kgtoGg,"ERROR")))</f>
        <v>0.63746316411560699</v>
      </c>
      <c r="W944" s="93">
        <f>IF('Net zero activities &amp; levers'!$C$12="Off",('Activity data'!AP19*EF!$H32)*kgtoGg,IF('Net zero activities &amp; levers'!$C$12="PB",('Activity data'!AP19*EF!$H32)*kgtoGg,IF('Net zero activities &amp; levers'!$C$12="MS",('Net zero Activity data'!AP19*EF!$H32)*kgtoGg,"ERROR")))</f>
        <v>0.65148292230650084</v>
      </c>
      <c r="X944" s="93">
        <f>IF('Net zero activities &amp; levers'!$C$12="Off",('Activity data'!AQ19*EF!$H32)*kgtoGg,IF('Net zero activities &amp; levers'!$C$12="PB",('Activity data'!AQ19*EF!$H32)*kgtoGg,IF('Net zero activities &amp; levers'!$C$12="MS",('Net zero Activity data'!AQ19*EF!$H32)*kgtoGg,"ERROR")))</f>
        <v>0.66499795751984347</v>
      </c>
      <c r="Y944" s="93">
        <f>IF('Net zero activities &amp; levers'!$C$12="Off",('Activity data'!AR19*EF!$H32)*kgtoGg,IF('Net zero activities &amp; levers'!$C$12="PB",('Activity data'!AR19*EF!$H32)*kgtoGg,IF('Net zero activities &amp; levers'!$C$12="MS",('Net zero Activity data'!AR19*EF!$H32)*kgtoGg,"ERROR")))</f>
        <v>0.67713280709524293</v>
      </c>
      <c r="Z944" s="93">
        <f>IF('Net zero activities &amp; levers'!$C$12="Off",('Activity data'!AS19*EF!$H32)*kgtoGg,IF('Net zero activities &amp; levers'!$C$12="PB",('Activity data'!AS19*EF!$H32)*kgtoGg,IF('Net zero activities &amp; levers'!$C$12="MS",('Net zero Activity data'!AS19*EF!$H32)*kgtoGg,"ERROR")))</f>
        <v>0.68896443146114195</v>
      </c>
      <c r="AA944" s="93">
        <f>IF('Net zero activities &amp; levers'!$C$12="Off",('Activity data'!AT19*EF!$H32)*kgtoGg,IF('Net zero activities &amp; levers'!$C$12="PB",('Activity data'!AT19*EF!$H32)*kgtoGg,IF('Net zero activities &amp; levers'!$C$12="MS",('Net zero Activity data'!AT19*EF!$H32)*kgtoGg,"ERROR")))</f>
        <v>0.70030539755417098</v>
      </c>
      <c r="AB944" s="93">
        <f>IF('Net zero activities &amp; levers'!$C$12="Off",('Activity data'!AU19*EF!$H32)*kgtoGg,IF('Net zero activities &amp; levers'!$C$12="PB",('Activity data'!AU19*EF!$H32)*kgtoGg,IF('Net zero activities &amp; levers'!$C$12="MS",('Net zero Activity data'!AU19*EF!$H32)*kgtoGg,"ERROR")))</f>
        <v>0.71394199916813561</v>
      </c>
      <c r="AC944" s="93">
        <f>IF('Net zero activities &amp; levers'!$C$12="Off",('Activity data'!AV19*EF!$H32)*kgtoGg,IF('Net zero activities &amp; levers'!$C$12="PB",('Activity data'!AV19*EF!$H32)*kgtoGg,IF('Net zero activities &amp; levers'!$C$12="MS",('Net zero Activity data'!AV19*EF!$H32)*kgtoGg,"ERROR")))</f>
        <v>0.72748510796814947</v>
      </c>
      <c r="AD944" s="93">
        <f>IF('Net zero activities &amp; levers'!$C$12="Off",('Activity data'!AW19*EF!$H32)*kgtoGg,IF('Net zero activities &amp; levers'!$C$12="PB",('Activity data'!AW19*EF!$H32)*kgtoGg,IF('Net zero activities &amp; levers'!$C$12="MS",('Net zero Activity data'!AW19*EF!$H32)*kgtoGg,"ERROR")))</f>
        <v>0.7416801333370433</v>
      </c>
      <c r="AE944" s="93">
        <f>IF('Net zero activities &amp; levers'!$C$12="Off",('Activity data'!AX19*EF!$H32)*kgtoGg,IF('Net zero activities &amp; levers'!$C$12="PB",('Activity data'!AX19*EF!$H32)*kgtoGg,IF('Net zero activities &amp; levers'!$C$12="MS",('Net zero Activity data'!AX19*EF!$H32)*kgtoGg,"ERROR")))</f>
        <v>0.75821054657652254</v>
      </c>
      <c r="AF944" s="93">
        <f>IF('Net zero activities &amp; levers'!$C$12="Off",('Activity data'!AY19*EF!$H32)*kgtoGg,IF('Net zero activities &amp; levers'!$C$12="PB",('Activity data'!AY19*EF!$H32)*kgtoGg,IF('Net zero activities &amp; levers'!$C$12="MS",('Net zero Activity data'!AY19*EF!$H32)*kgtoGg,"ERROR")))</f>
        <v>0.77596254129215869</v>
      </c>
      <c r="AG944" s="93">
        <f>IF('Net zero activities &amp; levers'!$C$12="Off",('Activity data'!AZ19*EF!$H32)*kgtoGg,IF('Net zero activities &amp; levers'!$C$12="PB",('Activity data'!AZ19*EF!$H32)*kgtoGg,IF('Net zero activities &amp; levers'!$C$12="MS",('Net zero Activity data'!AZ19*EF!$H32)*kgtoGg,"ERROR")))</f>
        <v>0.7963033454053372</v>
      </c>
      <c r="AH944" s="93">
        <f>IF('Net zero activities &amp; levers'!$C$12="Off",('Activity data'!BA19*EF!$H32)*kgtoGg,IF('Net zero activities &amp; levers'!$C$12="PB",('Activity data'!BA19*EF!$H32)*kgtoGg,IF('Net zero activities &amp; levers'!$C$12="MS",('Net zero Activity data'!BA19*EF!$H32)*kgtoGg,"ERROR")))</f>
        <v>0.81311713883147885</v>
      </c>
      <c r="AI944" s="93">
        <f>IF('Net zero activities &amp; levers'!$C$12="Off",('Activity data'!BB19*EF!$H32)*kgtoGg,IF('Net zero activities &amp; levers'!$C$12="PB",('Activity data'!BB19*EF!$H32)*kgtoGg,IF('Net zero activities &amp; levers'!$C$12="MS",('Net zero Activity data'!BB19*EF!$H32)*kgtoGg,"ERROR")))</f>
        <v>0.82920457779762036</v>
      </c>
      <c r="AJ944" s="93">
        <f>IF('Net zero activities &amp; levers'!$C$12="Off",('Activity data'!BC19*EF!$H32)*kgtoGg,IF('Net zero activities &amp; levers'!$C$12="PB",('Activity data'!BC19*EF!$H32)*kgtoGg,IF('Net zero activities &amp; levers'!$C$12="MS",('Net zero Activity data'!BC19*EF!$H32)*kgtoGg,"ERROR")))</f>
        <v>0.8466799763081283</v>
      </c>
      <c r="AK944" s="93">
        <f>IF('Net zero activities &amp; levers'!$C$12="Off",('Activity data'!BD19*EF!$H32)*kgtoGg,IF('Net zero activities &amp; levers'!$C$12="PB",('Activity data'!BD19*EF!$H32)*kgtoGg,IF('Net zero activities &amp; levers'!$C$12="MS",('Net zero Activity data'!BD19*EF!$H32)*kgtoGg,"ERROR")))</f>
        <v>0.86378648630356591</v>
      </c>
      <c r="AL944" s="93">
        <f>IF('Net zero activities &amp; levers'!$C$12="Off",('Activity data'!BE19*EF!$H32)*kgtoGg,IF('Net zero activities &amp; levers'!$C$12="PB",('Activity data'!BE19*EF!$H32)*kgtoGg,IF('Net zero activities &amp; levers'!$C$12="MS",('Net zero Activity data'!BE19*EF!$H32)*kgtoGg,"ERROR")))</f>
        <v>0.8817359545427027</v>
      </c>
      <c r="AM944" s="93">
        <f>IF('Net zero activities &amp; levers'!$C$12="Off",('Activity data'!BF19*EF!$H32)*kgtoGg,IF('Net zero activities &amp; levers'!$C$12="PB",('Activity data'!BF19*EF!$H32)*kgtoGg,IF('Net zero activities &amp; levers'!$C$12="MS",('Net zero Activity data'!BF19*EF!$H32)*kgtoGg,"ERROR")))</f>
        <v>0.89991137533731791</v>
      </c>
      <c r="AN944" s="93">
        <f>IF('Net zero activities &amp; levers'!$C$12="Off",('Activity data'!BG19*EF!$H32)*kgtoGg,IF('Net zero activities &amp; levers'!$C$12="PB",('Activity data'!BG19*EF!$H32)*kgtoGg,IF('Net zero activities &amp; levers'!$C$12="MS",('Net zero Activity data'!BG19*EF!$H32)*kgtoGg,"ERROR")))</f>
        <v>0.91990012979739244</v>
      </c>
      <c r="AO944" s="93">
        <f>IF('Net zero activities &amp; levers'!$C$12="Off",('Activity data'!BH19*EF!$H32)*kgtoGg,IF('Net zero activities &amp; levers'!$C$12="PB",('Activity data'!BH19*EF!$H32)*kgtoGg,IF('Net zero activities &amp; levers'!$C$12="MS",('Net zero Activity data'!BH19*EF!$H32)*kgtoGg,"ERROR")))</f>
        <v>0.93935460788893066</v>
      </c>
      <c r="AP944" s="93">
        <f>IF('Net zero activities &amp; levers'!$C$12="Off",('Activity data'!BI19*EF!$H32)*kgtoGg,IF('Net zero activities &amp; levers'!$C$12="PB",('Activity data'!BI19*EF!$H32)*kgtoGg,IF('Net zero activities &amp; levers'!$C$12="MS",('Net zero Activity data'!BI19*EF!$H32)*kgtoGg,"ERROR")))</f>
        <v>0.95921858565138518</v>
      </c>
      <c r="AQ944" s="93">
        <f>IF('Net zero activities &amp; levers'!$C$12="Off",('Activity data'!BJ19*EF!$H32)*kgtoGg,IF('Net zero activities &amp; levers'!$C$12="PB",('Activity data'!BJ19*EF!$H32)*kgtoGg,IF('Net zero activities &amp; levers'!$C$12="MS",('Net zero Activity data'!BJ19*EF!$H32)*kgtoGg,"ERROR")))</f>
        <v>0.97974614943757377</v>
      </c>
      <c r="AR944" s="93">
        <f>IF('Net zero activities &amp; levers'!$C$12="Off",('Activity data'!BK19*EF!$H32)*kgtoGg,IF('Net zero activities &amp; levers'!$C$12="PB",('Activity data'!BK19*EF!$H32)*kgtoGg,IF('Net zero activities &amp; levers'!$C$12="MS",('Net zero Activity data'!BK19*EF!$H32)*kgtoGg,"ERROR")))</f>
        <v>1.0010418670441812</v>
      </c>
      <c r="AS944" s="93">
        <f>IF('Net zero activities &amp; levers'!$C$12="Off",('Activity data'!BL19*EF!$H32)*kgtoGg,IF('Net zero activities &amp; levers'!$C$12="PB",('Activity data'!BL19*EF!$H32)*kgtoGg,IF('Net zero activities &amp; levers'!$C$12="MS",('Net zero Activity data'!BL19*EF!$H32)*kgtoGg,"ERROR")))</f>
        <v>1.024648468705007</v>
      </c>
      <c r="AT944" s="93">
        <f>IF('Net zero activities &amp; levers'!$C$12="Off",('Activity data'!BM19*EF!$H32)*kgtoGg,IF('Net zero activities &amp; levers'!$C$12="PB",('Activity data'!BM19*EF!$H32)*kgtoGg,IF('Net zero activities &amp; levers'!$C$12="MS",('Net zero Activity data'!BM19*EF!$H32)*kgtoGg,"ERROR")))</f>
        <v>1.0419667302828659</v>
      </c>
      <c r="AU944" s="93">
        <f>IF('Net zero activities &amp; levers'!$C$12="Off",('Activity data'!BN19*EF!$H32)*kgtoGg,IF('Net zero activities &amp; levers'!$C$12="PB",('Activity data'!BN19*EF!$H32)*kgtoGg,IF('Net zero activities &amp; levers'!$C$12="MS",('Net zero Activity data'!BN19*EF!$H32)*kgtoGg,"ERROR")))</f>
        <v>1.0589838516681485</v>
      </c>
      <c r="AV944" s="93">
        <f>IF('Net zero activities &amp; levers'!$C$12="Off",('Activity data'!BO19*EF!$H32)*kgtoGg,IF('Net zero activities &amp; levers'!$C$12="PB",('Activity data'!BO19*EF!$H32)*kgtoGg,IF('Net zero activities &amp; levers'!$C$12="MS",('Net zero Activity data'!BO19*EF!$H32)*kgtoGg,"ERROR")))</f>
        <v>1.0763973931983826</v>
      </c>
      <c r="AW944" s="93">
        <f>IF('Net zero activities &amp; levers'!$C$12="Off",('Activity data'!BP19*EF!$H32)*kgtoGg,IF('Net zero activities &amp; levers'!$C$12="PB",('Activity data'!BP19*EF!$H32)*kgtoGg,IF('Net zero activities &amp; levers'!$C$12="MS",('Net zero Activity data'!BP19*EF!$H32)*kgtoGg,"ERROR")))</f>
        <v>1.093914171709288</v>
      </c>
      <c r="AY944" s="79"/>
      <c r="AZ944" s="79"/>
    </row>
    <row r="945" spans="1:52" x14ac:dyDescent="0.2">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2.2100196981344111</v>
      </c>
      <c r="L945" s="93">
        <f>IF('Net zero activities &amp; levers'!$C$12="Off",('Activity data'!AE20*EF!$H33)*kgtoGg,IF('Net zero activities &amp; levers'!$C$12="PB",('Activity data'!AE20*EF!$H33)*kgtoGg,IF('Net zero activities &amp; levers'!$C$12="MS",('Net zero Activity data'!AE20*EF!$H33)*kgtoGg,"ERROR")))</f>
        <v>2.239121707445149</v>
      </c>
      <c r="M945" s="93">
        <f>IF('Net zero activities &amp; levers'!$C$12="Off",('Activity data'!AF20*EF!$H33)*kgtoGg,IF('Net zero activities &amp; levers'!$C$12="PB",('Activity data'!AF20*EF!$H33)*kgtoGg,IF('Net zero activities &amp; levers'!$C$12="MS",('Net zero Activity data'!AF20*EF!$H33)*kgtoGg,"ERROR")))</f>
        <v>2.2858678822724823</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2.2487211059946204</v>
      </c>
      <c r="R945" s="93">
        <f>IF('Net zero activities &amp; levers'!$C$12="Off",('Activity data'!AK20*EF!$H33)*kgtoGg,IF('Net zero activities &amp; levers'!$C$12="PB",('Activity data'!AK20*EF!$H33)*kgtoGg,IF('Net zero activities &amp; levers'!$C$12="MS",('Net zero Activity data'!AK20*EF!$H33)*kgtoGg,"ERROR")))</f>
        <v>2.2390235702415171</v>
      </c>
      <c r="S945" s="93">
        <f>IF('Net zero activities &amp; levers'!$C$12="Off",('Activity data'!AL20*EF!$H33)*kgtoGg,IF('Net zero activities &amp; levers'!$C$12="PB",('Activity data'!AL20*EF!$H33)*kgtoGg,IF('Net zero activities &amp; levers'!$C$12="MS",('Net zero Activity data'!AL20*EF!$H33)*kgtoGg,"ERROR")))</f>
        <v>1.9141242898278399</v>
      </c>
      <c r="T945" s="93">
        <f>IF('Net zero activities &amp; levers'!$C$12="Off",('Activity data'!AM20*EF!$H33)*kgtoGg,IF('Net zero activities &amp; levers'!$C$12="PB",('Activity data'!AM20*EF!$H33)*kgtoGg,IF('Net zero activities &amp; levers'!$C$12="MS",('Net zero Activity data'!AM20*EF!$H33)*kgtoGg,"ERROR")))</f>
        <v>1.9984899724616512</v>
      </c>
      <c r="U945" s="93">
        <f>IF('Net zero activities &amp; levers'!$C$12="Off",('Activity data'!AN20*EF!$H33)*kgtoGg,IF('Net zero activities &amp; levers'!$C$12="PB",('Activity data'!AN20*EF!$H33)*kgtoGg,IF('Net zero activities &amp; levers'!$C$12="MS",('Net zero Activity data'!AN20*EF!$H33)*kgtoGg,"ERROR")))</f>
        <v>2.0566281324498989</v>
      </c>
      <c r="V945" s="93">
        <f>IF('Net zero activities &amp; levers'!$C$12="Off",('Activity data'!AO20*EF!$H33)*kgtoGg,IF('Net zero activities &amp; levers'!$C$12="PB",('Activity data'!AO20*EF!$H33)*kgtoGg,IF('Net zero activities &amp; levers'!$C$12="MS",('Net zero Activity data'!AO20*EF!$H33)*kgtoGg,"ERROR")))</f>
        <v>2.1082245232127885</v>
      </c>
      <c r="W945" s="93">
        <f>IF('Net zero activities &amp; levers'!$C$12="Off",('Activity data'!AP20*EF!$H33)*kgtoGg,IF('Net zero activities &amp; levers'!$C$12="PB",('Activity data'!AP20*EF!$H33)*kgtoGg,IF('Net zero activities &amp; levers'!$C$12="MS",('Net zero Activity data'!AP20*EF!$H33)*kgtoGg,"ERROR")))</f>
        <v>2.1717516772979577</v>
      </c>
      <c r="X945" s="93">
        <f>IF('Net zero activities &amp; levers'!$C$12="Off",('Activity data'!AQ20*EF!$H33)*kgtoGg,IF('Net zero activities &amp; levers'!$C$12="PB",('Activity data'!AQ20*EF!$H33)*kgtoGg,IF('Net zero activities &amp; levers'!$C$12="MS",('Net zero Activity data'!AQ20*EF!$H33)*kgtoGg,"ERROR")))</f>
        <v>2.2294138068766221</v>
      </c>
      <c r="Y945" s="93">
        <f>IF('Net zero activities &amp; levers'!$C$12="Off",('Activity data'!AR20*EF!$H33)*kgtoGg,IF('Net zero activities &amp; levers'!$C$12="PB",('Activity data'!AR20*EF!$H33)*kgtoGg,IF('Net zero activities &amp; levers'!$C$12="MS",('Net zero Activity data'!AR20*EF!$H33)*kgtoGg,"ERROR")))</f>
        <v>2.2803087574477758</v>
      </c>
      <c r="Z945" s="93">
        <f>IF('Net zero activities &amp; levers'!$C$12="Off",('Activity data'!AS20*EF!$H33)*kgtoGg,IF('Net zero activities &amp; levers'!$C$12="PB",('Activity data'!AS20*EF!$H33)*kgtoGg,IF('Net zero activities &amp; levers'!$C$12="MS",('Net zero Activity data'!AS20*EF!$H33)*kgtoGg,"ERROR")))</f>
        <v>2.3275959555736767</v>
      </c>
      <c r="AA945" s="93">
        <f>IF('Net zero activities &amp; levers'!$C$12="Off",('Activity data'!AT20*EF!$H33)*kgtoGg,IF('Net zero activities &amp; levers'!$C$12="PB",('Activity data'!AT20*EF!$H33)*kgtoGg,IF('Net zero activities &amp; levers'!$C$12="MS",('Net zero Activity data'!AT20*EF!$H33)*kgtoGg,"ERROR")))</f>
        <v>2.3696866416984408</v>
      </c>
      <c r="AB945" s="93">
        <f>IF('Net zero activities &amp; levers'!$C$12="Off",('Activity data'!AU20*EF!$H33)*kgtoGg,IF('Net zero activities &amp; levers'!$C$12="PB",('Activity data'!AU20*EF!$H33)*kgtoGg,IF('Net zero activities &amp; levers'!$C$12="MS",('Net zero Activity data'!AU20*EF!$H33)*kgtoGg,"ERROR")))</f>
        <v>2.4313567650804138</v>
      </c>
      <c r="AC945" s="93">
        <f>IF('Net zero activities &amp; levers'!$C$12="Off",('Activity data'!AV20*EF!$H33)*kgtoGg,IF('Net zero activities &amp; levers'!$C$12="PB",('Activity data'!AV20*EF!$H33)*kgtoGg,IF('Net zero activities &amp; levers'!$C$12="MS",('Net zero Activity data'!AV20*EF!$H33)*kgtoGg,"ERROR")))</f>
        <v>2.4911768272254537</v>
      </c>
      <c r="AD945" s="93">
        <f>IF('Net zero activities &amp; levers'!$C$12="Off",('Activity data'!AW20*EF!$H33)*kgtoGg,IF('Net zero activities &amp; levers'!$C$12="PB",('Activity data'!AW20*EF!$H33)*kgtoGg,IF('Net zero activities &amp; levers'!$C$12="MS",('Net zero Activity data'!AW20*EF!$H33)*kgtoGg,"ERROR")))</f>
        <v>2.5611651092780447</v>
      </c>
      <c r="AE945" s="93">
        <f>IF('Net zero activities &amp; levers'!$C$12="Off",('Activity data'!AX20*EF!$H33)*kgtoGg,IF('Net zero activities &amp; levers'!$C$12="PB",('Activity data'!AX20*EF!$H33)*kgtoGg,IF('Net zero activities &amp; levers'!$C$12="MS",('Net zero Activity data'!AX20*EF!$H33)*kgtoGg,"ERROR")))</f>
        <v>2.6503466863676968</v>
      </c>
      <c r="AF945" s="93">
        <f>IF('Net zero activities &amp; levers'!$C$12="Off",('Activity data'!AY20*EF!$H33)*kgtoGg,IF('Net zero activities &amp; levers'!$C$12="PB",('Activity data'!AY20*EF!$H33)*kgtoGg,IF('Net zero activities &amp; levers'!$C$12="MS",('Net zero Activity data'!AY20*EF!$H33)*kgtoGg,"ERROR")))</f>
        <v>2.7487492134063758</v>
      </c>
      <c r="AG945" s="93">
        <f>IF('Net zero activities &amp; levers'!$C$12="Off",('Activity data'!AZ20*EF!$H33)*kgtoGg,IF('Net zero activities &amp; levers'!$C$12="PB",('Activity data'!AZ20*EF!$H33)*kgtoGg,IF('Net zero activities &amp; levers'!$C$12="MS",('Net zero Activity data'!AZ20*EF!$H33)*kgtoGg,"ERROR")))</f>
        <v>2.8678706867563997</v>
      </c>
      <c r="AH945" s="93">
        <f>IF('Net zero activities &amp; levers'!$C$12="Off",('Activity data'!BA20*EF!$H33)*kgtoGg,IF('Net zero activities &amp; levers'!$C$12="PB",('Activity data'!BA20*EF!$H33)*kgtoGg,IF('Net zero activities &amp; levers'!$C$12="MS",('Net zero Activity data'!BA20*EF!$H33)*kgtoGg,"ERROR")))</f>
        <v>2.9554288288988109</v>
      </c>
      <c r="AI945" s="93">
        <f>IF('Net zero activities &amp; levers'!$C$12="Off",('Activity data'!BB20*EF!$H33)*kgtoGg,IF('Net zero activities &amp; levers'!$C$12="PB",('Activity data'!BB20*EF!$H33)*kgtoGg,IF('Net zero activities &amp; levers'!$C$12="MS",('Net zero Activity data'!BB20*EF!$H33)*kgtoGg,"ERROR")))</f>
        <v>3.0407668489306769</v>
      </c>
      <c r="AJ945" s="93">
        <f>IF('Net zero activities &amp; levers'!$C$12="Off",('Activity data'!BC20*EF!$H33)*kgtoGg,IF('Net zero activities &amp; levers'!$C$12="PB",('Activity data'!BC20*EF!$H33)*kgtoGg,IF('Net zero activities &amp; levers'!$C$12="MS",('Net zero Activity data'!BC20*EF!$H33)*kgtoGg,"ERROR")))</f>
        <v>3.1366479798785045</v>
      </c>
      <c r="AK945" s="93">
        <f>IF('Net zero activities &amp; levers'!$C$12="Off",('Activity data'!BD20*EF!$H33)*kgtoGg,IF('Net zero activities &amp; levers'!$C$12="PB",('Activity data'!BD20*EF!$H33)*kgtoGg,IF('Net zero activities &amp; levers'!$C$12="MS",('Net zero Activity data'!BD20*EF!$H33)*kgtoGg,"ERROR")))</f>
        <v>3.228263044676527</v>
      </c>
      <c r="AL945" s="93">
        <f>IF('Net zero activities &amp; levers'!$C$12="Off",('Activity data'!BE20*EF!$H33)*kgtoGg,IF('Net zero activities &amp; levers'!$C$12="PB",('Activity data'!BE20*EF!$H33)*kgtoGg,IF('Net zero activities &amp; levers'!$C$12="MS",('Net zero Activity data'!BE20*EF!$H33)*kgtoGg,"ERROR")))</f>
        <v>3.3257213723703618</v>
      </c>
      <c r="AM945" s="93">
        <f>IF('Net zero activities &amp; levers'!$C$12="Off",('Activity data'!BF20*EF!$H33)*kgtoGg,IF('Net zero activities &amp; levers'!$C$12="PB",('Activity data'!BF20*EF!$H33)*kgtoGg,IF('Net zero activities &amp; levers'!$C$12="MS",('Net zero Activity data'!BF20*EF!$H33)*kgtoGg,"ERROR")))</f>
        <v>3.4238536012880374</v>
      </c>
      <c r="AN945" s="93">
        <f>IF('Net zero activities &amp; levers'!$C$12="Off",('Activity data'!BG20*EF!$H33)*kgtoGg,IF('Net zero activities &amp; levers'!$C$12="PB",('Activity data'!BG20*EF!$H33)*kgtoGg,IF('Net zero activities &amp; levers'!$C$12="MS",('Net zero Activity data'!BG20*EF!$H33)*kgtoGg,"ERROR")))</f>
        <v>3.5403209104075128</v>
      </c>
      <c r="AO945" s="93">
        <f>IF('Net zero activities &amp; levers'!$C$12="Off",('Activity data'!BH20*EF!$H33)*kgtoGg,IF('Net zero activities &amp; levers'!$C$12="PB",('Activity data'!BH20*EF!$H33)*kgtoGg,IF('Net zero activities &amp; levers'!$C$12="MS",('Net zero Activity data'!BH20*EF!$H33)*kgtoGg,"ERROR")))</f>
        <v>3.6511369162882397</v>
      </c>
      <c r="AP945" s="93">
        <f>IF('Net zero activities &amp; levers'!$C$12="Off",('Activity data'!BI20*EF!$H33)*kgtoGg,IF('Net zero activities &amp; levers'!$C$12="PB",('Activity data'!BI20*EF!$H33)*kgtoGg,IF('Net zero activities &amp; levers'!$C$12="MS",('Net zero Activity data'!BI20*EF!$H33)*kgtoGg,"ERROR")))</f>
        <v>3.7640318136014432</v>
      </c>
      <c r="AQ945" s="93">
        <f>IF('Net zero activities &amp; levers'!$C$12="Off",('Activity data'!BJ20*EF!$H33)*kgtoGg,IF('Net zero activities &amp; levers'!$C$12="PB",('Activity data'!BJ20*EF!$H33)*kgtoGg,IF('Net zero activities &amp; levers'!$C$12="MS",('Net zero Activity data'!BJ20*EF!$H33)*kgtoGg,"ERROR")))</f>
        <v>3.8810201496437728</v>
      </c>
      <c r="AR945" s="93">
        <f>IF('Net zero activities &amp; levers'!$C$12="Off",('Activity data'!BK20*EF!$H33)*kgtoGg,IF('Net zero activities &amp; levers'!$C$12="PB",('Activity data'!BK20*EF!$H33)*kgtoGg,IF('Net zero activities &amp; levers'!$C$12="MS",('Net zero Activity data'!BK20*EF!$H33)*kgtoGg,"ERROR")))</f>
        <v>4.0028778541582692</v>
      </c>
      <c r="AS945" s="93">
        <f>IF('Net zero activities &amp; levers'!$C$12="Off",('Activity data'!BL20*EF!$H33)*kgtoGg,IF('Net zero activities &amp; levers'!$C$12="PB",('Activity data'!BL20*EF!$H33)*kgtoGg,IF('Net zero activities &amp; levers'!$C$12="MS",('Net zero Activity data'!BL20*EF!$H33)*kgtoGg,"ERROR")))</f>
        <v>4.1464729012292834</v>
      </c>
      <c r="AT945" s="93">
        <f>IF('Net zero activities &amp; levers'!$C$12="Off",('Activity data'!BM20*EF!$H33)*kgtoGg,IF('Net zero activities &amp; levers'!$C$12="PB",('Activity data'!BM20*EF!$H33)*kgtoGg,IF('Net zero activities &amp; levers'!$C$12="MS",('Net zero Activity data'!BM20*EF!$H33)*kgtoGg,"ERROR")))</f>
        <v>4.2389508928341062</v>
      </c>
      <c r="AU945" s="93">
        <f>IF('Net zero activities &amp; levers'!$C$12="Off",('Activity data'!BN20*EF!$H33)*kgtoGg,IF('Net zero activities &amp; levers'!$C$12="PB",('Activity data'!BN20*EF!$H33)*kgtoGg,IF('Net zero activities &amp; levers'!$C$12="MS",('Net zero Activity data'!BN20*EF!$H33)*kgtoGg,"ERROR")))</f>
        <v>4.3281678617131494</v>
      </c>
      <c r="AV945" s="93">
        <f>IF('Net zero activities &amp; levers'!$C$12="Off",('Activity data'!BO20*EF!$H33)*kgtoGg,IF('Net zero activities &amp; levers'!$C$12="PB",('Activity data'!BO20*EF!$H33)*kgtoGg,IF('Net zero activities &amp; levers'!$C$12="MS",('Net zero Activity data'!BO20*EF!$H33)*kgtoGg,"ERROR")))</f>
        <v>4.4196303430169497</v>
      </c>
      <c r="AW945" s="93">
        <f>IF('Net zero activities &amp; levers'!$C$12="Off",('Activity data'!BP20*EF!$H33)*kgtoGg,IF('Net zero activities &amp; levers'!$C$12="PB",('Activity data'!BP20*EF!$H33)*kgtoGg,IF('Net zero activities &amp; levers'!$C$12="MS",('Net zero Activity data'!BP20*EF!$H33)*kgtoGg,"ERROR")))</f>
        <v>4.5110296667808401</v>
      </c>
      <c r="AY945" s="79"/>
      <c r="AZ945" s="79"/>
    </row>
    <row r="946" spans="1:52" x14ac:dyDescent="0.2">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2.3161053423012622E-2</v>
      </c>
      <c r="L946" s="93">
        <f>IF('Net zero activities &amp; levers'!$C$12="Off",('Activity data'!AE21*EF!$H34)*kgtoGg,IF('Net zero activities &amp; levers'!$C$12="PB",('Activity data'!AE21*EF!$H34)*kgtoGg,IF('Net zero activities &amp; levers'!$C$12="MS",('Net zero Activity data'!AE21*EF!$H34)*kgtoGg,"ERROR")))</f>
        <v>2.3631963555267661E-2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2.4944242822745932E-2</v>
      </c>
      <c r="P946" s="93">
        <f>IF('Net zero activities &amp; levers'!$C$12="Off",('Activity data'!AI21*EF!$H34)*kgtoGg,IF('Net zero activities &amp; levers'!$C$12="PB",('Activity data'!AI21*EF!$H34)*kgtoGg,IF('Net zero activities &amp; levers'!$C$12="MS",('Net zero Activity data'!AI21*EF!$H34)*kgtoGg,"ERROR")))</f>
        <v>2.5198104828966564E-2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2.5862077897454098E-2</v>
      </c>
      <c r="S946" s="93">
        <f>IF('Net zero activities &amp; levers'!$C$12="Off",('Activity data'!AL21*EF!$H34)*kgtoGg,IF('Net zero activities &amp; levers'!$C$12="PB",('Activity data'!AL21*EF!$H34)*kgtoGg,IF('Net zero activities &amp; levers'!$C$12="MS",('Net zero Activity data'!AL21*EF!$H34)*kgtoGg,"ERROR")))</f>
        <v>2.4827585564527698E-2</v>
      </c>
      <c r="T946" s="93">
        <f>IF('Net zero activities &amp; levers'!$C$12="Off",('Activity data'!AM21*EF!$H34)*kgtoGg,IF('Net zero activities &amp; levers'!$C$12="PB",('Activity data'!AM21*EF!$H34)*kgtoGg,IF('Net zero activities &amp; levers'!$C$12="MS",('Net zero Activity data'!AM21*EF!$H34)*kgtoGg,"ERROR")))</f>
        <v>2.5486087178475895E-2</v>
      </c>
      <c r="U946" s="93">
        <f>IF('Net zero activities &amp; levers'!$C$12="Off",('Activity data'!AN21*EF!$H34)*kgtoGg,IF('Net zero activities &amp; levers'!$C$12="PB",('Activity data'!AN21*EF!$H34)*kgtoGg,IF('Net zero activities &amp; levers'!$C$12="MS",('Net zero Activity data'!AN21*EF!$H34)*kgtoGg,"ERROR")))</f>
        <v>2.6035541273385285E-2</v>
      </c>
      <c r="V946" s="93">
        <f>IF('Net zero activities &amp; levers'!$C$12="Off",('Activity data'!AO21*EF!$H34)*kgtoGg,IF('Net zero activities &amp; levers'!$C$12="PB",('Activity data'!AO21*EF!$H34)*kgtoGg,IF('Net zero activities &amp; levers'!$C$12="MS",('Net zero Activity data'!AO21*EF!$H34)*kgtoGg,"ERROR")))</f>
        <v>2.6560965171483649E-2</v>
      </c>
      <c r="W946" s="93">
        <f>IF('Net zero activities &amp; levers'!$C$12="Off",('Activity data'!AP21*EF!$H34)*kgtoGg,IF('Net zero activities &amp; levers'!$C$12="PB",('Activity data'!AP21*EF!$H34)*kgtoGg,IF('Net zero activities &amp; levers'!$C$12="MS",('Net zero Activity data'!AP21*EF!$H34)*kgtoGg,"ERROR")))</f>
        <v>2.7145121762770889E-2</v>
      </c>
      <c r="X946" s="93">
        <f>IF('Net zero activities &amp; levers'!$C$12="Off",('Activity data'!AQ21*EF!$H34)*kgtoGg,IF('Net zero activities &amp; levers'!$C$12="PB",('Activity data'!AQ21*EF!$H34)*kgtoGg,IF('Net zero activities &amp; levers'!$C$12="MS",('Net zero Activity data'!AQ21*EF!$H34)*kgtoGg,"ERROR")))</f>
        <v>2.7708248229993501E-2</v>
      </c>
      <c r="Y946" s="93">
        <f>IF('Net zero activities &amp; levers'!$C$12="Off",('Activity data'!AR21*EF!$H34)*kgtoGg,IF('Net zero activities &amp; levers'!$C$12="PB",('Activity data'!AR21*EF!$H34)*kgtoGg,IF('Net zero activities &amp; levers'!$C$12="MS",('Net zero Activity data'!AR21*EF!$H34)*kgtoGg,"ERROR")))</f>
        <v>2.8213866962301819E-2</v>
      </c>
      <c r="Z946" s="93">
        <f>IF('Net zero activities &amp; levers'!$C$12="Off",('Activity data'!AS21*EF!$H34)*kgtoGg,IF('Net zero activities &amp; levers'!$C$12="PB",('Activity data'!AS21*EF!$H34)*kgtoGg,IF('Net zero activities &amp; levers'!$C$12="MS",('Net zero Activity data'!AS21*EF!$H34)*kgtoGg,"ERROR")))</f>
        <v>2.8706851310880941E-2</v>
      </c>
      <c r="AA946" s="93">
        <f>IF('Net zero activities &amp; levers'!$C$12="Off",('Activity data'!AT21*EF!$H34)*kgtoGg,IF('Net zero activities &amp; levers'!$C$12="PB",('Activity data'!AT21*EF!$H34)*kgtoGg,IF('Net zero activities &amp; levers'!$C$12="MS",('Net zero Activity data'!AT21*EF!$H34)*kgtoGg,"ERROR")))</f>
        <v>2.9179391564757153E-2</v>
      </c>
      <c r="AB946" s="93">
        <f>IF('Net zero activities &amp; levers'!$C$12="Off",('Activity data'!AU21*EF!$H34)*kgtoGg,IF('Net zero activities &amp; levers'!$C$12="PB",('Activity data'!AU21*EF!$H34)*kgtoGg,IF('Net zero activities &amp; levers'!$C$12="MS",('Net zero Activity data'!AU21*EF!$H34)*kgtoGg,"ERROR")))</f>
        <v>2.9747583298672345E-2</v>
      </c>
      <c r="AC946" s="93">
        <f>IF('Net zero activities &amp; levers'!$C$12="Off",('Activity data'!AV21*EF!$H34)*kgtoGg,IF('Net zero activities &amp; levers'!$C$12="PB",('Activity data'!AV21*EF!$H34)*kgtoGg,IF('Net zero activities &amp; levers'!$C$12="MS",('Net zero Activity data'!AV21*EF!$H34)*kgtoGg,"ERROR")))</f>
        <v>3.0311879498672922E-2</v>
      </c>
      <c r="AD946" s="93">
        <f>IF('Net zero activities &amp; levers'!$C$12="Off",('Activity data'!AW21*EF!$H34)*kgtoGg,IF('Net zero activities &amp; levers'!$C$12="PB",('Activity data'!AW21*EF!$H34)*kgtoGg,IF('Net zero activities &amp; levers'!$C$12="MS",('Net zero Activity data'!AW21*EF!$H34)*kgtoGg,"ERROR")))</f>
        <v>3.0903338889043501E-2</v>
      </c>
      <c r="AE946" s="93">
        <f>IF('Net zero activities &amp; levers'!$C$12="Off",('Activity data'!AX21*EF!$H34)*kgtoGg,IF('Net zero activities &amp; levers'!$C$12="PB",('Activity data'!AX21*EF!$H34)*kgtoGg,IF('Net zero activities &amp; levers'!$C$12="MS",('Net zero Activity data'!AX21*EF!$H34)*kgtoGg,"ERROR")))</f>
        <v>3.1592106107355133E-2</v>
      </c>
      <c r="AF946" s="93">
        <f>IF('Net zero activities &amp; levers'!$C$12="Off",('Activity data'!AY21*EF!$H34)*kgtoGg,IF('Net zero activities &amp; levers'!$C$12="PB",('Activity data'!AY21*EF!$H34)*kgtoGg,IF('Net zero activities &amp; levers'!$C$12="MS",('Net zero Activity data'!AY21*EF!$H34)*kgtoGg,"ERROR")))</f>
        <v>3.2331772553839976E-2</v>
      </c>
      <c r="AG946" s="93">
        <f>IF('Net zero activities &amp; levers'!$C$12="Off",('Activity data'!AZ21*EF!$H34)*kgtoGg,IF('Net zero activities &amp; levers'!$C$12="PB",('Activity data'!AZ21*EF!$H34)*kgtoGg,IF('Net zero activities &amp; levers'!$C$12="MS",('Net zero Activity data'!AZ21*EF!$H34)*kgtoGg,"ERROR")))</f>
        <v>3.3179306058555749E-2</v>
      </c>
      <c r="AH946" s="93">
        <f>IF('Net zero activities &amp; levers'!$C$12="Off",('Activity data'!BA21*EF!$H34)*kgtoGg,IF('Net zero activities &amp; levers'!$C$12="PB",('Activity data'!BA21*EF!$H34)*kgtoGg,IF('Net zero activities &amp; levers'!$C$12="MS",('Net zero Activity data'!BA21*EF!$H34)*kgtoGg,"ERROR")))</f>
        <v>3.3879880784644982E-2</v>
      </c>
      <c r="AI946" s="93">
        <f>IF('Net zero activities &amp; levers'!$C$12="Off",('Activity data'!BB21*EF!$H34)*kgtoGg,IF('Net zero activities &amp; levers'!$C$12="PB",('Activity data'!BB21*EF!$H34)*kgtoGg,IF('Net zero activities &amp; levers'!$C$12="MS",('Net zero Activity data'!BB21*EF!$H34)*kgtoGg,"ERROR")))</f>
        <v>3.4550190741567552E-2</v>
      </c>
      <c r="AJ946" s="93">
        <f>IF('Net zero activities &amp; levers'!$C$12="Off",('Activity data'!BC21*EF!$H34)*kgtoGg,IF('Net zero activities &amp; levers'!$C$12="PB",('Activity data'!BC21*EF!$H34)*kgtoGg,IF('Net zero activities &amp; levers'!$C$12="MS",('Net zero Activity data'!BC21*EF!$H34)*kgtoGg,"ERROR")))</f>
        <v>3.5278332346172038E-2</v>
      </c>
      <c r="AK946" s="93">
        <f>IF('Net zero activities &amp; levers'!$C$12="Off",('Activity data'!BD21*EF!$H34)*kgtoGg,IF('Net zero activities &amp; levers'!$C$12="PB",('Activity data'!BD21*EF!$H34)*kgtoGg,IF('Net zero activities &amp; levers'!$C$12="MS",('Net zero Activity data'!BD21*EF!$H34)*kgtoGg,"ERROR")))</f>
        <v>3.5991103595981948E-2</v>
      </c>
      <c r="AL946" s="93">
        <f>IF('Net zero activities &amp; levers'!$C$12="Off",('Activity data'!BE21*EF!$H34)*kgtoGg,IF('Net zero activities &amp; levers'!$C$12="PB",('Activity data'!BE21*EF!$H34)*kgtoGg,IF('Net zero activities &amp; levers'!$C$12="MS",('Net zero Activity data'!BE21*EF!$H34)*kgtoGg,"ERROR")))</f>
        <v>3.6738998105945983E-2</v>
      </c>
      <c r="AM946" s="93">
        <f>IF('Net zero activities &amp; levers'!$C$12="Off",('Activity data'!BF21*EF!$H34)*kgtoGg,IF('Net zero activities &amp; levers'!$C$12="PB",('Activity data'!BF21*EF!$H34)*kgtoGg,IF('Net zero activities &amp; levers'!$C$12="MS",('Net zero Activity data'!BF21*EF!$H34)*kgtoGg,"ERROR")))</f>
        <v>3.7496307305721614E-2</v>
      </c>
      <c r="AN946" s="93">
        <f>IF('Net zero activities &amp; levers'!$C$12="Off",('Activity data'!BG21*EF!$H34)*kgtoGg,IF('Net zero activities &amp; levers'!$C$12="PB",('Activity data'!BG21*EF!$H34)*kgtoGg,IF('Net zero activities &amp; levers'!$C$12="MS",('Net zero Activity data'!BG21*EF!$H34)*kgtoGg,"ERROR")))</f>
        <v>3.8329172074891393E-2</v>
      </c>
      <c r="AO946" s="93">
        <f>IF('Net zero activities &amp; levers'!$C$12="Off",('Activity data'!BH21*EF!$H34)*kgtoGg,IF('Net zero activities &amp; levers'!$C$12="PB",('Activity data'!BH21*EF!$H34)*kgtoGg,IF('Net zero activities &amp; levers'!$C$12="MS",('Net zero Activity data'!BH21*EF!$H34)*kgtoGg,"ERROR")))</f>
        <v>3.9139775328705488E-2</v>
      </c>
      <c r="AP946" s="93">
        <f>IF('Net zero activities &amp; levers'!$C$12="Off",('Activity data'!BI21*EF!$H34)*kgtoGg,IF('Net zero activities &amp; levers'!$C$12="PB",('Activity data'!BI21*EF!$H34)*kgtoGg,IF('Net zero activities &amp; levers'!$C$12="MS",('Net zero Activity data'!BI21*EF!$H34)*kgtoGg,"ERROR")))</f>
        <v>3.9967441068807751E-2</v>
      </c>
      <c r="AQ946" s="93">
        <f>IF('Net zero activities &amp; levers'!$C$12="Off",('Activity data'!BJ21*EF!$H34)*kgtoGg,IF('Net zero activities &amp; levers'!$C$12="PB",('Activity data'!BJ21*EF!$H34)*kgtoGg,IF('Net zero activities &amp; levers'!$C$12="MS",('Net zero Activity data'!BJ21*EF!$H34)*kgtoGg,"ERROR")))</f>
        <v>4.0822756226565615E-2</v>
      </c>
      <c r="AR946" s="93">
        <f>IF('Net zero activities &amp; levers'!$C$12="Off",('Activity data'!BK21*EF!$H34)*kgtoGg,IF('Net zero activities &amp; levers'!$C$12="PB",('Activity data'!BK21*EF!$H34)*kgtoGg,IF('Net zero activities &amp; levers'!$C$12="MS",('Net zero Activity data'!BK21*EF!$H34)*kgtoGg,"ERROR")))</f>
        <v>4.1710077793507598E-2</v>
      </c>
      <c r="AS946" s="93">
        <f>IF('Net zero activities &amp; levers'!$C$12="Off",('Activity data'!BL21*EF!$H34)*kgtoGg,IF('Net zero activities &amp; levers'!$C$12="PB",('Activity data'!BL21*EF!$H34)*kgtoGg,IF('Net zero activities &amp; levers'!$C$12="MS",('Net zero Activity data'!BL21*EF!$H34)*kgtoGg,"ERROR")))</f>
        <v>4.2693686196041997E-2</v>
      </c>
      <c r="AT946" s="93">
        <f>IF('Net zero activities &amp; levers'!$C$12="Off",('Activity data'!BM21*EF!$H34)*kgtoGg,IF('Net zero activities &amp; levers'!$C$12="PB",('Activity data'!BM21*EF!$H34)*kgtoGg,IF('Net zero activities &amp; levers'!$C$12="MS",('Net zero Activity data'!BM21*EF!$H34)*kgtoGg,"ERROR")))</f>
        <v>4.3415280428452788E-2</v>
      </c>
      <c r="AU946" s="93">
        <f>IF('Net zero activities &amp; levers'!$C$12="Off",('Activity data'!BN21*EF!$H34)*kgtoGg,IF('Net zero activities &amp; levers'!$C$12="PB",('Activity data'!BN21*EF!$H34)*kgtoGg,IF('Net zero activities &amp; levers'!$C$12="MS",('Net zero Activity data'!BN21*EF!$H34)*kgtoGg,"ERROR")))</f>
        <v>4.4124327152839558E-2</v>
      </c>
      <c r="AV946" s="93">
        <f>IF('Net zero activities &amp; levers'!$C$12="Off",('Activity data'!BO21*EF!$H34)*kgtoGg,IF('Net zero activities &amp; levers'!$C$12="PB",('Activity data'!BO21*EF!$H34)*kgtoGg,IF('Net zero activities &amp; levers'!$C$12="MS",('Net zero Activity data'!BO21*EF!$H34)*kgtoGg,"ERROR")))</f>
        <v>4.4849891383265984E-2</v>
      </c>
      <c r="AW946" s="93">
        <f>IF('Net zero activities &amp; levers'!$C$12="Off",('Activity data'!BP21*EF!$H34)*kgtoGg,IF('Net zero activities &amp; levers'!$C$12="PB",('Activity data'!BP21*EF!$H34)*kgtoGg,IF('Net zero activities &amp; levers'!$C$12="MS",('Net zero Activity data'!BP21*EF!$H34)*kgtoGg,"ERROR")))</f>
        <v>4.5579757154553702E-2</v>
      </c>
      <c r="AY946" s="79"/>
      <c r="AZ946" s="79"/>
    </row>
    <row r="947" spans="1:52" x14ac:dyDescent="0.2">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9.2084154088933862E-2</v>
      </c>
      <c r="L947" s="93">
        <f>IF('Net zero activities &amp; levers'!$C$12="Off",('Activity data'!AE22*EF!$H35)*kgtoGg,IF('Net zero activities &amp; levers'!$C$12="PB",('Activity data'!AE22*EF!$H35)*kgtoGg,IF('Net zero activities &amp; levers'!$C$12="MS",('Net zero Activity data'!AE22*EF!$H35)*kgtoGg,"ERROR")))</f>
        <v>9.3296737810214622E-2</v>
      </c>
      <c r="M947" s="93">
        <f>IF('Net zero activities &amp; levers'!$C$12="Off",('Activity data'!AF22*EF!$H35)*kgtoGg,IF('Net zero activities &amp; levers'!$C$12="PB",('Activity data'!AF22*EF!$H35)*kgtoGg,IF('Net zero activities &amp; levers'!$C$12="MS",('Net zero Activity data'!AF22*EF!$H35)*kgtoGg,"ERROR")))</f>
        <v>9.5244495094686854E-2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9.3696712749775937E-2</v>
      </c>
      <c r="R947" s="93">
        <f>IF('Net zero activities &amp; levers'!$C$12="Off",('Activity data'!AK22*EF!$H35)*kgtoGg,IF('Net zero activities &amp; levers'!$C$12="PB",('Activity data'!AK22*EF!$H35)*kgtoGg,IF('Net zero activities &amp; levers'!$C$12="MS",('Net zero Activity data'!AK22*EF!$H35)*kgtoGg,"ERROR")))</f>
        <v>9.3292648760063296E-2</v>
      </c>
      <c r="S947" s="93">
        <f>IF('Net zero activities &amp; levers'!$C$12="Off",('Activity data'!AL22*EF!$H35)*kgtoGg,IF('Net zero activities &amp; levers'!$C$12="PB",('Activity data'!AL22*EF!$H35)*kgtoGg,IF('Net zero activities &amp; levers'!$C$12="MS",('Net zero Activity data'!AL22*EF!$H35)*kgtoGg,"ERROR")))</f>
        <v>7.9755178742826727E-2</v>
      </c>
      <c r="T947" s="93">
        <f>IF('Net zero activities &amp; levers'!$C$12="Off",('Activity data'!AM22*EF!$H35)*kgtoGg,IF('Net zero activities &amp; levers'!$C$12="PB",('Activity data'!AM22*EF!$H35)*kgtoGg,IF('Net zero activities &amp; levers'!$C$12="MS",('Net zero Activity data'!AM22*EF!$H35)*kgtoGg,"ERROR")))</f>
        <v>8.3270415519235544E-2</v>
      </c>
      <c r="U947" s="93">
        <f>IF('Net zero activities &amp; levers'!$C$12="Off",('Activity data'!AN22*EF!$H35)*kgtoGg,IF('Net zero activities &amp; levers'!$C$12="PB",('Activity data'!AN22*EF!$H35)*kgtoGg,IF('Net zero activities &amp; levers'!$C$12="MS",('Net zero Activity data'!AN22*EF!$H35)*kgtoGg,"ERROR")))</f>
        <v>8.5692838852079192E-2</v>
      </c>
      <c r="V947" s="93">
        <f>IF('Net zero activities &amp; levers'!$C$12="Off",('Activity data'!AO22*EF!$H35)*kgtoGg,IF('Net zero activities &amp; levers'!$C$12="PB",('Activity data'!AO22*EF!$H35)*kgtoGg,IF('Net zero activities &amp; levers'!$C$12="MS",('Net zero Activity data'!AO22*EF!$H35)*kgtoGg,"ERROR")))</f>
        <v>8.7842688467199587E-2</v>
      </c>
      <c r="W947" s="93">
        <f>IF('Net zero activities &amp; levers'!$C$12="Off",('Activity data'!AP22*EF!$H35)*kgtoGg,IF('Net zero activities &amp; levers'!$C$12="PB",('Activity data'!AP22*EF!$H35)*kgtoGg,IF('Net zero activities &amp; levers'!$C$12="MS",('Net zero Activity data'!AP22*EF!$H35)*kgtoGg,"ERROR")))</f>
        <v>9.0489653220748326E-2</v>
      </c>
      <c r="X947" s="93">
        <f>IF('Net zero activities &amp; levers'!$C$12="Off",('Activity data'!AQ22*EF!$H35)*kgtoGg,IF('Net zero activities &amp; levers'!$C$12="PB",('Activity data'!AQ22*EF!$H35)*kgtoGg,IF('Net zero activities &amp; levers'!$C$12="MS",('Net zero Activity data'!AQ22*EF!$H35)*kgtoGg,"ERROR")))</f>
        <v>9.289224195319265E-2</v>
      </c>
      <c r="Y947" s="93">
        <f>IF('Net zero activities &amp; levers'!$C$12="Off",('Activity data'!AR22*EF!$H35)*kgtoGg,IF('Net zero activities &amp; levers'!$C$12="PB",('Activity data'!AR22*EF!$H35)*kgtoGg,IF('Net zero activities &amp; levers'!$C$12="MS",('Net zero Activity data'!AR22*EF!$H35)*kgtoGg,"ERROR")))</f>
        <v>9.5012864893657414E-2</v>
      </c>
      <c r="Z947" s="93">
        <f>IF('Net zero activities &amp; levers'!$C$12="Off",('Activity data'!AS22*EF!$H35)*kgtoGg,IF('Net zero activities &amp; levers'!$C$12="PB",('Activity data'!AS22*EF!$H35)*kgtoGg,IF('Net zero activities &amp; levers'!$C$12="MS",('Net zero Activity data'!AS22*EF!$H35)*kgtoGg,"ERROR")))</f>
        <v>9.6983164815569928E-2</v>
      </c>
      <c r="AA947" s="93">
        <f>IF('Net zero activities &amp; levers'!$C$12="Off",('Activity data'!AT22*EF!$H35)*kgtoGg,IF('Net zero activities &amp; levers'!$C$12="PB",('Activity data'!AT22*EF!$H35)*kgtoGg,IF('Net zero activities &amp; levers'!$C$12="MS",('Net zero Activity data'!AT22*EF!$H35)*kgtoGg,"ERROR")))</f>
        <v>9.8736943404101787E-2</v>
      </c>
      <c r="AB947" s="93">
        <f>IF('Net zero activities &amp; levers'!$C$12="Off",('Activity data'!AU22*EF!$H35)*kgtoGg,IF('Net zero activities &amp; levers'!$C$12="PB",('Activity data'!AU22*EF!$H35)*kgtoGg,IF('Net zero activities &amp; levers'!$C$12="MS",('Net zero Activity data'!AU22*EF!$H35)*kgtoGg,"ERROR")))</f>
        <v>0.10130653187835065</v>
      </c>
      <c r="AC947" s="93">
        <f>IF('Net zero activities &amp; levers'!$C$12="Off",('Activity data'!AV22*EF!$H35)*kgtoGg,IF('Net zero activities &amp; levers'!$C$12="PB",('Activity data'!AV22*EF!$H35)*kgtoGg,IF('Net zero activities &amp; levers'!$C$12="MS",('Net zero Activity data'!AV22*EF!$H35)*kgtoGg,"ERROR")))</f>
        <v>0.10379903446772733</v>
      </c>
      <c r="AD947" s="93">
        <f>IF('Net zero activities &amp; levers'!$C$12="Off",('Activity data'!AW22*EF!$H35)*kgtoGg,IF('Net zero activities &amp; levers'!$C$12="PB",('Activity data'!AW22*EF!$H35)*kgtoGg,IF('Net zero activities &amp; levers'!$C$12="MS",('Net zero Activity data'!AW22*EF!$H35)*kgtoGg,"ERROR")))</f>
        <v>0.1067152128865853</v>
      </c>
      <c r="AE947" s="93">
        <f>IF('Net zero activities &amp; levers'!$C$12="Off",('Activity data'!AX22*EF!$H35)*kgtoGg,IF('Net zero activities &amp; levers'!$C$12="PB",('Activity data'!AX22*EF!$H35)*kgtoGg,IF('Net zero activities &amp; levers'!$C$12="MS",('Net zero Activity data'!AX22*EF!$H35)*kgtoGg,"ERROR")))</f>
        <v>0.11043111193198749</v>
      </c>
      <c r="AF947" s="93">
        <f>IF('Net zero activities &amp; levers'!$C$12="Off",('Activity data'!AY22*EF!$H35)*kgtoGg,IF('Net zero activities &amp; levers'!$C$12="PB",('Activity data'!AY22*EF!$H35)*kgtoGg,IF('Net zero activities &amp; levers'!$C$12="MS",('Net zero Activity data'!AY22*EF!$H35)*kgtoGg,"ERROR")))</f>
        <v>0.11453121722526576</v>
      </c>
      <c r="AG947" s="93">
        <f>IF('Net zero activities &amp; levers'!$C$12="Off",('Activity data'!AZ22*EF!$H35)*kgtoGg,IF('Net zero activities &amp; levers'!$C$12="PB",('Activity data'!AZ22*EF!$H35)*kgtoGg,IF('Net zero activities &amp; levers'!$C$12="MS",('Net zero Activity data'!AZ22*EF!$H35)*kgtoGg,"ERROR")))</f>
        <v>0.11949461194818344</v>
      </c>
      <c r="AH947" s="93">
        <f>IF('Net zero activities &amp; levers'!$C$12="Off",('Activity data'!BA22*EF!$H35)*kgtoGg,IF('Net zero activities &amp; levers'!$C$12="PB",('Activity data'!BA22*EF!$H35)*kgtoGg,IF('Net zero activities &amp; levers'!$C$12="MS",('Net zero Activity data'!BA22*EF!$H35)*kgtoGg,"ERROR")))</f>
        <v>0.12314286787078389</v>
      </c>
      <c r="AI947" s="93">
        <f>IF('Net zero activities &amp; levers'!$C$12="Off",('Activity data'!BB22*EF!$H35)*kgtoGg,IF('Net zero activities &amp; levers'!$C$12="PB",('Activity data'!BB22*EF!$H35)*kgtoGg,IF('Net zero activities &amp; levers'!$C$12="MS",('Net zero Activity data'!BB22*EF!$H35)*kgtoGg,"ERROR")))</f>
        <v>0.12669861870544499</v>
      </c>
      <c r="AJ947" s="93">
        <f>IF('Net zero activities &amp; levers'!$C$12="Off",('Activity data'!BC22*EF!$H35)*kgtoGg,IF('Net zero activities &amp; levers'!$C$12="PB",('Activity data'!BC22*EF!$H35)*kgtoGg,IF('Net zero activities &amp; levers'!$C$12="MS",('Net zero Activity data'!BC22*EF!$H35)*kgtoGg,"ERROR")))</f>
        <v>0.13069366582827113</v>
      </c>
      <c r="AK947" s="93">
        <f>IF('Net zero activities &amp; levers'!$C$12="Off",('Activity data'!BD22*EF!$H35)*kgtoGg,IF('Net zero activities &amp; levers'!$C$12="PB",('Activity data'!BD22*EF!$H35)*kgtoGg,IF('Net zero activities &amp; levers'!$C$12="MS",('Net zero Activity data'!BD22*EF!$H35)*kgtoGg,"ERROR")))</f>
        <v>0.13451096019485542</v>
      </c>
      <c r="AL947" s="93">
        <f>IF('Net zero activities &amp; levers'!$C$12="Off",('Activity data'!BE22*EF!$H35)*kgtoGg,IF('Net zero activities &amp; levers'!$C$12="PB",('Activity data'!BE22*EF!$H35)*kgtoGg,IF('Net zero activities &amp; levers'!$C$12="MS",('Net zero Activity data'!BE22*EF!$H35)*kgtoGg,"ERROR")))</f>
        <v>0.13857172384876518</v>
      </c>
      <c r="AM947" s="93">
        <f>IF('Net zero activities &amp; levers'!$C$12="Off",('Activity data'!BF22*EF!$H35)*kgtoGg,IF('Net zero activities &amp; levers'!$C$12="PB",('Activity data'!BF22*EF!$H35)*kgtoGg,IF('Net zero activities &amp; levers'!$C$12="MS",('Net zero Activity data'!BF22*EF!$H35)*kgtoGg,"ERROR")))</f>
        <v>0.14266056672033503</v>
      </c>
      <c r="AN947" s="93">
        <f>IF('Net zero activities &amp; levers'!$C$12="Off",('Activity data'!BG22*EF!$H35)*kgtoGg,IF('Net zero activities &amp; levers'!$C$12="PB",('Activity data'!BG22*EF!$H35)*kgtoGg,IF('Net zero activities &amp; levers'!$C$12="MS",('Net zero Activity data'!BG22*EF!$H35)*kgtoGg,"ERROR")))</f>
        <v>0.14751337126697986</v>
      </c>
      <c r="AO947" s="93">
        <f>IF('Net zero activities &amp; levers'!$C$12="Off",('Activity data'!BH22*EF!$H35)*kgtoGg,IF('Net zero activities &amp; levers'!$C$12="PB",('Activity data'!BH22*EF!$H35)*kgtoGg,IF('Net zero activities &amp; levers'!$C$12="MS",('Net zero Activity data'!BH22*EF!$H35)*kgtoGg,"ERROR")))</f>
        <v>0.15213070484534344</v>
      </c>
      <c r="AP947" s="93">
        <f>IF('Net zero activities &amp; levers'!$C$12="Off",('Activity data'!BI22*EF!$H35)*kgtoGg,IF('Net zero activities &amp; levers'!$C$12="PB",('Activity data'!BI22*EF!$H35)*kgtoGg,IF('Net zero activities &amp; levers'!$C$12="MS",('Net zero Activity data'!BI22*EF!$H35)*kgtoGg,"ERROR")))</f>
        <v>0.15683465890006026</v>
      </c>
      <c r="AQ947" s="93">
        <f>IF('Net zero activities &amp; levers'!$C$12="Off",('Activity data'!BJ22*EF!$H35)*kgtoGg,IF('Net zero activities &amp; levers'!$C$12="PB",('Activity data'!BJ22*EF!$H35)*kgtoGg,IF('Net zero activities &amp; levers'!$C$12="MS",('Net zero Activity data'!BJ22*EF!$H35)*kgtoGg,"ERROR")))</f>
        <v>0.16170917290182402</v>
      </c>
      <c r="AR947" s="93">
        <f>IF('Net zero activities &amp; levers'!$C$12="Off",('Activity data'!BK22*EF!$H35)*kgtoGg,IF('Net zero activities &amp; levers'!$C$12="PB",('Activity data'!BK22*EF!$H35)*kgtoGg,IF('Net zero activities &amp; levers'!$C$12="MS",('Net zero Activity data'!BK22*EF!$H35)*kgtoGg,"ERROR")))</f>
        <v>0.16678657725659471</v>
      </c>
      <c r="AS947" s="93">
        <f>IF('Net zero activities &amp; levers'!$C$12="Off",('Activity data'!BL22*EF!$H35)*kgtoGg,IF('Net zero activities &amp; levers'!$C$12="PB",('Activity data'!BL22*EF!$H35)*kgtoGg,IF('Net zero activities &amp; levers'!$C$12="MS",('Net zero Activity data'!BL22*EF!$H35)*kgtoGg,"ERROR")))</f>
        <v>0.17276970421788695</v>
      </c>
      <c r="AT947" s="93">
        <f>IF('Net zero activities &amp; levers'!$C$12="Off",('Activity data'!BM22*EF!$H35)*kgtoGg,IF('Net zero activities &amp; levers'!$C$12="PB",('Activity data'!BM22*EF!$H35)*kgtoGg,IF('Net zero activities &amp; levers'!$C$12="MS",('Net zero Activity data'!BM22*EF!$H35)*kgtoGg,"ERROR")))</f>
        <v>0.17662295386808796</v>
      </c>
      <c r="AU947" s="93">
        <f>IF('Net zero activities &amp; levers'!$C$12="Off",('Activity data'!BN22*EF!$H35)*kgtoGg,IF('Net zero activities &amp; levers'!$C$12="PB",('Activity data'!BN22*EF!$H35)*kgtoGg,IF('Net zero activities &amp; levers'!$C$12="MS",('Net zero Activity data'!BN22*EF!$H35)*kgtoGg,"ERROR")))</f>
        <v>0.18034032757138141</v>
      </c>
      <c r="AV947" s="93">
        <f>IF('Net zero activities &amp; levers'!$C$12="Off",('Activity data'!BO22*EF!$H35)*kgtoGg,IF('Net zero activities &amp; levers'!$C$12="PB",('Activity data'!BO22*EF!$H35)*kgtoGg,IF('Net zero activities &amp; levers'!$C$12="MS",('Net zero Activity data'!BO22*EF!$H35)*kgtoGg,"ERROR")))</f>
        <v>0.18415126429237305</v>
      </c>
      <c r="AW947" s="93">
        <f>IF('Net zero activities &amp; levers'!$C$12="Off",('Activity data'!BP22*EF!$H35)*kgtoGg,IF('Net zero activities &amp; levers'!$C$12="PB",('Activity data'!BP22*EF!$H35)*kgtoGg,IF('Net zero activities &amp; levers'!$C$12="MS",('Net zero Activity data'!BP22*EF!$H35)*kgtoGg,"ERROR")))</f>
        <v>0.18795956944920184</v>
      </c>
      <c r="AY947" s="79"/>
      <c r="AZ947" s="79"/>
    </row>
    <row r="948" spans="1:52" x14ac:dyDescent="0.2">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5.9806569587962537E-2</v>
      </c>
      <c r="M948" s="27">
        <f t="shared" si="335"/>
        <v>6.0278316688762053E-2</v>
      </c>
      <c r="N948" s="27">
        <f t="shared" si="335"/>
        <v>6.0581464452445992E-2</v>
      </c>
      <c r="O948" s="27">
        <f t="shared" si="335"/>
        <v>6.0782907527895308E-2</v>
      </c>
      <c r="P948" s="27">
        <f t="shared" si="335"/>
        <v>6.0880663265441157E-2</v>
      </c>
      <c r="Q948" s="27">
        <f t="shared" si="335"/>
        <v>6.1096642070638009E-2</v>
      </c>
      <c r="R948" s="27">
        <f t="shared" si="335"/>
        <v>6.1344406036983767E-2</v>
      </c>
      <c r="S948" s="27">
        <f t="shared" si="335"/>
        <v>5.9665089567979834E-2</v>
      </c>
      <c r="T948" s="27">
        <f t="shared" si="335"/>
        <v>6.0350771242359769E-2</v>
      </c>
      <c r="U948" s="27">
        <f t="shared" si="335"/>
        <v>6.0888075169397142E-2</v>
      </c>
      <c r="V948" s="27">
        <f t="shared" si="335"/>
        <v>6.139711160102531E-2</v>
      </c>
      <c r="W948" s="27">
        <f t="shared" si="335"/>
        <v>6.1992224918562065E-2</v>
      </c>
      <c r="X948" s="27">
        <f t="shared" si="335"/>
        <v>6.2562148930794551E-2</v>
      </c>
      <c r="Y948" s="27">
        <f t="shared" si="335"/>
        <v>6.3040140287419597E-2</v>
      </c>
      <c r="Z948" s="27">
        <f t="shared" si="335"/>
        <v>6.3504855616237185E-2</v>
      </c>
      <c r="AA948" s="27">
        <f t="shared" ref="L948:AW950" si="336">AA1411</f>
        <v>6.3945644322408624E-2</v>
      </c>
      <c r="AB948" s="27">
        <f t="shared" si="336"/>
        <v>6.4519032075900526E-2</v>
      </c>
      <c r="AC948" s="27">
        <f t="shared" si="336"/>
        <v>6.5089471381032354E-2</v>
      </c>
      <c r="AD948" s="27">
        <f t="shared" si="336"/>
        <v>6.5684604542898692E-2</v>
      </c>
      <c r="AE948" s="27">
        <f t="shared" si="336"/>
        <v>6.6410653636350389E-2</v>
      </c>
      <c r="AF948" s="27">
        <f t="shared" si="336"/>
        <v>6.7204391254708923E-2</v>
      </c>
      <c r="AG948" s="27">
        <f t="shared" si="336"/>
        <v>6.8140044673053207E-2</v>
      </c>
      <c r="AH948" s="27">
        <f t="shared" si="336"/>
        <v>6.888108453498494E-2</v>
      </c>
      <c r="AI948" s="27">
        <f t="shared" si="336"/>
        <v>6.9569502535986497E-2</v>
      </c>
      <c r="AJ948" s="27">
        <f t="shared" si="336"/>
        <v>7.0333394582188791E-2</v>
      </c>
      <c r="AK948" s="27">
        <f t="shared" si="336"/>
        <v>7.1076775459671046E-2</v>
      </c>
      <c r="AL948" s="27">
        <f t="shared" si="336"/>
        <v>7.1865166896586383E-2</v>
      </c>
      <c r="AM948" s="27">
        <f t="shared" si="336"/>
        <v>7.2664891568343645E-2</v>
      </c>
      <c r="AN948" s="27">
        <f t="shared" si="336"/>
        <v>7.3548705139755158E-2</v>
      </c>
      <c r="AO948" s="27">
        <f t="shared" si="336"/>
        <v>7.4402331665901211E-2</v>
      </c>
      <c r="AP948" s="27">
        <f t="shared" si="336"/>
        <v>7.5276250928073038E-2</v>
      </c>
      <c r="AQ948" s="27">
        <f t="shared" si="336"/>
        <v>7.6183713879707002E-2</v>
      </c>
      <c r="AR948" s="27">
        <f t="shared" si="336"/>
        <v>7.7129908476892481E-2</v>
      </c>
      <c r="AS948" s="27">
        <f t="shared" si="336"/>
        <v>7.8183489117849933E-2</v>
      </c>
      <c r="AT948" s="27">
        <f t="shared" si="336"/>
        <v>7.890407273633461E-2</v>
      </c>
      <c r="AU948" s="27">
        <f t="shared" si="336"/>
        <v>7.960808386314952E-2</v>
      </c>
      <c r="AV948" s="27">
        <f t="shared" si="336"/>
        <v>8.0332044119121343E-2</v>
      </c>
      <c r="AW948" s="27">
        <f t="shared" si="336"/>
        <v>8.1060500675567429E-2</v>
      </c>
      <c r="AY948" s="79"/>
      <c r="AZ948" s="79"/>
    </row>
    <row r="949" spans="1:52" x14ac:dyDescent="0.2">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0.26187096745907495</v>
      </c>
      <c r="M949" s="27">
        <f t="shared" si="336"/>
        <v>0.26393657447404822</v>
      </c>
      <c r="N949" s="27">
        <f t="shared" si="336"/>
        <v>0.26526394701365208</v>
      </c>
      <c r="O949" s="27">
        <f t="shared" si="336"/>
        <v>0.26614599213711054</v>
      </c>
      <c r="P949" s="27">
        <f t="shared" si="336"/>
        <v>0.26657402855087203</v>
      </c>
      <c r="Q949" s="27">
        <f t="shared" si="336"/>
        <v>0.26751972028770321</v>
      </c>
      <c r="R949" s="27">
        <f t="shared" si="336"/>
        <v>0.26860458755254496</v>
      </c>
      <c r="S949" s="27">
        <f t="shared" si="336"/>
        <v>0.26125147849717245</v>
      </c>
      <c r="T949" s="27">
        <f t="shared" si="336"/>
        <v>0.26425382631073058</v>
      </c>
      <c r="U949" s="27">
        <f t="shared" si="336"/>
        <v>0.26660648255171249</v>
      </c>
      <c r="V949" s="27">
        <f t="shared" si="336"/>
        <v>0.26883536582893036</v>
      </c>
      <c r="W949" s="27">
        <f t="shared" si="336"/>
        <v>0.27144114812483544</v>
      </c>
      <c r="X949" s="27">
        <f t="shared" si="336"/>
        <v>0.27393663571908672</v>
      </c>
      <c r="Y949" s="27">
        <f t="shared" si="336"/>
        <v>0.27602958403327432</v>
      </c>
      <c r="Z949" s="27">
        <f t="shared" si="336"/>
        <v>0.27806440150548434</v>
      </c>
      <c r="AA949" s="27">
        <f t="shared" si="336"/>
        <v>0.27999445309890292</v>
      </c>
      <c r="AB949" s="27">
        <f t="shared" si="336"/>
        <v>0.28250510714193849</v>
      </c>
      <c r="AC949" s="27">
        <f t="shared" si="336"/>
        <v>0.2850028510142375</v>
      </c>
      <c r="AD949" s="27">
        <f t="shared" si="336"/>
        <v>0.2876087202011619</v>
      </c>
      <c r="AE949" s="27">
        <f t="shared" si="336"/>
        <v>0.29078782209305915</v>
      </c>
      <c r="AF949" s="27">
        <f t="shared" si="336"/>
        <v>0.29426330713525839</v>
      </c>
      <c r="AG949" s="27">
        <f t="shared" si="336"/>
        <v>0.29836018925968516</v>
      </c>
      <c r="AH949" s="27">
        <f t="shared" si="336"/>
        <v>0.30160493021217166</v>
      </c>
      <c r="AI949" s="27">
        <f t="shared" si="336"/>
        <v>0.30461925939340617</v>
      </c>
      <c r="AJ949" s="27">
        <f t="shared" si="336"/>
        <v>0.30796406165428591</v>
      </c>
      <c r="AK949" s="27">
        <f t="shared" si="336"/>
        <v>0.31121905305268976</v>
      </c>
      <c r="AL949" s="27">
        <f t="shared" si="336"/>
        <v>0.31467112913302436</v>
      </c>
      <c r="AM949" s="27">
        <f t="shared" si="336"/>
        <v>0.31817282927962681</v>
      </c>
      <c r="AN949" s="27">
        <f t="shared" si="336"/>
        <v>0.32204272378442023</v>
      </c>
      <c r="AO949" s="27">
        <f t="shared" si="336"/>
        <v>0.32578044032276504</v>
      </c>
      <c r="AP949" s="27">
        <f t="shared" si="336"/>
        <v>0.32960701128717151</v>
      </c>
      <c r="AQ949" s="27">
        <f t="shared" si="336"/>
        <v>0.33358045772817063</v>
      </c>
      <c r="AR949" s="27">
        <f t="shared" si="336"/>
        <v>0.33772349579700817</v>
      </c>
      <c r="AS949" s="27">
        <f t="shared" si="336"/>
        <v>0.34233673784791513</v>
      </c>
      <c r="AT949" s="27">
        <f t="shared" si="336"/>
        <v>0.34549190843549077</v>
      </c>
      <c r="AU949" s="27">
        <f t="shared" si="336"/>
        <v>0.34857451417849072</v>
      </c>
      <c r="AV949" s="27">
        <f t="shared" si="336"/>
        <v>0.35174446981947466</v>
      </c>
      <c r="AW949" s="27">
        <f t="shared" si="336"/>
        <v>0.3549341131062021</v>
      </c>
      <c r="AY949" s="79"/>
      <c r="AZ949" s="79"/>
    </row>
    <row r="950" spans="1:52" x14ac:dyDescent="0.2">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1.1651711689683767E-2</v>
      </c>
      <c r="M950" s="27">
        <f t="shared" si="336"/>
        <v>1.1743619004328788E-2</v>
      </c>
      <c r="N950" s="27">
        <f t="shared" si="336"/>
        <v>1.1802679244134426E-2</v>
      </c>
      <c r="O950" s="27">
        <f t="shared" si="336"/>
        <v>1.1841925043604104E-2</v>
      </c>
      <c r="P950" s="27">
        <f t="shared" si="336"/>
        <v>1.1860970136438286E-2</v>
      </c>
      <c r="Q950" s="27">
        <f t="shared" si="336"/>
        <v>1.1903047834366352E-2</v>
      </c>
      <c r="R950" s="27">
        <f t="shared" si="336"/>
        <v>1.1951318021451857E-2</v>
      </c>
      <c r="S950" s="27">
        <f t="shared" si="336"/>
        <v>1.1624148088994974E-2</v>
      </c>
      <c r="T950" s="27">
        <f t="shared" si="336"/>
        <v>1.1757734837671872E-2</v>
      </c>
      <c r="U950" s="27">
        <f t="shared" si="336"/>
        <v>1.1862414147833051E-2</v>
      </c>
      <c r="V950" s="27">
        <f t="shared" si="336"/>
        <v>1.1961586291992786E-2</v>
      </c>
      <c r="W950" s="27">
        <f t="shared" si="336"/>
        <v>1.2077528216874986E-2</v>
      </c>
      <c r="X950" s="27">
        <f t="shared" si="336"/>
        <v>1.218856267882977E-2</v>
      </c>
      <c r="Y950" s="27">
        <f t="shared" si="336"/>
        <v>1.2281686519837978E-2</v>
      </c>
      <c r="Z950" s="27">
        <f t="shared" si="336"/>
        <v>1.2372223881643949E-2</v>
      </c>
      <c r="AA950" s="27">
        <f t="shared" si="336"/>
        <v>1.2458099780491892E-2</v>
      </c>
      <c r="AB950" s="27">
        <f t="shared" si="336"/>
        <v>1.256980905985888E-2</v>
      </c>
      <c r="AC950" s="27">
        <f t="shared" si="336"/>
        <v>1.2680943912863346E-2</v>
      </c>
      <c r="AD950" s="27">
        <f t="shared" si="336"/>
        <v>1.2796889703882807E-2</v>
      </c>
      <c r="AE950" s="27">
        <f t="shared" si="336"/>
        <v>1.2938340965303392E-2</v>
      </c>
      <c r="AF950" s="27">
        <f t="shared" si="336"/>
        <v>1.3092979526753859E-2</v>
      </c>
      <c r="AG950" s="27">
        <f t="shared" si="336"/>
        <v>1.3275266588980031E-2</v>
      </c>
      <c r="AH950" s="27">
        <f t="shared" si="336"/>
        <v>1.3419638400994631E-2</v>
      </c>
      <c r="AI950" s="27">
        <f t="shared" si="336"/>
        <v>1.3553758249782499E-2</v>
      </c>
      <c r="AJ950" s="27">
        <f t="shared" si="336"/>
        <v>1.3702582199153161E-2</v>
      </c>
      <c r="AK950" s="27">
        <f t="shared" si="336"/>
        <v>1.3847410095481636E-2</v>
      </c>
      <c r="AL950" s="27">
        <f t="shared" si="336"/>
        <v>1.4001007096360315E-2</v>
      </c>
      <c r="AM950" s="27">
        <f t="shared" si="336"/>
        <v>1.4156812075155119E-2</v>
      </c>
      <c r="AN950" s="27">
        <f t="shared" si="336"/>
        <v>1.432899952868179E-2</v>
      </c>
      <c r="AO950" s="27">
        <f t="shared" si="336"/>
        <v>1.4495305843219548E-2</v>
      </c>
      <c r="AP950" s="27">
        <f t="shared" si="336"/>
        <v>1.4665565655026861E-2</v>
      </c>
      <c r="AQ950" s="27">
        <f t="shared" si="336"/>
        <v>1.4842360558234895E-2</v>
      </c>
      <c r="AR950" s="27">
        <f t="shared" si="336"/>
        <v>1.5026701287433988E-2</v>
      </c>
      <c r="AS950" s="27">
        <f t="shared" si="336"/>
        <v>1.5231963317255199E-2</v>
      </c>
      <c r="AT950" s="27">
        <f t="shared" si="336"/>
        <v>1.5372349776949124E-2</v>
      </c>
      <c r="AU950" s="27">
        <f t="shared" si="336"/>
        <v>1.550950752955876E-2</v>
      </c>
      <c r="AV950" s="27">
        <f t="shared" si="336"/>
        <v>1.5650551836822808E-2</v>
      </c>
      <c r="AW950" s="27">
        <f t="shared" si="336"/>
        <v>1.5792472128065831E-2</v>
      </c>
      <c r="AY950" s="79"/>
      <c r="AZ950" s="79"/>
    </row>
    <row r="951" spans="1:52" x14ac:dyDescent="0.2">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0.52525224947331306</v>
      </c>
      <c r="L951" s="93">
        <f>IF('Net zero activities &amp; levers'!$C$12="Off",('Activity data'!AE8*EF!$H39*EF!$H57)*NtoN2O*kgtoGg,('Net zero Activity data'!AE8*EF!$H39*EF!$H57)*NtoN2O*kgtoGg)</f>
        <v>0.5206969044571037</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0.50197358865556707</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0.41630918721469751</v>
      </c>
      <c r="T951" s="93">
        <f>IF('Net zero activities &amp; levers'!$C$12="Off",('Activity data'!AM8*EF!$H39*EF!$H57)*NtoN2O*kgtoGg,('Net zero Activity data'!AM8*EF!$H39*EF!$H57)*NtoN2O*kgtoGg)</f>
        <v>0.4242723493279994</v>
      </c>
      <c r="U951" s="93">
        <f>IF('Net zero activities &amp; levers'!$C$12="Off",('Activity data'!AN8*EF!$H39*EF!$H57)*NtoN2O*kgtoGg,('Net zero Activity data'!AN8*EF!$H39*EF!$H57)*NtoN2O*kgtoGg)</f>
        <v>0.42852994772024217</v>
      </c>
      <c r="V951" s="93">
        <f>IF('Net zero activities &amp; levers'!$C$12="Off",('Activity data'!AO8*EF!$H39*EF!$H57)*NtoN2O*kgtoGg,('Net zero Activity data'!AO8*EF!$H39*EF!$H57)*NtoN2O*kgtoGg)</f>
        <v>0.43180740758836011</v>
      </c>
      <c r="W951" s="93">
        <f>IF('Net zero activities &amp; levers'!$C$12="Off",('Activity data'!AP8*EF!$H39*EF!$H57)*NtoN2O*kgtoGg,('Net zero Activity data'!AP8*EF!$H39*EF!$H57)*NtoN2O*kgtoGg)</f>
        <v>0.43654938286292333</v>
      </c>
      <c r="X951" s="93">
        <f>IF('Net zero activities &amp; levers'!$C$12="Off",('Activity data'!AQ8*EF!$H39*EF!$H57)*NtoN2O*kgtoGg,('Net zero Activity data'!AQ8*EF!$H39*EF!$H57)*NtoN2O*kgtoGg)</f>
        <v>0.44039774902333312</v>
      </c>
      <c r="Y951" s="93">
        <f>IF('Net zero activities &amp; levers'!$C$12="Off",('Activity data'!AR8*EF!$H39*EF!$H57)*NtoN2O*kgtoGg,('Net zero Activity data'!AR8*EF!$H39*EF!$H57)*NtoN2O*kgtoGg)</f>
        <v>0.44287861979972809</v>
      </c>
      <c r="Z951" s="93">
        <f>IF('Net zero activities &amp; levers'!$C$12="Off",('Activity data'!AS8*EF!$H39*EF!$H57)*NtoN2O*kgtoGg,('Net zero Activity data'!AS8*EF!$H39*EF!$H57)*NtoN2O*kgtoGg)</f>
        <v>0.44480979206932508</v>
      </c>
      <c r="AA951" s="93">
        <f>IF('Net zero activities &amp; levers'!$C$12="Off",('Activity data'!AT8*EF!$H39*EF!$H57)*NtoN2O*kgtoGg,('Net zero Activity data'!AT8*EF!$H39*EF!$H57)*NtoN2O*kgtoGg)</f>
        <v>0.44600669694391831</v>
      </c>
      <c r="AB951" s="93">
        <f>IF('Net zero activities &amp; levers'!$C$12="Off",('Activity data'!AU8*EF!$H39*EF!$H57)*NtoN2O*kgtoGg,('Net zero Activity data'!AU8*EF!$H39*EF!$H57)*NtoN2O*kgtoGg)</f>
        <v>0.44955000580259225</v>
      </c>
      <c r="AC951" s="93">
        <f>IF('Net zero activities &amp; levers'!$C$12="Off",('Activity data'!AV8*EF!$H39*EF!$H57)*NtoN2O*kgtoGg,('Net zero Activity data'!AV8*EF!$H39*EF!$H57)*NtoN2O*kgtoGg)</f>
        <v>0.45273812820401932</v>
      </c>
      <c r="AD951" s="93">
        <f>IF('Net zero activities &amp; levers'!$C$12="Off",('Activity data'!AW8*EF!$H39*EF!$H57)*NtoN2O*kgtoGg,('Net zero Activity data'!AW8*EF!$H39*EF!$H57)*NtoN2O*kgtoGg)</f>
        <v>0.45290255961235854</v>
      </c>
      <c r="AE951" s="93">
        <f>IF('Net zero activities &amp; levers'!$C$12="Off",('Activity data'!AX8*EF!$H39*EF!$H57)*NtoN2O*kgtoGg,('Net zero Activity data'!AX8*EF!$H39*EF!$H57)*NtoN2O*kgtoGg)</f>
        <v>0.45503830808408913</v>
      </c>
      <c r="AF951" s="93">
        <f>IF('Net zero activities &amp; levers'!$C$12="Off",('Activity data'!AY8*EF!$H39*EF!$H57)*NtoN2O*kgtoGg,('Net zero Activity data'!AY8*EF!$H39*EF!$H57)*NtoN2O*kgtoGg)</f>
        <v>0.45786255495032313</v>
      </c>
      <c r="AG951" s="93">
        <f>IF('Net zero activities &amp; levers'!$C$12="Off",('Activity data'!AZ8*EF!$H39*EF!$H57)*NtoN2O*kgtoGg,('Net zero Activity data'!AZ8*EF!$H39*EF!$H57)*NtoN2O*kgtoGg)</f>
        <v>0.46260418192872943</v>
      </c>
      <c r="AH951" s="93">
        <f>IF('Net zero activities &amp; levers'!$C$12="Off",('Activity data'!BA8*EF!$H39*EF!$H57)*NtoN2O*kgtoGg,('Net zero Activity data'!BA8*EF!$H39*EF!$H57)*NtoN2O*kgtoGg)</f>
        <v>0.46336149545626742</v>
      </c>
      <c r="AI951" s="93">
        <f>IF('Net zero activities &amp; levers'!$C$12="Off",('Activity data'!BB8*EF!$H39*EF!$H57)*NtoN2O*kgtoGg,('Net zero Activity data'!BB8*EF!$H39*EF!$H57)*NtoN2O*kgtoGg)</f>
        <v>0.46328199946784754</v>
      </c>
      <c r="AJ951" s="93">
        <f>IF('Net zero activities &amp; levers'!$C$12="Off",('Activity data'!BC8*EF!$H39*EF!$H57)*NtoN2O*kgtoGg,('Net zero Activity data'!BC8*EF!$H39*EF!$H57)*NtoN2O*kgtoGg)</f>
        <v>0.46397768547065105</v>
      </c>
      <c r="AK951" s="93">
        <f>IF('Net zero activities &amp; levers'!$C$12="Off",('Activity data'!BD8*EF!$H39*EF!$H57)*NtoN2O*kgtoGg,('Net zero Activity data'!BD8*EF!$H39*EF!$H57)*NtoN2O*kgtoGg)</f>
        <v>0.46384928130278269</v>
      </c>
      <c r="AL951" s="93">
        <f>IF('Net zero activities &amp; levers'!$C$12="Off",('Activity data'!BE8*EF!$H39*EF!$H57)*NtoN2O*kgtoGg,('Net zero Activity data'!BE8*EF!$H39*EF!$H57)*NtoN2O*kgtoGg)</f>
        <v>0.46394752613960677</v>
      </c>
      <c r="AM951" s="93">
        <f>IF('Net zero activities &amp; levers'!$C$12="Off",('Activity data'!BF8*EF!$H39*EF!$H57)*NtoN2O*kgtoGg,('Net zero Activity data'!BF8*EF!$H39*EF!$H57)*NtoN2O*kgtoGg)</f>
        <v>0.46372456195327277</v>
      </c>
      <c r="AN951" s="93">
        <f>IF('Net zero activities &amp; levers'!$C$12="Off",('Activity data'!BG8*EF!$H39*EF!$H57)*NtoN2O*kgtoGg,('Net zero Activity data'!BG8*EF!$H39*EF!$H57)*NtoN2O*kgtoGg)</f>
        <v>0.46705287296965353</v>
      </c>
      <c r="AO951" s="93">
        <f>IF('Net zero activities &amp; levers'!$C$12="Off",('Activity data'!BH8*EF!$H39*EF!$H57)*NtoN2O*kgtoGg,('Net zero Activity data'!BH8*EF!$H39*EF!$H57)*NtoN2O*kgtoGg)</f>
        <v>0.46948772142871509</v>
      </c>
      <c r="AP951" s="93">
        <f>IF('Net zero activities &amp; levers'!$C$12="Off",('Activity data'!BI8*EF!$H39*EF!$H57)*NtoN2O*kgtoGg,('Net zero Activity data'!BI8*EF!$H39*EF!$H57)*NtoN2O*kgtoGg)</f>
        <v>0.47178208531317378</v>
      </c>
      <c r="AQ951" s="93">
        <f>IF('Net zero activities &amp; levers'!$C$12="Off",('Activity data'!BJ8*EF!$H39*EF!$H57)*NtoN2O*kgtoGg,('Net zero Activity data'!BJ8*EF!$H39*EF!$H57)*NtoN2O*kgtoGg)</f>
        <v>0.47411151157933035</v>
      </c>
      <c r="AR951" s="93">
        <f>IF('Net zero activities &amp; levers'!$C$12="Off",('Activity data'!BK8*EF!$H39*EF!$H57)*NtoN2O*kgtoGg,('Net zero Activity data'!BK8*EF!$H39*EF!$H57)*NtoN2O*kgtoGg)</f>
        <v>0.47652651600833112</v>
      </c>
      <c r="AS951" s="93">
        <f>IF('Net zero activities &amp; levers'!$C$12="Off",('Activity data'!BL8*EF!$H39*EF!$H57)*NtoN2O*kgtoGg,('Net zero Activity data'!BL8*EF!$H39*EF!$H57)*NtoN2O*kgtoGg)</f>
        <v>0.48031110501678759</v>
      </c>
      <c r="AT951" s="93">
        <f>IF('Net zero activities &amp; levers'!$C$12="Off",('Activity data'!BM8*EF!$H39*EF!$H57)*NtoN2O*kgtoGg,('Net zero Activity data'!BM8*EF!$H39*EF!$H57)*NtoN2O*kgtoGg)</f>
        <v>0.47924514012499747</v>
      </c>
      <c r="AU951" s="93">
        <f>IF('Net zero activities &amp; levers'!$C$12="Off",('Activity data'!BN8*EF!$H39*EF!$H57)*NtoN2O*kgtoGg,('Net zero Activity data'!BN8*EF!$H39*EF!$H57)*NtoN2O*kgtoGg)</f>
        <v>0.47764693105288908</v>
      </c>
      <c r="AV951" s="93">
        <f>IF('Net zero activities &amp; levers'!$C$12="Off",('Activity data'!BO8*EF!$H39*EF!$H57)*NtoN2O*kgtoGg,('Net zero Activity data'!BO8*EF!$H39*EF!$H57)*NtoN2O*kgtoGg)</f>
        <v>0.47599161993934092</v>
      </c>
      <c r="AW951" s="93">
        <f>IF('Net zero activities &amp; levers'!$C$12="Off",('Activity data'!BP8*EF!$H39*EF!$H57)*NtoN2O*kgtoGg,('Net zero Activity data'!BP8*EF!$H39*EF!$H57)*NtoN2O*kgtoGg)</f>
        <v>0.4740811431084902</v>
      </c>
      <c r="AY951" s="79"/>
      <c r="AZ951" s="79"/>
    </row>
    <row r="952" spans="1:52" x14ac:dyDescent="0.2">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0.80452586370517887</v>
      </c>
      <c r="L952" s="93">
        <f>IF('Net zero activities &amp; levers'!$C$12="Off",('Activity data'!AE9*EF!$H40*EF!$H58)*NtoN2O*kgtoGg,('Net zero Activity data'!AE9*EF!$H40*EF!$H58)*NtoN2O*kgtoGg)</f>
        <v>0.79754846782098077</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0.76887007218962333</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0.63765839888958464</v>
      </c>
      <c r="T952" s="93">
        <f>IF('Net zero activities &amp; levers'!$C$12="Off",('Activity data'!AM9*EF!$H40*EF!$H58)*NtoN2O*kgtoGg,('Net zero Activity data'!AM9*EF!$H40*EF!$H58)*NtoN2O*kgtoGg)</f>
        <v>0.64985552871330754</v>
      </c>
      <c r="U952" s="93">
        <f>IF('Net zero activities &amp; levers'!$C$12="Off",('Activity data'!AN9*EF!$H40*EF!$H58)*NtoN2O*kgtoGg,('Net zero Activity data'!AN9*EF!$H40*EF!$H58)*NtoN2O*kgtoGg)</f>
        <v>0.65637686779803062</v>
      </c>
      <c r="V952" s="93">
        <f>IF('Net zero activities &amp; levers'!$C$12="Off",('Activity data'!AO9*EF!$H40*EF!$H58)*NtoN2O*kgtoGg,('Net zero Activity data'!AO9*EF!$H40*EF!$H58)*NtoN2O*kgtoGg)</f>
        <v>0.66139693431616664</v>
      </c>
      <c r="W952" s="93">
        <f>IF('Net zero activities &amp; levers'!$C$12="Off",('Activity data'!AP9*EF!$H40*EF!$H58)*NtoN2O*kgtoGg,('Net zero Activity data'!AP9*EF!$H40*EF!$H58)*NtoN2O*kgtoGg)</f>
        <v>0.66866019069871818</v>
      </c>
      <c r="X952" s="93">
        <f>IF('Net zero activities &amp; levers'!$C$12="Off",('Activity data'!AQ9*EF!$H40*EF!$H58)*NtoN2O*kgtoGg,('Net zero Activity data'!AQ9*EF!$H40*EF!$H58)*NtoN2O*kgtoGg)</f>
        <v>0.67455471111659759</v>
      </c>
      <c r="Y952" s="93">
        <f>IF('Net zero activities &amp; levers'!$C$12="Off",('Activity data'!AR9*EF!$H40*EF!$H58)*NtoN2O*kgtoGg,('Net zero Activity data'!AR9*EF!$H40*EF!$H58)*NtoN2O*kgtoGg)</f>
        <v>0.67835464668302581</v>
      </c>
      <c r="Z952" s="93">
        <f>IF('Net zero activities &amp; levers'!$C$12="Off",('Activity data'!AS9*EF!$H40*EF!$H58)*NtoN2O*kgtoGg,('Net zero Activity data'!AS9*EF!$H40*EF!$H58)*NtoN2O*kgtoGg)</f>
        <v>0.68131261219334738</v>
      </c>
      <c r="AA952" s="93">
        <f>IF('Net zero activities &amp; levers'!$C$12="Off",('Activity data'!AT9*EF!$H40*EF!$H58)*NtoN2O*kgtoGg,('Net zero Activity data'!AT9*EF!$H40*EF!$H58)*NtoN2O*kgtoGg)</f>
        <v>0.68314590453806523</v>
      </c>
      <c r="AB952" s="93">
        <f>IF('Net zero activities &amp; levers'!$C$12="Off",('Activity data'!AU9*EF!$H40*EF!$H58)*NtoN2O*kgtoGg,('Net zero Activity data'!AU9*EF!$H40*EF!$H58)*NtoN2O*kgtoGg)</f>
        <v>0.68857317043317978</v>
      </c>
      <c r="AC952" s="93">
        <f>IF('Net zero activities &amp; levers'!$C$12="Off",('Activity data'!AV9*EF!$H40*EF!$H58)*NtoN2O*kgtoGg,('Net zero Activity data'!AV9*EF!$H40*EF!$H58)*NtoN2O*kgtoGg)</f>
        <v>0.69345639926499891</v>
      </c>
      <c r="AD952" s="93">
        <f>IF('Net zero activities &amp; levers'!$C$12="Off",('Activity data'!AW9*EF!$H40*EF!$H58)*NtoN2O*kgtoGg,('Net zero Activity data'!AW9*EF!$H40*EF!$H58)*NtoN2O*kgtoGg)</f>
        <v>0.69370825791186275</v>
      </c>
      <c r="AE952" s="93">
        <f>IF('Net zero activities &amp; levers'!$C$12="Off",('Activity data'!AX9*EF!$H40*EF!$H58)*NtoN2O*kgtoGg,('Net zero Activity data'!AX9*EF!$H40*EF!$H58)*NtoN2O*kgtoGg)</f>
        <v>0.69697957161989321</v>
      </c>
      <c r="AF952" s="93">
        <f>IF('Net zero activities &amp; levers'!$C$12="Off",('Activity data'!AY9*EF!$H40*EF!$H58)*NtoN2O*kgtoGg,('Net zero Activity data'!AY9*EF!$H40*EF!$H58)*NtoN2O*kgtoGg)</f>
        <v>0.70130545437746739</v>
      </c>
      <c r="AG952" s="93">
        <f>IF('Net zero activities &amp; levers'!$C$12="Off",('Activity data'!AZ9*EF!$H40*EF!$H58)*NtoN2O*kgtoGg,('Net zero Activity data'!AZ9*EF!$H40*EF!$H58)*NtoN2O*kgtoGg)</f>
        <v>0.70856817727678933</v>
      </c>
      <c r="AH952" s="93">
        <f>IF('Net zero activities &amp; levers'!$C$12="Off",('Activity data'!BA9*EF!$H40*EF!$H58)*NtoN2O*kgtoGg,('Net zero Activity data'!BA9*EF!$H40*EF!$H58)*NtoN2O*kgtoGg)</f>
        <v>0.70972815007166834</v>
      </c>
      <c r="AI952" s="93">
        <f>IF('Net zero activities &amp; levers'!$C$12="Off",('Activity data'!BB9*EF!$H40*EF!$H58)*NtoN2O*kgtoGg,('Net zero Activity data'!BB9*EF!$H40*EF!$H58)*NtoN2O*kgtoGg)</f>
        <v>0.70960638652128127</v>
      </c>
      <c r="AJ952" s="93">
        <f>IF('Net zero activities &amp; levers'!$C$12="Off",('Activity data'!BC9*EF!$H40*EF!$H58)*NtoN2O*kgtoGg,('Net zero Activity data'!BC9*EF!$H40*EF!$H58)*NtoN2O*kgtoGg)</f>
        <v>0.71067196478931216</v>
      </c>
      <c r="AK952" s="93">
        <f>IF('Net zero activities &amp; levers'!$C$12="Off",('Activity data'!BD9*EF!$H40*EF!$H58)*NtoN2O*kgtoGg,('Net zero Activity data'!BD9*EF!$H40*EF!$H58)*NtoN2O*kgtoGg)</f>
        <v>0.71047528886043954</v>
      </c>
      <c r="AL952" s="93">
        <f>IF('Net zero activities &amp; levers'!$C$12="Off",('Activity data'!BE9*EF!$H40*EF!$H58)*NtoN2O*kgtoGg,('Net zero Activity data'!BE9*EF!$H40*EF!$H58)*NtoN2O*kgtoGg)</f>
        <v>0.71062576991459914</v>
      </c>
      <c r="AM952" s="93">
        <f>IF('Net zero activities &amp; levers'!$C$12="Off",('Activity data'!BF9*EF!$H40*EF!$H58)*NtoN2O*kgtoGg,('Net zero Activity data'!BF9*EF!$H40*EF!$H58)*NtoN2O*kgtoGg)</f>
        <v>0.71028425694675268</v>
      </c>
      <c r="AN952" s="93">
        <f>IF('Net zero activities &amp; levers'!$C$12="Off",('Activity data'!BG9*EF!$H40*EF!$H58)*NtoN2O*kgtoGg,('Net zero Activity data'!BG9*EF!$H40*EF!$H58)*NtoN2O*kgtoGg)</f>
        <v>0.71538221187758488</v>
      </c>
      <c r="AO952" s="93">
        <f>IF('Net zero activities &amp; levers'!$C$12="Off",('Activity data'!BH9*EF!$H40*EF!$H58)*NtoN2O*kgtoGg,('Net zero Activity data'!BH9*EF!$H40*EF!$H58)*NtoN2O*kgtoGg)</f>
        <v>0.71911165532400878</v>
      </c>
      <c r="AP952" s="93">
        <f>IF('Net zero activities &amp; levers'!$C$12="Off",('Activity data'!BI9*EF!$H40*EF!$H58)*NtoN2O*kgtoGg,('Net zero Activity data'!BI9*EF!$H40*EF!$H58)*NtoN2O*kgtoGg)</f>
        <v>0.7226259193517196</v>
      </c>
      <c r="AQ952" s="93">
        <f>IF('Net zero activities &amp; levers'!$C$12="Off",('Activity data'!BJ9*EF!$H40*EF!$H58)*NtoN2O*kgtoGg,('Net zero Activity data'!BJ9*EF!$H40*EF!$H58)*NtoN2O*kgtoGg)</f>
        <v>0.72619388822876152</v>
      </c>
      <c r="AR952" s="93">
        <f>IF('Net zero activities &amp; levers'!$C$12="Off",('Activity data'!BK9*EF!$H40*EF!$H58)*NtoN2O*kgtoGg,('Net zero Activity data'!BK9*EF!$H40*EF!$H58)*NtoN2O*kgtoGg)</f>
        <v>0.72989293668793909</v>
      </c>
      <c r="AS952" s="93">
        <f>IF('Net zero activities &amp; levers'!$C$12="Off",('Activity data'!BL9*EF!$H40*EF!$H58)*NtoN2O*kgtoGg,('Net zero Activity data'!BL9*EF!$H40*EF!$H58)*NtoN2O*kgtoGg)</f>
        <v>0.73568977000726443</v>
      </c>
      <c r="AT952" s="93">
        <f>IF('Net zero activities &amp; levers'!$C$12="Off",('Activity data'!BM9*EF!$H40*EF!$H58)*NtoN2O*kgtoGg,('Net zero Activity data'!BM9*EF!$H40*EF!$H58)*NtoN2O*kgtoGg)</f>
        <v>0.73405703768463881</v>
      </c>
      <c r="AU952" s="93">
        <f>IF('Net zero activities &amp; levers'!$C$12="Off",('Activity data'!BN9*EF!$H40*EF!$H58)*NtoN2O*kgtoGg,('Net zero Activity data'!BN9*EF!$H40*EF!$H58)*NtoN2O*kgtoGg)</f>
        <v>0.73160906999785846</v>
      </c>
      <c r="AV952" s="93">
        <f>IF('Net zero activities &amp; levers'!$C$12="Off",('Activity data'!BO9*EF!$H40*EF!$H58)*NtoN2O*kgtoGg,('Net zero Activity data'!BO9*EF!$H40*EF!$H58)*NtoN2O*kgtoGg)</f>
        <v>0.72907363944108583</v>
      </c>
      <c r="AW952" s="93">
        <f>IF('Net zero activities &amp; levers'!$C$12="Off",('Activity data'!BP9*EF!$H40*EF!$H58)*NtoN2O*kgtoGg,('Net zero Activity data'!BP9*EF!$H40*EF!$H58)*NtoN2O*kgtoGg)</f>
        <v>0.72614737301582033</v>
      </c>
      <c r="AY952" s="79"/>
      <c r="AZ952" s="79"/>
    </row>
    <row r="953" spans="1:52" x14ac:dyDescent="0.2">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1.0122801448609147</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1.1032367943433716</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1.0731659766272925</v>
      </c>
      <c r="T953" s="93">
        <f>IF('Net zero activities &amp; levers'!$C$12="Off",('Activity data'!AM10*EF!$H41*EF!$H59)*NtoN2O*kgtoGg,('Net zero Activity data'!AM10*EF!$H41*EF!$H59)*NtoN2O*kgtoGg)</f>
        <v>1.1200435177813</v>
      </c>
      <c r="U953" s="93">
        <f>IF('Net zero activities &amp; levers'!$C$12="Off",('Activity data'!AN10*EF!$H41*EF!$H59)*NtoN2O*kgtoGg,('Net zero Activity data'!AN10*EF!$H41*EF!$H59)*NtoN2O*kgtoGg)</f>
        <v>1.1581646088835691</v>
      </c>
      <c r="V953" s="93">
        <f>IF('Net zero activities &amp; levers'!$C$12="Off",('Activity data'!AO10*EF!$H41*EF!$H59)*NtoN2O*kgtoGg,('Net zero Activity data'!AO10*EF!$H41*EF!$H59)*NtoN2O*kgtoGg)</f>
        <v>1.1944005912440496</v>
      </c>
      <c r="W953" s="93">
        <f>IF('Net zero activities &amp; levers'!$C$12="Off",('Activity data'!AP10*EF!$H41*EF!$H59)*NtoN2O*kgtoGg,('Net zero Activity data'!AP10*EF!$H41*EF!$H59)*NtoN2O*kgtoGg)</f>
        <v>1.2355118571945767</v>
      </c>
      <c r="X953" s="93">
        <f>IF('Net zero activities &amp; levers'!$C$12="Off",('Activity data'!AQ10*EF!$H41*EF!$H59)*NtoN2O*kgtoGg,('Net zero Activity data'!AQ10*EF!$H41*EF!$H59)*NtoN2O*kgtoGg)</f>
        <v>1.2749845608108272</v>
      </c>
      <c r="Y953" s="93">
        <f>IF('Net zero activities &amp; levers'!$C$12="Off",('Activity data'!AR10*EF!$H41*EF!$H59)*NtoN2O*kgtoGg,('Net zero Activity data'!AR10*EF!$H41*EF!$H59)*NtoN2O*kgtoGg)</f>
        <v>1.3112710404440306</v>
      </c>
      <c r="Z953" s="93">
        <f>IF('Net zero activities &amp; levers'!$C$12="Off",('Activity data'!AS10*EF!$H41*EF!$H59)*NtoN2O*kgtoGg,('Net zero Activity data'!AS10*EF!$H41*EF!$H59)*NtoN2O*kgtoGg)</f>
        <v>1.3466036234744594</v>
      </c>
      <c r="AA953" s="93">
        <f>IF('Net zero activities &amp; levers'!$C$12="Off",('Activity data'!AT10*EF!$H41*EF!$H59)*NtoN2O*kgtoGg,('Net zero Activity data'!AT10*EF!$H41*EF!$H59)*NtoN2O*kgtoGg)</f>
        <v>1.3803261318564077</v>
      </c>
      <c r="AB953" s="93">
        <f>IF('Net zero activities &amp; levers'!$C$12="Off",('Activity data'!AU10*EF!$H41*EF!$H59)*NtoN2O*kgtoGg,('Net zero Activity data'!AU10*EF!$H41*EF!$H59)*NtoN2O*kgtoGg)</f>
        <v>1.4220578435636848</v>
      </c>
      <c r="AC953" s="93">
        <f>IF('Net zero activities &amp; levers'!$C$12="Off",('Activity data'!AV10*EF!$H41*EF!$H59)*NtoN2O*kgtoGg,('Net zero Activity data'!AV10*EF!$H41*EF!$H59)*NtoN2O*kgtoGg)</f>
        <v>1.4635769863229917</v>
      </c>
      <c r="AD953" s="93">
        <f>IF('Net zero activities &amp; levers'!$C$12="Off",('Activity data'!AW10*EF!$H41*EF!$H59)*NtoN2O*kgtoGg,('Net zero Activity data'!AW10*EF!$H41*EF!$H59)*NtoN2O*kgtoGg)</f>
        <v>1.5126623536535566</v>
      </c>
      <c r="AE953" s="93">
        <f>IF('Net zero activities &amp; levers'!$C$12="Off",('Activity data'!AX10*EF!$H41*EF!$H59)*NtoN2O*kgtoGg,('Net zero Activity data'!AX10*EF!$H41*EF!$H59)*NtoN2O*kgtoGg)</f>
        <v>1.5702927620533913</v>
      </c>
      <c r="AF953" s="93">
        <f>IF('Net zero activities &amp; levers'!$C$12="Off",('Activity data'!AY10*EF!$H41*EF!$H59)*NtoN2O*kgtoGg,('Net zero Activity data'!AY10*EF!$H41*EF!$H59)*NtoN2O*kgtoGg)</f>
        <v>1.6326718662100064</v>
      </c>
      <c r="AG953" s="93">
        <f>IF('Net zero activities &amp; levers'!$C$12="Off",('Activity data'!AZ10*EF!$H41*EF!$H59)*NtoN2O*kgtoGg,('Net zero Activity data'!AZ10*EF!$H41*EF!$H59)*NtoN2O*kgtoGg)</f>
        <v>1.7047038536562504</v>
      </c>
      <c r="AH953" s="93">
        <f>IF('Net zero activities &amp; levers'!$C$12="Off",('Activity data'!BA10*EF!$H41*EF!$H59)*NtoN2O*kgtoGg,('Net zero Activity data'!BA10*EF!$H41*EF!$H59)*NtoN2O*kgtoGg)</f>
        <v>1.7647703233064436</v>
      </c>
      <c r="AI953" s="93">
        <f>IF('Net zero activities &amp; levers'!$C$12="Off",('Activity data'!BB10*EF!$H41*EF!$H59)*NtoN2O*kgtoGg,('Net zero Activity data'!BB10*EF!$H41*EF!$H59)*NtoN2O*kgtoGg)</f>
        <v>1.823914760279997</v>
      </c>
      <c r="AJ953" s="93">
        <f>IF('Net zero activities &amp; levers'!$C$12="Off",('Activity data'!BC10*EF!$H41*EF!$H59)*NtoN2O*kgtoGg,('Net zero Activity data'!BC10*EF!$H41*EF!$H59)*NtoN2O*kgtoGg)</f>
        <v>1.8885037105241573</v>
      </c>
      <c r="AK953" s="93">
        <f>IF('Net zero activities &amp; levers'!$C$12="Off",('Activity data'!BD10*EF!$H41*EF!$H59)*NtoN2O*kgtoGg,('Net zero Activity data'!BD10*EF!$H41*EF!$H59)*NtoN2O*kgtoGg)</f>
        <v>1.9522655918668117</v>
      </c>
      <c r="AL953" s="93">
        <f>IF('Net zero activities &amp; levers'!$C$12="Off",('Activity data'!BE10*EF!$H41*EF!$H59)*NtoN2O*kgtoGg,('Net zero Activity data'!BE10*EF!$H41*EF!$H59)*NtoN2O*kgtoGg)</f>
        <v>2.0195785012565346</v>
      </c>
      <c r="AM953" s="93">
        <f>IF('Net zero activities &amp; levers'!$C$12="Off",('Activity data'!BF10*EF!$H41*EF!$H59)*NtoN2O*kgtoGg,('Net zero Activity data'!BF10*EF!$H41*EF!$H59)*NtoN2O*kgtoGg)</f>
        <v>2.0882359976906724</v>
      </c>
      <c r="AN953" s="93">
        <f>IF('Net zero activities &amp; levers'!$C$12="Off",('Activity data'!BG10*EF!$H41*EF!$H59)*NtoN2O*kgtoGg,('Net zero Activity data'!BG10*EF!$H41*EF!$H59)*NtoN2O*kgtoGg)</f>
        <v>2.1625669468600144</v>
      </c>
      <c r="AO953" s="93">
        <f>IF('Net zero activities &amp; levers'!$C$12="Off",('Activity data'!BH10*EF!$H41*EF!$H59)*NtoN2O*kgtoGg,('Net zero Activity data'!BH10*EF!$H41*EF!$H59)*NtoN2O*kgtoGg)</f>
        <v>2.2353883436386872</v>
      </c>
      <c r="AP953" s="93">
        <f>IF('Net zero activities &amp; levers'!$C$12="Off",('Activity data'!BI10*EF!$H41*EF!$H59)*NtoN2O*kgtoGg,('Net zero Activity data'!BI10*EF!$H41*EF!$H59)*NtoN2O*kgtoGg)</f>
        <v>2.310159637098629</v>
      </c>
      <c r="AQ953" s="93">
        <f>IF('Net zero activities &amp; levers'!$C$12="Off",('Activity data'!BJ10*EF!$H41*EF!$H59)*NtoN2O*kgtoGg,('Net zero Activity data'!BJ10*EF!$H41*EF!$H59)*NtoN2O*kgtoGg)</f>
        <v>2.387837748545981</v>
      </c>
      <c r="AR953" s="93">
        <f>IF('Net zero activities &amp; levers'!$C$12="Off",('Activity data'!BK10*EF!$H41*EF!$H59)*NtoN2O*kgtoGg,('Net zero Activity data'!BK10*EF!$H41*EF!$H59)*NtoN2O*kgtoGg)</f>
        <v>2.4688377318111754</v>
      </c>
      <c r="AS953" s="93">
        <f>IF('Net zero activities &amp; levers'!$C$12="Off",('Activity data'!BL10*EF!$H41*EF!$H59)*NtoN2O*kgtoGg,('Net zero Activity data'!BL10*EF!$H41*EF!$H59)*NtoN2O*kgtoGg)</f>
        <v>2.5601896833945608</v>
      </c>
      <c r="AT953" s="93">
        <f>IF('Net zero activities &amp; levers'!$C$12="Off",('Activity data'!BM10*EF!$H41*EF!$H59)*NtoN2O*kgtoGg,('Net zero Activity data'!BM10*EF!$H41*EF!$H59)*NtoN2O*kgtoGg)</f>
        <v>2.6285710200523447</v>
      </c>
      <c r="AU953" s="93">
        <f>IF('Net zero activities &amp; levers'!$C$12="Off",('Activity data'!BN10*EF!$H41*EF!$H59)*NtoN2O*kgtoGg,('Net zero Activity data'!BN10*EF!$H41*EF!$H59)*NtoN2O*kgtoGg)</f>
        <v>2.6962215322627681</v>
      </c>
      <c r="AV953" s="93">
        <f>IF('Net zero activities &amp; levers'!$C$12="Off",('Activity data'!BO10*EF!$H41*EF!$H59)*NtoN2O*kgtoGg,('Net zero Activity data'!BO10*EF!$H41*EF!$H59)*NtoN2O*kgtoGg)</f>
        <v>2.7657590792696469</v>
      </c>
      <c r="AW953" s="93">
        <f>IF('Net zero activities &amp; levers'!$C$12="Off",('Activity data'!BP10*EF!$H41*EF!$H59)*NtoN2O*kgtoGg,('Net zero Activity data'!BP10*EF!$H41*EF!$H59)*NtoN2O*kgtoGg)</f>
        <v>2.8360897430204677</v>
      </c>
      <c r="AY953" s="79"/>
      <c r="AZ953" s="79"/>
    </row>
    <row r="954" spans="1:52" x14ac:dyDescent="0.2">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0.1195503235691774</v>
      </c>
      <c r="T954" s="93">
        <f>IF('Net zero activities &amp; levers'!$C$12="Off",('Activity data'!AM11*EF!$H42*EF!$H60)*NtoN2O*kgtoGg,IF('Net zero activities &amp; levers'!$C$12="PB",('Activity data'!AM11*EF!$H42*EF!$H60)*NtoN2O*kgtoGg,IF('Net zero activities &amp; levers'!$C$12="MS",('Net zero Activity data'!AM11*EF!$H42*EF!$H60)*NtoN2O*kgtoGg,"ERROR")))</f>
        <v>0.11973238900774033</v>
      </c>
      <c r="U954" s="93">
        <f>IF('Net zero activities &amp; levers'!$C$12="Off",('Activity data'!AN11*EF!$H42*EF!$H60)*NtoN2O*kgtoGg,IF('Net zero activities &amp; levers'!$C$12="PB",('Activity data'!AN11*EF!$H42*EF!$H60)*NtoN2O*kgtoGg,IF('Net zero activities &amp; levers'!$C$12="MS",('Net zero Activity data'!AN11*EF!$H42*EF!$H60)*NtoN2O*kgtoGg,"ERROR")))</f>
        <v>0.11993816652481025</v>
      </c>
      <c r="V954" s="93">
        <f>IF('Net zero activities &amp; levers'!$C$12="Off",('Activity data'!AO11*EF!$H42*EF!$H60)*NtoN2O*kgtoGg,IF('Net zero activities &amp; levers'!$C$12="PB",('Activity data'!AO11*EF!$H42*EF!$H60)*NtoN2O*kgtoGg,IF('Net zero activities &amp; levers'!$C$12="MS",('Net zero Activity data'!AO11*EF!$H42*EF!$H60)*NtoN2O*kgtoGg,"ERROR")))</f>
        <v>0.12017030175701968</v>
      </c>
      <c r="W954" s="93">
        <f>IF('Net zero activities &amp; levers'!$C$12="Off",('Activity data'!AP11*EF!$H42*EF!$H60)*NtoN2O*kgtoGg,IF('Net zero activities &amp; levers'!$C$12="PB",('Activity data'!AP11*EF!$H42*EF!$H60)*NtoN2O*kgtoGg,IF('Net zero activities &amp; levers'!$C$12="MS",('Net zero Activity data'!AP11*EF!$H42*EF!$H60)*NtoN2O*kgtoGg,"ERROR")))</f>
        <v>0.12043143682964785</v>
      </c>
      <c r="X954" s="93">
        <f>IF('Net zero activities &amp; levers'!$C$12="Off",('Activity data'!AQ11*EF!$H42*EF!$H60)*NtoN2O*kgtoGg,IF('Net zero activities &amp; levers'!$C$12="PB",('Activity data'!AQ11*EF!$H42*EF!$H60)*NtoN2O*kgtoGg,IF('Net zero activities &amp; levers'!$C$12="MS",('Net zero Activity data'!AQ11*EF!$H42*EF!$H60)*NtoN2O*kgtoGg,"ERROR")))</f>
        <v>0.12071612652319091</v>
      </c>
      <c r="Y954" s="93">
        <f>IF('Net zero activities &amp; levers'!$C$12="Off",('Activity data'!AR11*EF!$H42*EF!$H60)*NtoN2O*kgtoGg,IF('Net zero activities &amp; levers'!$C$12="PB",('Activity data'!AR11*EF!$H42*EF!$H60)*NtoN2O*kgtoGg,IF('Net zero activities &amp; levers'!$C$12="MS",('Net zero Activity data'!AR11*EF!$H42*EF!$H60)*NtoN2O*kgtoGg,"ERROR")))</f>
        <v>0.12088927246048492</v>
      </c>
      <c r="Z954" s="93">
        <f>IF('Net zero activities &amp; levers'!$C$12="Off",('Activity data'!AS11*EF!$H42*EF!$H60)*NtoN2O*kgtoGg,IF('Net zero activities &amp; levers'!$C$12="PB",('Activity data'!AS11*EF!$H42*EF!$H60)*NtoN2O*kgtoGg,IF('Net zero activities &amp; levers'!$C$12="MS",('Net zero Activity data'!AS11*EF!$H42*EF!$H60)*NtoN2O*kgtoGg,"ERROR")))</f>
        <v>0.12108266651499933</v>
      </c>
      <c r="AA954" s="93">
        <f>IF('Net zero activities &amp; levers'!$C$12="Off",('Activity data'!AT11*EF!$H42*EF!$H60)*NtoN2O*kgtoGg,IF('Net zero activities &amp; levers'!$C$12="PB",('Activity data'!AT11*EF!$H42*EF!$H60)*NtoN2O*kgtoGg,IF('Net zero activities &amp; levers'!$C$12="MS",('Net zero Activity data'!AT11*EF!$H42*EF!$H60)*NtoN2O*kgtoGg,"ERROR")))</f>
        <v>0.12129489002398719</v>
      </c>
      <c r="AB954" s="93">
        <f>IF('Net zero activities &amp; levers'!$C$12="Off",('Activity data'!AU11*EF!$H42*EF!$H60)*NtoN2O*kgtoGg,IF('Net zero activities &amp; levers'!$C$12="PB",('Activity data'!AU11*EF!$H42*EF!$H60)*NtoN2O*kgtoGg,IF('Net zero activities &amp; levers'!$C$12="MS",('Net zero Activity data'!AU11*EF!$H42*EF!$H60)*NtoN2O*kgtoGg,"ERROR")))</f>
        <v>0.12153074787723062</v>
      </c>
      <c r="AC954" s="93">
        <f>IF('Net zero activities &amp; levers'!$C$12="Off",('Activity data'!AV11*EF!$H42*EF!$H60)*NtoN2O*kgtoGg,IF('Net zero activities &amp; levers'!$C$12="PB",('Activity data'!AV11*EF!$H42*EF!$H60)*NtoN2O*kgtoGg,IF('Net zero activities &amp; levers'!$C$12="MS",('Net zero Activity data'!AV11*EF!$H42*EF!$H60)*NtoN2O*kgtoGg,"ERROR")))</f>
        <v>0.12178444503760315</v>
      </c>
      <c r="AD954" s="93">
        <f>IF('Net zero activities &amp; levers'!$C$12="Off",('Activity data'!AW11*EF!$H42*EF!$H60)*NtoN2O*kgtoGg,IF('Net zero activities &amp; levers'!$C$12="PB",('Activity data'!AW11*EF!$H42*EF!$H60)*NtoN2O*kgtoGg,IF('Net zero activities &amp; levers'!$C$12="MS",('Net zero Activity data'!AW11*EF!$H42*EF!$H60)*NtoN2O*kgtoGg,"ERROR")))</f>
        <v>0.12195021859922818</v>
      </c>
      <c r="AE954" s="93">
        <f>IF('Net zero activities &amp; levers'!$C$12="Off",('Activity data'!AX11*EF!$H42*EF!$H60)*NtoN2O*kgtoGg,IF('Net zero activities &amp; levers'!$C$12="PB",('Activity data'!AX11*EF!$H42*EF!$H60)*NtoN2O*kgtoGg,IF('Net zero activities &amp; levers'!$C$12="MS",('Net zero Activity data'!AX11*EF!$H42*EF!$H60)*NtoN2O*kgtoGg,"ERROR")))</f>
        <v>0.12213630016303641</v>
      </c>
      <c r="AF954" s="93">
        <f>IF('Net zero activities &amp; levers'!$C$12="Off",('Activity data'!AY11*EF!$H42*EF!$H60)*NtoN2O*kgtoGg,IF('Net zero activities &amp; levers'!$C$12="PB",('Activity data'!AY11*EF!$H42*EF!$H60)*NtoN2O*kgtoGg,IF('Net zero activities &amp; levers'!$C$12="MS",('Net zero Activity data'!AY11*EF!$H42*EF!$H60)*NtoN2O*kgtoGg,"ERROR")))</f>
        <v>0.12233971704233786</v>
      </c>
      <c r="AG954" s="93">
        <f>IF('Net zero activities &amp; levers'!$C$12="Off",('Activity data'!AZ11*EF!$H42*EF!$H60)*NtoN2O*kgtoGg,IF('Net zero activities &amp; levers'!$C$12="PB",('Activity data'!AZ11*EF!$H42*EF!$H60)*NtoN2O*kgtoGg,IF('Net zero activities &amp; levers'!$C$12="MS",('Net zero Activity data'!AZ11*EF!$H42*EF!$H60)*NtoN2O*kgtoGg,"ERROR")))</f>
        <v>0.12256258176640643</v>
      </c>
      <c r="AH954" s="93">
        <f>IF('Net zero activities &amp; levers'!$C$12="Off",('Activity data'!BA11*EF!$H42*EF!$H60)*NtoN2O*kgtoGg,IF('Net zero activities &amp; levers'!$C$12="PB",('Activity data'!BA11*EF!$H42*EF!$H60)*NtoN2O*kgtoGg,IF('Net zero activities &amp; levers'!$C$12="MS",('Net zero Activity data'!BA11*EF!$H42*EF!$H60)*NtoN2O*kgtoGg,"ERROR")))</f>
        <v>0.12279204268449652</v>
      </c>
      <c r="AI954" s="93">
        <f>IF('Net zero activities &amp; levers'!$C$12="Off",('Activity data'!BB11*EF!$H42*EF!$H60)*NtoN2O*kgtoGg,IF('Net zero activities &amp; levers'!$C$12="PB",('Activity data'!BB11*EF!$H42*EF!$H60)*NtoN2O*kgtoGg,IF('Net zero activities &amp; levers'!$C$12="MS",('Net zero Activity data'!BB11*EF!$H42*EF!$H60)*NtoN2O*kgtoGg,"ERROR")))</f>
        <v>0.12293267358180958</v>
      </c>
      <c r="AJ954" s="93">
        <f>IF('Net zero activities &amp; levers'!$C$12="Off",('Activity data'!BC11*EF!$H42*EF!$H60)*NtoN2O*kgtoGg,IF('Net zero activities &amp; levers'!$C$12="PB",('Activity data'!BC11*EF!$H42*EF!$H60)*NtoN2O*kgtoGg,IF('Net zero activities &amp; levers'!$C$12="MS",('Net zero Activity data'!BC11*EF!$H42*EF!$H60)*NtoN2O*kgtoGg,"ERROR")))</f>
        <v>0.1230880284078129</v>
      </c>
      <c r="AK954" s="93">
        <f>IF('Net zero activities &amp; levers'!$C$12="Off",('Activity data'!BD11*EF!$H42*EF!$H60)*NtoN2O*kgtoGg,IF('Net zero activities &amp; levers'!$C$12="PB",('Activity data'!BD11*EF!$H42*EF!$H60)*NtoN2O*kgtoGg,IF('Net zero activities &amp; levers'!$C$12="MS",('Net zero Activity data'!BD11*EF!$H42*EF!$H60)*NtoN2O*kgtoGg,"ERROR")))</f>
        <v>0.12325414703713089</v>
      </c>
      <c r="AL954" s="93">
        <f>IF('Net zero activities &amp; levers'!$C$12="Off",('Activity data'!BE11*EF!$H42*EF!$H60)*NtoN2O*kgtoGg,IF('Net zero activities &amp; levers'!$C$12="PB",('Activity data'!BE11*EF!$H42*EF!$H60)*NtoN2O*kgtoGg,IF('Net zero activities &amp; levers'!$C$12="MS",('Net zero Activity data'!BE11*EF!$H42*EF!$H60)*NtoN2O*kgtoGg,"ERROR")))</f>
        <v>0.12343300581478904</v>
      </c>
      <c r="AM954" s="93">
        <f>IF('Net zero activities &amp; levers'!$C$12="Off",('Activity data'!BF11*EF!$H42*EF!$H60)*NtoN2O*kgtoGg,IF('Net zero activities &amp; levers'!$C$12="PB",('Activity data'!BF11*EF!$H42*EF!$H60)*NtoN2O*kgtoGg,IF('Net zero activities &amp; levers'!$C$12="MS",('Net zero Activity data'!BF11*EF!$H42*EF!$H60)*NtoN2O*kgtoGg,"ERROR")))</f>
        <v>0.12362298848343736</v>
      </c>
      <c r="AN954" s="93">
        <f>IF('Net zero activities &amp; levers'!$C$12="Off",('Activity data'!BG11*EF!$H42*EF!$H60)*NtoN2O*kgtoGg,IF('Net zero activities &amp; levers'!$C$12="PB",('Activity data'!BG11*EF!$H42*EF!$H60)*NtoN2O*kgtoGg,IF('Net zero activities &amp; levers'!$C$12="MS",('Net zero Activity data'!BG11*EF!$H42*EF!$H60)*NtoN2O*kgtoGg,"ERROR")))</f>
        <v>0.12373316293630814</v>
      </c>
      <c r="AO954" s="93">
        <f>IF('Net zero activities &amp; levers'!$C$12="Off",('Activity data'!BH11*EF!$H42*EF!$H60)*NtoN2O*kgtoGg,IF('Net zero activities &amp; levers'!$C$12="PB",('Activity data'!BH11*EF!$H42*EF!$H60)*NtoN2O*kgtoGg,IF('Net zero activities &amp; levers'!$C$12="MS",('Net zero Activity data'!BH11*EF!$H42*EF!$H60)*NtoN2O*kgtoGg,"ERROR")))</f>
        <v>0.12385166980530417</v>
      </c>
      <c r="AP954" s="93">
        <f>IF('Net zero activities &amp; levers'!$C$12="Off",('Activity data'!BI11*EF!$H42*EF!$H60)*NtoN2O*kgtoGg,IF('Net zero activities &amp; levers'!$C$12="PB",('Activity data'!BI11*EF!$H42*EF!$H60)*NtoN2O*kgtoGg,IF('Net zero activities &amp; levers'!$C$12="MS",('Net zero Activity data'!BI11*EF!$H42*EF!$H60)*NtoN2O*kgtoGg,"ERROR")))</f>
        <v>0.12398002361906417</v>
      </c>
      <c r="AQ954" s="93">
        <f>IF('Net zero activities &amp; levers'!$C$12="Off",('Activity data'!BJ11*EF!$H42*EF!$H60)*NtoN2O*kgtoGg,IF('Net zero activities &amp; levers'!$C$12="PB",('Activity data'!BJ11*EF!$H42*EF!$H60)*NtoN2O*kgtoGg,IF('Net zero activities &amp; levers'!$C$12="MS",('Net zero Activity data'!BJ11*EF!$H42*EF!$H60)*NtoN2O*kgtoGg,"ERROR")))</f>
        <v>0.12411840156820916</v>
      </c>
      <c r="AR954" s="93">
        <f>IF('Net zero activities &amp; levers'!$C$12="Off",('Activity data'!BK11*EF!$H42*EF!$H60)*NtoN2O*kgtoGg,IF('Net zero activities &amp; levers'!$C$12="PB",('Activity data'!BK11*EF!$H42*EF!$H60)*NtoN2O*kgtoGg,IF('Net zero activities &amp; levers'!$C$12="MS",('Net zero Activity data'!BK11*EF!$H42*EF!$H60)*NtoN2O*kgtoGg,"ERROR")))</f>
        <v>0.12426670691930036</v>
      </c>
      <c r="AS954" s="93">
        <f>IF('Net zero activities &amp; levers'!$C$12="Off",('Activity data'!BL11*EF!$H42*EF!$H60)*NtoN2O*kgtoGg,IF('Net zero activities &amp; levers'!$C$12="PB",('Activity data'!BL11*EF!$H42*EF!$H60)*NtoN2O*kgtoGg,IF('Net zero activities &amp; levers'!$C$12="MS",('Net zero Activity data'!BL11*EF!$H42*EF!$H60)*NtoN2O*kgtoGg,"ERROR")))</f>
        <v>0.12433302167931155</v>
      </c>
      <c r="AT954" s="93">
        <f>IF('Net zero activities &amp; levers'!$C$12="Off",('Activity data'!BM11*EF!$H42*EF!$H60)*NtoN2O*kgtoGg,IF('Net zero activities &amp; levers'!$C$12="PB",('Activity data'!BM11*EF!$H42*EF!$H60)*NtoN2O*kgtoGg,IF('Net zero activities &amp; levers'!$C$12="MS",('Net zero Activity data'!BM11*EF!$H42*EF!$H60)*NtoN2O*kgtoGg,"ERROR")))</f>
        <v>0.12439474489368146</v>
      </c>
      <c r="AU954" s="93">
        <f>IF('Net zero activities &amp; levers'!$C$12="Off",('Activity data'!BN11*EF!$H42*EF!$H60)*NtoN2O*kgtoGg,IF('Net zero activities &amp; levers'!$C$12="PB",('Activity data'!BN11*EF!$H42*EF!$H60)*NtoN2O*kgtoGg,IF('Net zero activities &amp; levers'!$C$12="MS",('Net zero Activity data'!BN11*EF!$H42*EF!$H60)*NtoN2O*kgtoGg,"ERROR")))</f>
        <v>0.1244631713501356</v>
      </c>
      <c r="AV954" s="93">
        <f>IF('Net zero activities &amp; levers'!$C$12="Off",('Activity data'!BO11*EF!$H42*EF!$H60)*NtoN2O*kgtoGg,IF('Net zero activities &amp; levers'!$C$12="PB",('Activity data'!BO11*EF!$H42*EF!$H60)*NtoN2O*kgtoGg,IF('Net zero activities &amp; levers'!$C$12="MS",('Net zero Activity data'!BO11*EF!$H42*EF!$H60)*NtoN2O*kgtoGg,"ERROR")))</f>
        <v>0.12453939785824997</v>
      </c>
      <c r="AW954" s="93">
        <f>IF('Net zero activities &amp; levers'!$C$12="Off",('Activity data'!BP11*EF!$H42*EF!$H60)*NtoN2O*kgtoGg,IF('Net zero activities &amp; levers'!$C$12="PB",('Activity data'!BP11*EF!$H42*EF!$H60)*NtoN2O*kgtoGg,IF('Net zero activities &amp; levers'!$C$12="MS",('Net zero Activity data'!BP11*EF!$H42*EF!$H60)*NtoN2O*kgtoGg,"ERROR")))</f>
        <v>0.12462263971956801</v>
      </c>
      <c r="AY954" s="79"/>
      <c r="AZ954" s="79"/>
    </row>
    <row r="955" spans="1:52" x14ac:dyDescent="0.2">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6.3928512589691663E-2</v>
      </c>
      <c r="T955" s="93">
        <f>IF('Net zero activities &amp; levers'!$C$12="Off",('Activity data'!AM12*EF!$H43*EF!$H61)*NtoN2O*kgtoGg,IF('Net zero activities &amp; levers'!$C$12="PB",('Activity data'!AM12*EF!$H43*EF!$H61)*NtoN2O*kgtoGg,IF('Net zero activities &amp; levers'!$C$12="MS",('Net zero Activity data'!AM12*EF!$H43*EF!$H61)*NtoN2O*kgtoGg,"ERROR")))</f>
        <v>6.4025870525110232E-2</v>
      </c>
      <c r="U955" s="93">
        <f>IF('Net zero activities &amp; levers'!$C$12="Off",('Activity data'!AN12*EF!$H43*EF!$H61)*NtoN2O*kgtoGg,IF('Net zero activities &amp; levers'!$C$12="PB",('Activity data'!AN12*EF!$H43*EF!$H61)*NtoN2O*kgtoGg,IF('Net zero activities &amp; levers'!$C$12="MS",('Net zero Activity data'!AN12*EF!$H43*EF!$H61)*NtoN2O*kgtoGg,"ERROR")))</f>
        <v>6.4135908291616708E-2</v>
      </c>
      <c r="V955" s="93">
        <f>IF('Net zero activities &amp; levers'!$C$12="Off",('Activity data'!AO12*EF!$H43*EF!$H61)*NtoN2O*kgtoGg,IF('Net zero activities &amp; levers'!$C$12="PB",('Activity data'!AO12*EF!$H43*EF!$H61)*NtoN2O*kgtoGg,IF('Net zero activities &amp; levers'!$C$12="MS",('Net zero Activity data'!AO12*EF!$H43*EF!$H61)*NtoN2O*kgtoGg,"ERROR")))</f>
        <v>6.4260040620762821E-2</v>
      </c>
      <c r="W955" s="93">
        <f>IF('Net zero activities &amp; levers'!$C$12="Off",('Activity data'!AP12*EF!$H43*EF!$H61)*NtoN2O*kgtoGg,IF('Net zero activities &amp; levers'!$C$12="PB",('Activity data'!AP12*EF!$H43*EF!$H61)*NtoN2O*kgtoGg,IF('Net zero activities &amp; levers'!$C$12="MS",('Net zero Activity data'!AP12*EF!$H43*EF!$H61)*NtoN2O*kgtoGg,"ERROR")))</f>
        <v>6.4399680366434092E-2</v>
      </c>
      <c r="X955" s="93">
        <f>IF('Net zero activities &amp; levers'!$C$12="Off",('Activity data'!AQ12*EF!$H43*EF!$H61)*NtoN2O*kgtoGg,IF('Net zero activities &amp; levers'!$C$12="PB",('Activity data'!AQ12*EF!$H43*EF!$H61)*NtoN2O*kgtoGg,IF('Net zero activities &amp; levers'!$C$12="MS",('Net zero Activity data'!AQ12*EF!$H43*EF!$H61)*NtoN2O*kgtoGg,"ERROR")))</f>
        <v>6.4551915744093219E-2</v>
      </c>
      <c r="Y955" s="93">
        <f>IF('Net zero activities &amp; levers'!$C$12="Off",('Activity data'!AR12*EF!$H43*EF!$H61)*NtoN2O*kgtoGg,IF('Net zero activities &amp; levers'!$C$12="PB",('Activity data'!AR12*EF!$H43*EF!$H61)*NtoN2O*kgtoGg,IF('Net zero activities &amp; levers'!$C$12="MS",('Net zero Activity data'!AR12*EF!$H43*EF!$H61)*NtoN2O*kgtoGg,"ERROR")))</f>
        <v>6.4644504052528431E-2</v>
      </c>
      <c r="Z955" s="93">
        <f>IF('Net zero activities &amp; levers'!$C$12="Off",('Activity data'!AS12*EF!$H43*EF!$H61)*NtoN2O*kgtoGg,IF('Net zero activities &amp; levers'!$C$12="PB",('Activity data'!AS12*EF!$H43*EF!$H61)*NtoN2O*kgtoGg,IF('Net zero activities &amp; levers'!$C$12="MS",('Net zero Activity data'!AS12*EF!$H43*EF!$H61)*NtoN2O*kgtoGg,"ERROR")))</f>
        <v>6.4747919868393122E-2</v>
      </c>
      <c r="AA955" s="93">
        <f>IF('Net zero activities &amp; levers'!$C$12="Off",('Activity data'!AT12*EF!$H43*EF!$H61)*NtoN2O*kgtoGg,IF('Net zero activities &amp; levers'!$C$12="PB",('Activity data'!AT12*EF!$H43*EF!$H61)*NtoN2O*kgtoGg,IF('Net zero activities &amp; levers'!$C$12="MS",('Net zero Activity data'!AT12*EF!$H43*EF!$H61)*NtoN2O*kgtoGg,"ERROR")))</f>
        <v>6.4861404573922254E-2</v>
      </c>
      <c r="AB955" s="93">
        <f>IF('Net zero activities &amp; levers'!$C$12="Off",('Activity data'!AU12*EF!$H43*EF!$H61)*NtoN2O*kgtoGg,IF('Net zero activities &amp; levers'!$C$12="PB",('Activity data'!AU12*EF!$H43*EF!$H61)*NtoN2O*kgtoGg,IF('Net zero activities &amp; levers'!$C$12="MS",('Net zero Activity data'!AU12*EF!$H43*EF!$H61)*NtoN2O*kgtoGg,"ERROR")))</f>
        <v>6.4987527542813464E-2</v>
      </c>
      <c r="AC955" s="93">
        <f>IF('Net zero activities &amp; levers'!$C$12="Off",('Activity data'!AV12*EF!$H43*EF!$H61)*NtoN2O*kgtoGg,IF('Net zero activities &amp; levers'!$C$12="PB",('Activity data'!AV12*EF!$H43*EF!$H61)*NtoN2O*kgtoGg,IF('Net zero activities &amp; levers'!$C$12="MS",('Net zero Activity data'!AV12*EF!$H43*EF!$H61)*NtoN2O*kgtoGg,"ERROR")))</f>
        <v>6.5123189928548972E-2</v>
      </c>
      <c r="AD955" s="93">
        <f>IF('Net zero activities &amp; levers'!$C$12="Off",('Activity data'!AW12*EF!$H43*EF!$H61)*NtoN2O*kgtoGg,IF('Net zero activities &amp; levers'!$C$12="PB",('Activity data'!AW12*EF!$H43*EF!$H61)*NtoN2O*kgtoGg,IF('Net zero activities &amp; levers'!$C$12="MS",('Net zero Activity data'!AW12*EF!$H43*EF!$H61)*NtoN2O*kgtoGg,"ERROR")))</f>
        <v>6.5211835922177344E-2</v>
      </c>
      <c r="AE955" s="93">
        <f>IF('Net zero activities &amp; levers'!$C$12="Off",('Activity data'!AX12*EF!$H43*EF!$H61)*NtoN2O*kgtoGg,IF('Net zero activities &amp; levers'!$C$12="PB",('Activity data'!AX12*EF!$H43*EF!$H61)*NtoN2O*kgtoGg,IF('Net zero activities &amp; levers'!$C$12="MS",('Net zero Activity data'!AX12*EF!$H43*EF!$H61)*NtoN2O*kgtoGg,"ERROR")))</f>
        <v>6.5311341446206636E-2</v>
      </c>
      <c r="AF955" s="93">
        <f>IF('Net zero activities &amp; levers'!$C$12="Off",('Activity data'!AY12*EF!$H43*EF!$H61)*NtoN2O*kgtoGg,IF('Net zero activities &amp; levers'!$C$12="PB",('Activity data'!AY12*EF!$H43*EF!$H61)*NtoN2O*kgtoGg,IF('Net zero activities &amp; levers'!$C$12="MS",('Net zero Activity data'!AY12*EF!$H43*EF!$H61)*NtoN2O*kgtoGg,"ERROR")))</f>
        <v>6.5420116881865359E-2</v>
      </c>
      <c r="AG955" s="93">
        <f>IF('Net zero activities &amp; levers'!$C$12="Off",('Activity data'!AZ12*EF!$H43*EF!$H61)*NtoN2O*kgtoGg,IF('Net zero activities &amp; levers'!$C$12="PB",('Activity data'!AZ12*EF!$H43*EF!$H61)*NtoN2O*kgtoGg,IF('Net zero activities &amp; levers'!$C$12="MS",('Net zero Activity data'!AZ12*EF!$H43*EF!$H61)*NtoN2O*kgtoGg,"ERROR")))</f>
        <v>6.5539291886106743E-2</v>
      </c>
      <c r="AH955" s="93">
        <f>IF('Net zero activities &amp; levers'!$C$12="Off",('Activity data'!BA12*EF!$H43*EF!$H61)*NtoN2O*kgtoGg,IF('Net zero activities &amp; levers'!$C$12="PB",('Activity data'!BA12*EF!$H43*EF!$H61)*NtoN2O*kgtoGg,IF('Net zero activities &amp; levers'!$C$12="MS",('Net zero Activity data'!BA12*EF!$H43*EF!$H61)*NtoN2O*kgtoGg,"ERROR")))</f>
        <v>6.5661994148660446E-2</v>
      </c>
      <c r="AI955" s="93">
        <f>IF('Net zero activities &amp; levers'!$C$12="Off",('Activity data'!BB12*EF!$H43*EF!$H61)*NtoN2O*kgtoGg,IF('Net zero activities &amp; levers'!$C$12="PB",('Activity data'!BB12*EF!$H43*EF!$H61)*NtoN2O*kgtoGg,IF('Net zero activities &amp; levers'!$C$12="MS",('Net zero Activity data'!BB12*EF!$H43*EF!$H61)*NtoN2O*kgtoGg,"ERROR")))</f>
        <v>6.5737195317682587E-2</v>
      </c>
      <c r="AJ955" s="93">
        <f>IF('Net zero activities &amp; levers'!$C$12="Off",('Activity data'!BC12*EF!$H43*EF!$H61)*NtoN2O*kgtoGg,IF('Net zero activities &amp; levers'!$C$12="PB",('Activity data'!BC12*EF!$H43*EF!$H61)*NtoN2O*kgtoGg,IF('Net zero activities &amp; levers'!$C$12="MS",('Net zero Activity data'!BC12*EF!$H43*EF!$H61)*NtoN2O*kgtoGg,"ERROR")))</f>
        <v>6.5820269981585744E-2</v>
      </c>
      <c r="AK955" s="93">
        <f>IF('Net zero activities &amp; levers'!$C$12="Off",('Activity data'!BD12*EF!$H43*EF!$H61)*NtoN2O*kgtoGg,IF('Net zero activities &amp; levers'!$C$12="PB",('Activity data'!BD12*EF!$H43*EF!$H61)*NtoN2O*kgtoGg,IF('Net zero activities &amp; levers'!$C$12="MS",('Net zero Activity data'!BD12*EF!$H43*EF!$H61)*NtoN2O*kgtoGg,"ERROR")))</f>
        <v>6.5909100497210327E-2</v>
      </c>
      <c r="AL955" s="93">
        <f>IF('Net zero activities &amp; levers'!$C$12="Off",('Activity data'!BE12*EF!$H43*EF!$H61)*NtoN2O*kgtoGg,IF('Net zero activities &amp; levers'!$C$12="PB",('Activity data'!BE12*EF!$H43*EF!$H61)*NtoN2O*kgtoGg,IF('Net zero activities &amp; levers'!$C$12="MS",('Net zero Activity data'!BE12*EF!$H43*EF!$H61)*NtoN2O*kgtoGg,"ERROR")))</f>
        <v>6.6004743698148058E-2</v>
      </c>
      <c r="AM955" s="93">
        <f>IF('Net zero activities &amp; levers'!$C$12="Off",('Activity data'!BF12*EF!$H43*EF!$H61)*NtoN2O*kgtoGg,IF('Net zero activities &amp; levers'!$C$12="PB",('Activity data'!BF12*EF!$H43*EF!$H61)*NtoN2O*kgtoGg,IF('Net zero activities &amp; levers'!$C$12="MS",('Net zero Activity data'!BF12*EF!$H43*EF!$H61)*NtoN2O*kgtoGg,"ERROR")))</f>
        <v>6.6106335304610589E-2</v>
      </c>
      <c r="AN955" s="93">
        <f>IF('Net zero activities &amp; levers'!$C$12="Off",('Activity data'!BG12*EF!$H43*EF!$H61)*NtoN2O*kgtoGg,IF('Net zero activities &amp; levers'!$C$12="PB",('Activity data'!BG12*EF!$H43*EF!$H61)*NtoN2O*kgtoGg,IF('Net zero activities &amp; levers'!$C$12="MS",('Net zero Activity data'!BG12*EF!$H43*EF!$H61)*NtoN2O*kgtoGg,"ERROR")))</f>
        <v>6.6165250150569468E-2</v>
      </c>
      <c r="AO955" s="93">
        <f>IF('Net zero activities &amp; levers'!$C$12="Off",('Activity data'!BH12*EF!$H43*EF!$H61)*NtoN2O*kgtoGg,IF('Net zero activities &amp; levers'!$C$12="PB",('Activity data'!BH12*EF!$H43*EF!$H61)*NtoN2O*kgtoGg,IF('Net zero activities &amp; levers'!$C$12="MS",('Net zero Activity data'!BH12*EF!$H43*EF!$H61)*NtoN2O*kgtoGg,"ERROR")))</f>
        <v>6.6228620684754519E-2</v>
      </c>
      <c r="AP955" s="93">
        <f>IF('Net zero activities &amp; levers'!$C$12="Off",('Activity data'!BI12*EF!$H43*EF!$H61)*NtoN2O*kgtoGg,IF('Net zero activities &amp; levers'!$C$12="PB",('Activity data'!BI12*EF!$H43*EF!$H61)*NtoN2O*kgtoGg,IF('Net zero activities &amp; levers'!$C$12="MS",('Net zero Activity data'!BI12*EF!$H43*EF!$H61)*NtoN2O*kgtoGg,"ERROR")))</f>
        <v>6.6297256788396222E-2</v>
      </c>
      <c r="AQ955" s="93">
        <f>IF('Net zero activities &amp; levers'!$C$12="Off",('Activity data'!BJ12*EF!$H43*EF!$H61)*NtoN2O*kgtoGg,IF('Net zero activities &amp; levers'!$C$12="PB",('Activity data'!BJ12*EF!$H43*EF!$H61)*NtoN2O*kgtoGg,IF('Net zero activities &amp; levers'!$C$12="MS",('Net zero Activity data'!BJ12*EF!$H43*EF!$H61)*NtoN2O*kgtoGg,"ERROR")))</f>
        <v>6.6371253212662962E-2</v>
      </c>
      <c r="AR955" s="93">
        <f>IF('Net zero activities &amp; levers'!$C$12="Off",('Activity data'!BK12*EF!$H43*EF!$H61)*NtoN2O*kgtoGg,IF('Net zero activities &amp; levers'!$C$12="PB",('Activity data'!BK12*EF!$H43*EF!$H61)*NtoN2O*kgtoGg,IF('Net zero activities &amp; levers'!$C$12="MS",('Net zero Activity data'!BK12*EF!$H43*EF!$H61)*NtoN2O*kgtoGg,"ERROR")))</f>
        <v>6.6450558230176079E-2</v>
      </c>
      <c r="AS955" s="93">
        <f>IF('Net zero activities &amp; levers'!$C$12="Off",('Activity data'!BL12*EF!$H43*EF!$H61)*NtoN2O*kgtoGg,IF('Net zero activities &amp; levers'!$C$12="PB",('Activity data'!BL12*EF!$H43*EF!$H61)*NtoN2O*kgtoGg,IF('Net zero activities &amp; levers'!$C$12="MS",('Net zero Activity data'!BL12*EF!$H43*EF!$H61)*NtoN2O*kgtoGg,"ERROR")))</f>
        <v>6.6486019480666153E-2</v>
      </c>
      <c r="AT955" s="93">
        <f>IF('Net zero activities &amp; levers'!$C$12="Off",('Activity data'!BM12*EF!$H43*EF!$H61)*NtoN2O*kgtoGg,IF('Net zero activities &amp; levers'!$C$12="PB",('Activity data'!BM12*EF!$H43*EF!$H61)*NtoN2O*kgtoGg,IF('Net zero activities &amp; levers'!$C$12="MS",('Net zero Activity data'!BM12*EF!$H43*EF!$H61)*NtoN2O*kgtoGg,"ERROR")))</f>
        <v>6.6519025441412388E-2</v>
      </c>
      <c r="AU955" s="93">
        <f>IF('Net zero activities &amp; levers'!$C$12="Off",('Activity data'!BN12*EF!$H43*EF!$H61)*NtoN2O*kgtoGg,IF('Net zero activities &amp; levers'!$C$12="PB",('Activity data'!BN12*EF!$H43*EF!$H61)*NtoN2O*kgtoGg,IF('Net zero activities &amp; levers'!$C$12="MS",('Net zero Activity data'!BN12*EF!$H43*EF!$H61)*NtoN2O*kgtoGg,"ERROR")))</f>
        <v>6.6555615903506504E-2</v>
      </c>
      <c r="AV955" s="93">
        <f>IF('Net zero activities &amp; levers'!$C$12="Off",('Activity data'!BO12*EF!$H43*EF!$H61)*NtoN2O*kgtoGg,IF('Net zero activities &amp; levers'!$C$12="PB",('Activity data'!BO12*EF!$H43*EF!$H61)*NtoN2O*kgtoGg,IF('Net zero activities &amp; levers'!$C$12="MS",('Net zero Activity data'!BO12*EF!$H43*EF!$H61)*NtoN2O*kgtoGg,"ERROR")))</f>
        <v>6.6596377376484356E-2</v>
      </c>
      <c r="AW955" s="93">
        <f>IF('Net zero activities &amp; levers'!$C$12="Off",('Activity data'!BP12*EF!$H43*EF!$H61)*NtoN2O*kgtoGg,IF('Net zero activities &amp; levers'!$C$12="PB",('Activity data'!BP12*EF!$H43*EF!$H61)*NtoN2O*kgtoGg,IF('Net zero activities &amp; levers'!$C$12="MS",('Net zero Activity data'!BP12*EF!$H43*EF!$H61)*NtoN2O*kgtoGg,"ERROR")))</f>
        <v>6.6640890249560589E-2</v>
      </c>
      <c r="AY955" s="79"/>
      <c r="AZ955" s="79"/>
    </row>
    <row r="956" spans="1:52" x14ac:dyDescent="0.2">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1.4486129996083083E-2</v>
      </c>
      <c r="L956" s="27">
        <f t="shared" si="337"/>
        <v>1.4523786941695514E-2</v>
      </c>
      <c r="M956" s="27">
        <f t="shared" si="337"/>
        <v>1.457573336741831E-2</v>
      </c>
      <c r="N956" s="27">
        <f t="shared" si="337"/>
        <v>1.4639017833045652E-2</v>
      </c>
      <c r="O956" s="27">
        <f t="shared" si="337"/>
        <v>1.4713550078172181E-2</v>
      </c>
      <c r="P956" s="27">
        <f t="shared" si="337"/>
        <v>1.4798876460462532E-2</v>
      </c>
      <c r="Q956" s="27">
        <f t="shared" si="337"/>
        <v>1.4890706011157254E-2</v>
      </c>
      <c r="R956" s="27">
        <f t="shared" si="337"/>
        <v>1.4988675221399694E-2</v>
      </c>
      <c r="S956" s="27">
        <f t="shared" si="337"/>
        <v>1.5078679643027025E-2</v>
      </c>
      <c r="T956" s="27">
        <f t="shared" si="337"/>
        <v>1.5122495296339114E-2</v>
      </c>
      <c r="U956" s="27">
        <f t="shared" si="337"/>
        <v>1.516958973789732E-2</v>
      </c>
      <c r="V956" s="27">
        <f t="shared" si="337"/>
        <v>1.5220538890996555E-2</v>
      </c>
      <c r="W956" s="27">
        <f t="shared" si="337"/>
        <v>1.5275902163367263E-2</v>
      </c>
      <c r="X956" s="27">
        <f t="shared" si="337"/>
        <v>1.5334694454120529E-2</v>
      </c>
      <c r="Y956" s="27">
        <f t="shared" si="337"/>
        <v>1.5371448915304845E-2</v>
      </c>
      <c r="Z956" s="27">
        <f t="shared" si="337"/>
        <v>1.5411207509365298E-2</v>
      </c>
      <c r="AA956" s="27">
        <f t="shared" ref="L956:AW959" si="338">AA1419</f>
        <v>1.545373639870192E-2</v>
      </c>
      <c r="AB956" s="27">
        <f t="shared" si="338"/>
        <v>1.5499966763922934E-2</v>
      </c>
      <c r="AC956" s="27">
        <f t="shared" si="338"/>
        <v>1.5548833641447303E-2</v>
      </c>
      <c r="AD956" s="27">
        <f t="shared" si="338"/>
        <v>1.5580602349578561E-2</v>
      </c>
      <c r="AE956" s="27">
        <f t="shared" si="338"/>
        <v>1.5615591404277505E-2</v>
      </c>
      <c r="AF956" s="27">
        <f t="shared" si="338"/>
        <v>1.5653259744642323E-2</v>
      </c>
      <c r="AG956" s="27">
        <f t="shared" si="338"/>
        <v>1.5694012741398929E-2</v>
      </c>
      <c r="AH956" s="27">
        <f t="shared" si="338"/>
        <v>1.5735477279761712E-2</v>
      </c>
      <c r="AI956" s="27">
        <f t="shared" si="338"/>
        <v>1.5760021720349279E-2</v>
      </c>
      <c r="AJ956" s="27">
        <f t="shared" si="338"/>
        <v>1.5786883711006117E-2</v>
      </c>
      <c r="AK956" s="27">
        <f t="shared" si="338"/>
        <v>1.5815340273420818E-2</v>
      </c>
      <c r="AL956" s="27">
        <f t="shared" si="338"/>
        <v>1.5845764593107773E-2</v>
      </c>
      <c r="AM956" s="27">
        <f t="shared" si="338"/>
        <v>1.5877866318833773E-2</v>
      </c>
      <c r="AN956" s="27">
        <f t="shared" si="338"/>
        <v>1.5894983838021428E-2</v>
      </c>
      <c r="AO956" s="27">
        <f t="shared" si="338"/>
        <v>1.5913339031971951E-2</v>
      </c>
      <c r="AP956" s="27">
        <f t="shared" si="338"/>
        <v>1.593321505910849E-2</v>
      </c>
      <c r="AQ956" s="27">
        <f t="shared" si="338"/>
        <v>1.5954648527995344E-2</v>
      </c>
      <c r="AR956" s="27">
        <f t="shared" si="338"/>
        <v>1.597762528830339E-2</v>
      </c>
      <c r="AS956" s="27">
        <f t="shared" si="338"/>
        <v>1.598544144020398E-2</v>
      </c>
      <c r="AT956" s="27">
        <f t="shared" si="338"/>
        <v>1.5992226212116378E-2</v>
      </c>
      <c r="AU956" s="27">
        <f t="shared" si="338"/>
        <v>1.600003943689176E-2</v>
      </c>
      <c r="AV956" s="27">
        <f t="shared" si="338"/>
        <v>1.6009082551352239E-2</v>
      </c>
      <c r="AW956" s="27">
        <f t="shared" si="338"/>
        <v>1.6019215529788255E-2</v>
      </c>
      <c r="AY956" s="79"/>
      <c r="AZ956" s="79"/>
    </row>
    <row r="957" spans="1:52" x14ac:dyDescent="0.2">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0.11605647283191661</v>
      </c>
      <c r="O957" s="27">
        <f t="shared" si="338"/>
        <v>0.11664735601685972</v>
      </c>
      <c r="P957" s="27">
        <f t="shared" si="338"/>
        <v>0.11732381389682567</v>
      </c>
      <c r="Q957" s="27">
        <f t="shared" si="338"/>
        <v>0.11805182815822723</v>
      </c>
      <c r="R957" s="27">
        <f t="shared" si="338"/>
        <v>0.11882851694408277</v>
      </c>
      <c r="S957" s="27">
        <f t="shared" si="338"/>
        <v>0.11954206178926803</v>
      </c>
      <c r="T957" s="27">
        <f t="shared" si="338"/>
        <v>0.11988942731858297</v>
      </c>
      <c r="U957" s="27">
        <f t="shared" si="338"/>
        <v>0.12026278670919023</v>
      </c>
      <c r="V957" s="27">
        <f t="shared" si="338"/>
        <v>0.12066670581564304</v>
      </c>
      <c r="W957" s="27">
        <f t="shared" si="338"/>
        <v>0.12110561955897305</v>
      </c>
      <c r="X957" s="27">
        <f t="shared" si="338"/>
        <v>0.121571718171076</v>
      </c>
      <c r="Y957" s="27">
        <f t="shared" si="338"/>
        <v>0.12186310337017453</v>
      </c>
      <c r="Z957" s="27">
        <f t="shared" si="338"/>
        <v>0.12217830499394715</v>
      </c>
      <c r="AA957" s="27">
        <f t="shared" si="338"/>
        <v>0.12251546920442616</v>
      </c>
      <c r="AB957" s="27">
        <f t="shared" si="338"/>
        <v>0.12288197829584693</v>
      </c>
      <c r="AC957" s="27">
        <f t="shared" si="338"/>
        <v>0.12326938935774111</v>
      </c>
      <c r="AD957" s="27">
        <f t="shared" si="338"/>
        <v>0.12352124807218419</v>
      </c>
      <c r="AE957" s="27">
        <f t="shared" si="338"/>
        <v>0.12379863732892218</v>
      </c>
      <c r="AF957" s="27">
        <f t="shared" si="338"/>
        <v>0.12409726765849963</v>
      </c>
      <c r="AG957" s="27">
        <f t="shared" si="338"/>
        <v>0.12442035279404921</v>
      </c>
      <c r="AH957" s="27">
        <f t="shared" si="338"/>
        <v>0.12474907895074024</v>
      </c>
      <c r="AI957" s="27">
        <f t="shared" si="338"/>
        <v>0.12494366449156763</v>
      </c>
      <c r="AJ957" s="27">
        <f t="shared" si="338"/>
        <v>0.12515662330645747</v>
      </c>
      <c r="AK957" s="27">
        <f t="shared" si="338"/>
        <v>0.12538222370536653</v>
      </c>
      <c r="AL957" s="27">
        <f t="shared" si="338"/>
        <v>0.12562342426072123</v>
      </c>
      <c r="AM957" s="27">
        <f t="shared" si="338"/>
        <v>0.12587792310088028</v>
      </c>
      <c r="AN957" s="27">
        <f t="shared" si="338"/>
        <v>0.12601362885130757</v>
      </c>
      <c r="AO957" s="27">
        <f t="shared" si="338"/>
        <v>0.12615914674686166</v>
      </c>
      <c r="AP957" s="27">
        <f t="shared" si="338"/>
        <v>0.1263167216354017</v>
      </c>
      <c r="AQ957" s="27">
        <f t="shared" si="338"/>
        <v>0.12648664374547289</v>
      </c>
      <c r="AR957" s="27">
        <f t="shared" si="338"/>
        <v>0.12666880089487106</v>
      </c>
      <c r="AS957" s="27">
        <f t="shared" si="338"/>
        <v>0.12673076646052897</v>
      </c>
      <c r="AT957" s="27">
        <f t="shared" si="338"/>
        <v>0.12678455536263306</v>
      </c>
      <c r="AU957" s="27">
        <f t="shared" si="338"/>
        <v>0.1268464977223743</v>
      </c>
      <c r="AV957" s="27">
        <f t="shared" si="338"/>
        <v>0.12691819050802894</v>
      </c>
      <c r="AW957" s="27">
        <f t="shared" si="338"/>
        <v>0.12699852361165501</v>
      </c>
      <c r="AY957" s="79"/>
      <c r="AZ957" s="79"/>
    </row>
    <row r="958" spans="1:52" x14ac:dyDescent="0.2">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2">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2">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9.6937181363551561E-2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9.4636150647850539E-2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9.2641437622218353E-2</v>
      </c>
      <c r="Q960" s="93">
        <f>IF('Net zero activities &amp; levers'!$C$12="Off",('Activity data'!AJ17*EF!$H48*EF!$H66)*NtoN2O*kgtoGg,IF('Net zero activities &amp; levers'!$C$12="PB",('Activity data'!AJ17*EF!$H48*EF!$H66)*NtoN2O*kgtoGg,IF('Net zero activities &amp; levers'!$C$12="MS",('Net zero Activity data'!AJ17*EF!$H48*EF!$H66)*NtoN2O*kgtoGg,"ERROR")))</f>
        <v>9.1193054757597203E-2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8.9872834352323586E-2</v>
      </c>
      <c r="S960" s="93">
        <f>IF('Net zero activities &amp; levers'!$C$12="Off",('Activity data'!AL17*EF!$H48*EF!$H66)*NtoN2O*kgtoGg,IF('Net zero activities &amp; levers'!$C$12="PB",('Activity data'!AL17*EF!$H48*EF!$H66)*NtoN2O*kgtoGg,IF('Net zero activities &amp; levers'!$C$12="MS",('Net zero Activity data'!AL17*EF!$H48*EF!$H66)*NtoN2O*kgtoGg,"ERROR")))</f>
        <v>8.007614881771638E-2</v>
      </c>
      <c r="T960" s="93">
        <f>IF('Net zero activities &amp; levers'!$C$12="Off",('Activity data'!AM17*EF!$H48*EF!$H66)*NtoN2O*kgtoGg,IF('Net zero activities &amp; levers'!$C$12="PB",('Activity data'!AM17*EF!$H48*EF!$H66)*NtoN2O*kgtoGg,IF('Net zero activities &amp; levers'!$C$12="MS",('Net zero Activity data'!AM17*EF!$H48*EF!$H66)*NtoN2O*kgtoGg,"ERROR")))</f>
        <v>8.1326396788510474E-2</v>
      </c>
      <c r="U960" s="93">
        <f>IF('Net zero activities &amp; levers'!$C$12="Off",('Activity data'!AN17*EF!$H48*EF!$H66)*NtoN2O*kgtoGg,IF('Net zero activities &amp; levers'!$C$12="PB",('Activity data'!AN17*EF!$H48*EF!$H66)*NtoN2O*kgtoGg,IF('Net zero activities &amp; levers'!$C$12="MS",('Net zero Activity data'!AN17*EF!$H48*EF!$H66)*NtoN2O*kgtoGg,"ERROR")))</f>
        <v>8.1857388582928847E-2</v>
      </c>
      <c r="V960" s="93">
        <f>IF('Net zero activities &amp; levers'!$C$12="Off",('Activity data'!AO17*EF!$H48*EF!$H66)*NtoN2O*kgtoGg,IF('Net zero activities &amp; levers'!$C$12="PB",('Activity data'!AO17*EF!$H48*EF!$H66)*NtoN2O*kgtoGg,IF('Net zero activities &amp; levers'!$C$12="MS",('Net zero Activity data'!AO17*EF!$H48*EF!$H66)*NtoN2O*kgtoGg,"ERROR")))</f>
        <v>8.2207086470719101E-2</v>
      </c>
      <c r="W960" s="93">
        <f>IF('Net zero activities &amp; levers'!$C$12="Off",('Activity data'!AP17*EF!$H48*EF!$H66)*NtoN2O*kgtoGg,IF('Net zero activities &amp; levers'!$C$12="PB",('Activity data'!AP17*EF!$H48*EF!$H66)*NtoN2O*kgtoGg,IF('Net zero activities &amp; levers'!$C$12="MS",('Net zero Activity data'!AP17*EF!$H48*EF!$H66)*NtoN2O*kgtoGg,"ERROR")))</f>
        <v>8.285461390877466E-2</v>
      </c>
      <c r="X960" s="93">
        <f>IF('Net zero activities &amp; levers'!$C$12="Off",('Activity data'!AQ17*EF!$H48*EF!$H66)*NtoN2O*kgtoGg,IF('Net zero activities &amp; levers'!$C$12="PB",('Activity data'!AQ17*EF!$H48*EF!$H66)*NtoN2O*kgtoGg,IF('Net zero activities &amp; levers'!$C$12="MS",('Net zero Activity data'!AQ17*EF!$H48*EF!$H66)*NtoN2O*kgtoGg,"ERROR")))</f>
        <v>8.333689669834958E-2</v>
      </c>
      <c r="Y960" s="93">
        <f>IF('Net zero activities &amp; levers'!$C$12="Off",('Activity data'!AR17*EF!$H48*EF!$H66)*NtoN2O*kgtoGg,IF('Net zero activities &amp; levers'!$C$12="PB",('Activity data'!AR17*EF!$H48*EF!$H66)*NtoN2O*kgtoGg,IF('Net zero activities &amp; levers'!$C$12="MS",('Net zero Activity data'!AR17*EF!$H48*EF!$H66)*NtoN2O*kgtoGg,"ERROR")))</f>
        <v>8.3589871912565908E-2</v>
      </c>
      <c r="Z960" s="93">
        <f>IF('Net zero activities &amp; levers'!$C$12="Off",('Activity data'!AS17*EF!$H48*EF!$H66)*NtoN2O*kgtoGg,IF('Net zero activities &amp; levers'!$C$12="PB",('Activity data'!AS17*EF!$H48*EF!$H66)*NtoN2O*kgtoGg,IF('Net zero activities &amp; levers'!$C$12="MS",('Net zero Activity data'!AS17*EF!$H48*EF!$H66)*NtoN2O*kgtoGg,"ERROR")))</f>
        <v>8.3744868407458789E-2</v>
      </c>
      <c r="AA960" s="93">
        <f>IF('Net zero activities &amp; levers'!$C$12="Off",('Activity data'!AT17*EF!$H48*EF!$H66)*NtoN2O*kgtoGg,IF('Net zero activities &amp; levers'!$C$12="PB",('Activity data'!AT17*EF!$H48*EF!$H66)*NtoN2O*kgtoGg,IF('Net zero activities &amp; levers'!$C$12="MS",('Net zero Activity data'!AT17*EF!$H48*EF!$H66)*NtoN2O*kgtoGg,"ERROR")))</f>
        <v>8.3765893880963477E-2</v>
      </c>
      <c r="AB960" s="93">
        <f>IF('Net zero activities &amp; levers'!$C$12="Off",('Activity data'!AU17*EF!$H48*EF!$H66)*NtoN2O*kgtoGg,IF('Net zero activities &amp; levers'!$C$12="PB",('Activity data'!AU17*EF!$H48*EF!$H66)*NtoN2O*kgtoGg,IF('Net zero activities &amp; levers'!$C$12="MS",('Net zero Activity data'!AU17*EF!$H48*EF!$H66)*NtoN2O*kgtoGg,"ERROR")))</f>
        <v>8.4252320791482468E-2</v>
      </c>
      <c r="AC960" s="93">
        <f>IF('Net zero activities &amp; levers'!$C$12="Off",('Activity data'!AV17*EF!$H48*EF!$H66)*NtoN2O*kgtoGg,IF('Net zero activities &amp; levers'!$C$12="PB",('Activity data'!AV17*EF!$H48*EF!$H66)*NtoN2O*kgtoGg,IF('Net zero activities &amp; levers'!$C$12="MS",('Net zero Activity data'!AV17*EF!$H48*EF!$H66)*NtoN2O*kgtoGg,"ERROR")))</f>
        <v>8.467721169561411E-2</v>
      </c>
      <c r="AD960" s="93">
        <f>IF('Net zero activities &amp; levers'!$C$12="Off",('Activity data'!AW17*EF!$H48*EF!$H66)*NtoN2O*kgtoGg,IF('Net zero activities &amp; levers'!$C$12="PB",('Activity data'!AW17*EF!$H48*EF!$H66)*NtoN2O*kgtoGg,IF('Net zero activities &amp; levers'!$C$12="MS",('Net zero Activity data'!AW17*EF!$H48*EF!$H66)*NtoN2O*kgtoGg,"ERROR")))</f>
        <v>8.5288552318902811E-2</v>
      </c>
      <c r="AE960" s="93">
        <f>IF('Net zero activities &amp; levers'!$C$12="Off",('Activity data'!AX17*EF!$H48*EF!$H66)*NtoN2O*kgtoGg,IF('Net zero activities &amp; levers'!$C$12="PB",('Activity data'!AX17*EF!$H48*EF!$H66)*NtoN2O*kgtoGg,IF('Net zero activities &amp; levers'!$C$12="MS",('Net zero Activity data'!AX17*EF!$H48*EF!$H66)*NtoN2O*kgtoGg,"ERROR")))</f>
        <v>8.6321222168383255E-2</v>
      </c>
      <c r="AF960" s="93">
        <f>IF('Net zero activities &amp; levers'!$C$12="Off",('Activity data'!AY17*EF!$H48*EF!$H66)*NtoN2O*kgtoGg,IF('Net zero activities &amp; levers'!$C$12="PB",('Activity data'!AY17*EF!$H48*EF!$H66)*NtoN2O*kgtoGg,IF('Net zero activities &amp; levers'!$C$12="MS",('Net zero Activity data'!AY17*EF!$H48*EF!$H66)*NtoN2O*kgtoGg,"ERROR")))</f>
        <v>8.7530536010928472E-2</v>
      </c>
      <c r="AG960" s="93">
        <f>IF('Net zero activities &amp; levers'!$C$12="Off",('Activity data'!AZ17*EF!$H48*EF!$H66)*NtoN2O*kgtoGg,IF('Net zero activities &amp; levers'!$C$12="PB",('Activity data'!AZ17*EF!$H48*EF!$H66)*NtoN2O*kgtoGg,IF('Net zero activities &amp; levers'!$C$12="MS",('Net zero Activity data'!AZ17*EF!$H48*EF!$H66)*NtoN2O*kgtoGg,"ERROR")))</f>
        <v>8.9167849032446608E-2</v>
      </c>
      <c r="AH960" s="93">
        <f>IF('Net zero activities &amp; levers'!$C$12="Off",('Activity data'!BA17*EF!$H48*EF!$H66)*NtoN2O*kgtoGg,IF('Net zero activities &amp; levers'!$C$12="PB",('Activity data'!BA17*EF!$H48*EF!$H66)*NtoN2O*kgtoGg,IF('Net zero activities &amp; levers'!$C$12="MS",('Net zero Activity data'!BA17*EF!$H48*EF!$H66)*NtoN2O*kgtoGg,"ERROR")))</f>
        <v>9.0051741731639295E-2</v>
      </c>
      <c r="AI960" s="93">
        <f>IF('Net zero activities &amp; levers'!$C$12="Off",('Activity data'!BB17*EF!$H48*EF!$H66)*NtoN2O*kgtoGg,IF('Net zero activities &amp; levers'!$C$12="PB",('Activity data'!BB17*EF!$H48*EF!$H66)*NtoN2O*kgtoGg,IF('Net zero activities &amp; levers'!$C$12="MS",('Net zero Activity data'!BB17*EF!$H48*EF!$H66)*NtoN2O*kgtoGg,"ERROR")))</f>
        <v>9.0823732502808008E-2</v>
      </c>
      <c r="AJ960" s="93">
        <f>IF('Net zero activities &amp; levers'!$C$12="Off",('Activity data'!BC17*EF!$H48*EF!$H66)*NtoN2O*kgtoGg,IF('Net zero activities &amp; levers'!$C$12="PB",('Activity data'!BC17*EF!$H48*EF!$H66)*NtoN2O*kgtoGg,IF('Net zero activities &amp; levers'!$C$12="MS",('Net zero Activity data'!BC17*EF!$H48*EF!$H66)*NtoN2O*kgtoGg,"ERROR")))</f>
        <v>9.1793903682288E-2</v>
      </c>
      <c r="AK960" s="93">
        <f>IF('Net zero activities &amp; levers'!$C$12="Off",('Activity data'!BD17*EF!$H48*EF!$H66)*NtoN2O*kgtoGg,IF('Net zero activities &amp; levers'!$C$12="PB",('Activity data'!BD17*EF!$H48*EF!$H66)*NtoN2O*kgtoGg,IF('Net zero activities &amp; levers'!$C$12="MS",('Net zero Activity data'!BD17*EF!$H48*EF!$H66)*NtoN2O*kgtoGg,"ERROR")))</f>
        <v>9.2636221139642705E-2</v>
      </c>
      <c r="AL960" s="93">
        <f>IF('Net zero activities &amp; levers'!$C$12="Off",('Activity data'!BE17*EF!$H48*EF!$H66)*NtoN2O*kgtoGg,IF('Net zero activities &amp; levers'!$C$12="PB",('Activity data'!BE17*EF!$H48*EF!$H66)*NtoN2O*kgtoGg,IF('Net zero activities &amp; levers'!$C$12="MS",('Net zero Activity data'!BE17*EF!$H48*EF!$H66)*NtoN2O*kgtoGg,"ERROR")))</f>
        <v>9.3568236692189041E-2</v>
      </c>
      <c r="AM960" s="93">
        <f>IF('Net zero activities &amp; levers'!$C$12="Off",('Activity data'!BF17*EF!$H48*EF!$H66)*NtoN2O*kgtoGg,IF('Net zero activities &amp; levers'!$C$12="PB",('Activity data'!BF17*EF!$H48*EF!$H66)*NtoN2O*kgtoGg,IF('Net zero activities &amp; levers'!$C$12="MS",('Net zero Activity data'!BF17*EF!$H48*EF!$H66)*NtoN2O*kgtoGg,"ERROR")))</f>
        <v>9.4477344703207677E-2</v>
      </c>
      <c r="AN960" s="93">
        <f>IF('Net zero activities &amp; levers'!$C$12="Off",('Activity data'!BG17*EF!$H48*EF!$H66)*NtoN2O*kgtoGg,IF('Net zero activities &amp; levers'!$C$12="PB",('Activity data'!BG17*EF!$H48*EF!$H66)*NtoN2O*kgtoGg,IF('Net zero activities &amp; levers'!$C$12="MS",('Net zero Activity data'!BG17*EF!$H48*EF!$H66)*NtoN2O*kgtoGg,"ERROR")))</f>
        <v>9.5701309146604296E-2</v>
      </c>
      <c r="AO960" s="93">
        <f>IF('Net zero activities &amp; levers'!$C$12="Off",('Activity data'!BH17*EF!$H48*EF!$H66)*NtoN2O*kgtoGg,IF('Net zero activities &amp; levers'!$C$12="PB",('Activity data'!BH17*EF!$H48*EF!$H66)*NtoN2O*kgtoGg,IF('Net zero activities &amp; levers'!$C$12="MS",('Net zero Activity data'!BH17*EF!$H48*EF!$H66)*NtoN2O*kgtoGg,"ERROR")))</f>
        <v>9.6764158959885563E-2</v>
      </c>
      <c r="AP960" s="93">
        <f>IF('Net zero activities &amp; levers'!$C$12="Off",('Activity data'!BI17*EF!$H48*EF!$H66)*NtoN2O*kgtoGg,IF('Net zero activities &amp; levers'!$C$12="PB",('Activity data'!BI17*EF!$H48*EF!$H66)*NtoN2O*kgtoGg,IF('Net zero activities &amp; levers'!$C$12="MS",('Net zero Activity data'!BI17*EF!$H48*EF!$H66)*NtoN2O*kgtoGg,"ERROR")))</f>
        <v>9.7826064209534019E-2</v>
      </c>
      <c r="AQ960" s="93">
        <f>IF('Net zero activities &amp; levers'!$C$12="Off",('Activity data'!BJ17*EF!$H48*EF!$H66)*NtoN2O*kgtoGg,IF('Net zero activities &amp; levers'!$C$12="PB",('Activity data'!BJ17*EF!$H48*EF!$H66)*NtoN2O*kgtoGg,IF('Net zero activities &amp; levers'!$C$12="MS",('Net zero Activity data'!BJ17*EF!$H48*EF!$H66)*NtoN2O*kgtoGg,"ERROR")))</f>
        <v>9.8925683865692504E-2</v>
      </c>
      <c r="AR960" s="93">
        <f>IF('Net zero activities &amp; levers'!$C$12="Off",('Activity data'!BK17*EF!$H48*EF!$H66)*NtoN2O*kgtoGg,IF('Net zero activities &amp; levers'!$C$12="PB",('Activity data'!BK17*EF!$H48*EF!$H66)*NtoN2O*kgtoGg,IF('Net zero activities &amp; levers'!$C$12="MS",('Net zero Activity data'!BK17*EF!$H48*EF!$H66)*NtoN2O*kgtoGg,"ERROR")))</f>
        <v>0.1000753787258143</v>
      </c>
      <c r="AS960" s="93">
        <f>IF('Net zero activities &amp; levers'!$C$12="Off",('Activity data'!BL17*EF!$H48*EF!$H66)*NtoN2O*kgtoGg,IF('Net zero activities &amp; levers'!$C$12="PB",('Activity data'!BL17*EF!$H48*EF!$H66)*NtoN2O*kgtoGg,IF('Net zero activities &amp; levers'!$C$12="MS",('Net zero Activity data'!BL17*EF!$H48*EF!$H66)*NtoN2O*kgtoGg,"ERROR")))</f>
        <v>0.10157365781943821</v>
      </c>
      <c r="AT960" s="93">
        <f>IF('Net zero activities &amp; levers'!$C$12="Off",('Activity data'!BM17*EF!$H48*EF!$H66)*NtoN2O*kgtoGg,IF('Net zero activities &amp; levers'!$C$12="PB",('Activity data'!BM17*EF!$H48*EF!$H66)*NtoN2O*kgtoGg,IF('Net zero activities &amp; levers'!$C$12="MS",('Net zero Activity data'!BM17*EF!$H48*EF!$H66)*NtoN2O*kgtoGg,"ERROR")))</f>
        <v>0.10203766217050345</v>
      </c>
      <c r="AU960" s="93">
        <f>IF('Net zero activities &amp; levers'!$C$12="Off",('Activity data'!BN17*EF!$H48*EF!$H66)*NtoN2O*kgtoGg,IF('Net zero activities &amp; levers'!$C$12="PB",('Activity data'!BN17*EF!$H48*EF!$H66)*NtoN2O*kgtoGg,IF('Net zero activities &amp; levers'!$C$12="MS",('Net zero Activity data'!BN17*EF!$H48*EF!$H66)*NtoN2O*kgtoGg,"ERROR")))</f>
        <v>0.10240826928518969</v>
      </c>
      <c r="AV960" s="93">
        <f>IF('Net zero activities &amp; levers'!$C$12="Off",('Activity data'!BO17*EF!$H48*EF!$H66)*NtoN2O*kgtoGg,IF('Net zero activities &amp; levers'!$C$12="PB",('Activity data'!BO17*EF!$H48*EF!$H66)*NtoN2O*kgtoGg,IF('Net zero activities &amp; levers'!$C$12="MS",('Net zero Activity data'!BO17*EF!$H48*EF!$H66)*NtoN2O*kgtoGg,"ERROR")))</f>
        <v>0.10279047259457187</v>
      </c>
      <c r="AW960" s="93">
        <f>IF('Net zero activities &amp; levers'!$C$12="Off",('Activity data'!BP17*EF!$H48*EF!$H66)*NtoN2O*kgtoGg,IF('Net zero activities &amp; levers'!$C$12="PB",('Activity data'!BP17*EF!$H48*EF!$H66)*NtoN2O*kgtoGg,IF('Net zero activities &amp; levers'!$C$12="MS",('Net zero Activity data'!BP17*EF!$H48*EF!$H66)*NtoN2O*kgtoGg,"ERROR")))</f>
        <v>0.10314026973807801</v>
      </c>
      <c r="AY960" s="79"/>
      <c r="AZ960" s="79"/>
    </row>
    <row r="961" spans="1:52" x14ac:dyDescent="0.2">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3.7923788015899976E-2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3.7023578211438583E-2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3.6243206089281214E-2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3.5676569387541844E-2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3.132741070223205E-2</v>
      </c>
      <c r="T961" s="93">
        <f>IF('Net zero activities &amp; levers'!$C$12="Off",('Activity data'!AM18*EF!$H49*EF!$H67)*NtoN2O*kgtoGg,IF('Net zero activities &amp; levers'!$C$12="PB",('Activity data'!AM18*EF!$H49*EF!$H67)*NtoN2O*kgtoGg,IF('Net zero activities &amp; levers'!$C$12="MS",('Net zero Activity data'!AM18*EF!$H49*EF!$H67)*NtoN2O*kgtoGg,"ERROR")))</f>
        <v>3.1816533021911265E-2</v>
      </c>
      <c r="U961" s="93">
        <f>IF('Net zero activities &amp; levers'!$C$12="Off",('Activity data'!AN18*EF!$H49*EF!$H67)*NtoN2O*kgtoGg,IF('Net zero activities &amp; levers'!$C$12="PB",('Activity data'!AN18*EF!$H49*EF!$H67)*NtoN2O*kgtoGg,IF('Net zero activities &amp; levers'!$C$12="MS",('Net zero Activity data'!AN18*EF!$H49*EF!$H67)*NtoN2O*kgtoGg,"ERROR")))</f>
        <v>3.2024267762765575E-2</v>
      </c>
      <c r="V961" s="93">
        <f>IF('Net zero activities &amp; levers'!$C$12="Off",('Activity data'!AO18*EF!$H49*EF!$H67)*NtoN2O*kgtoGg,IF('Net zero activities &amp; levers'!$C$12="PB",('Activity data'!AO18*EF!$H49*EF!$H67)*NtoN2O*kgtoGg,IF('Net zero activities &amp; levers'!$C$12="MS",('Net zero Activity data'!AO18*EF!$H49*EF!$H67)*NtoN2O*kgtoGg,"ERROR")))</f>
        <v>3.2161076656727829E-2</v>
      </c>
      <c r="W961" s="93">
        <f>IF('Net zero activities &amp; levers'!$C$12="Off",('Activity data'!AP18*EF!$H49*EF!$H67)*NtoN2O*kgtoGg,IF('Net zero activities &amp; levers'!$C$12="PB",('Activity data'!AP18*EF!$H49*EF!$H67)*NtoN2O*kgtoGg,IF('Net zero activities &amp; levers'!$C$12="MS",('Net zero Activity data'!AP18*EF!$H49*EF!$H67)*NtoN2O*kgtoGg,"ERROR")))</f>
        <v>3.2414402500845374E-2</v>
      </c>
      <c r="X961" s="93">
        <f>IF('Net zero activities &amp; levers'!$C$12="Off",('Activity data'!AQ18*EF!$H49*EF!$H67)*NtoN2O*kgtoGg,IF('Net zero activities &amp; levers'!$C$12="PB",('Activity data'!AQ18*EF!$H49*EF!$H67)*NtoN2O*kgtoGg,IF('Net zero activities &amp; levers'!$C$12="MS",('Net zero Activity data'!AQ18*EF!$H49*EF!$H67)*NtoN2O*kgtoGg,"ERROR")))</f>
        <v>3.2603081292804072E-2</v>
      </c>
      <c r="Y961" s="93">
        <f>IF('Net zero activities &amp; levers'!$C$12="Off",('Activity data'!AR18*EF!$H49*EF!$H67)*NtoN2O*kgtoGg,IF('Net zero activities &amp; levers'!$C$12="PB",('Activity data'!AR18*EF!$H49*EF!$H67)*NtoN2O*kgtoGg,IF('Net zero activities &amp; levers'!$C$12="MS",('Net zero Activity data'!AR18*EF!$H49*EF!$H67)*NtoN2O*kgtoGg,"ERROR")))</f>
        <v>3.2702050318540822E-2</v>
      </c>
      <c r="Z961" s="93">
        <f>IF('Net zero activities &amp; levers'!$C$12="Off",('Activity data'!AS18*EF!$H49*EF!$H67)*NtoN2O*kgtoGg,IF('Net zero activities &amp; levers'!$C$12="PB",('Activity data'!AS18*EF!$H49*EF!$H67)*NtoN2O*kgtoGg,IF('Net zero activities &amp; levers'!$C$12="MS",('Net zero Activity data'!AS18*EF!$H49*EF!$H67)*NtoN2O*kgtoGg,"ERROR")))</f>
        <v>3.2762688085523954E-2</v>
      </c>
      <c r="AA961" s="93">
        <f>IF('Net zero activities &amp; levers'!$C$12="Off",('Activity data'!AT18*EF!$H49*EF!$H67)*NtoN2O*kgtoGg,IF('Net zero activities &amp; levers'!$C$12="PB",('Activity data'!AT18*EF!$H49*EF!$H67)*NtoN2O*kgtoGg,IF('Net zero activities &amp; levers'!$C$12="MS",('Net zero Activity data'!AT18*EF!$H49*EF!$H67)*NtoN2O*kgtoGg,"ERROR")))</f>
        <v>3.2770913676457285E-2</v>
      </c>
      <c r="AB961" s="93">
        <f>IF('Net zero activities &amp; levers'!$C$12="Off",('Activity data'!AU18*EF!$H49*EF!$H67)*NtoN2O*kgtoGg,IF('Net zero activities &amp; levers'!$C$12="PB",('Activity data'!AU18*EF!$H49*EF!$H67)*NtoN2O*kgtoGg,IF('Net zero activities &amp; levers'!$C$12="MS",('Net zero Activity data'!AU18*EF!$H49*EF!$H67)*NtoN2O*kgtoGg,"ERROR")))</f>
        <v>3.2961213732434436E-2</v>
      </c>
      <c r="AC961" s="93">
        <f>IF('Net zero activities &amp; levers'!$C$12="Off",('Activity data'!AV18*EF!$H49*EF!$H67)*NtoN2O*kgtoGg,IF('Net zero activities &amp; levers'!$C$12="PB",('Activity data'!AV18*EF!$H49*EF!$H67)*NtoN2O*kgtoGg,IF('Net zero activities &amp; levers'!$C$12="MS",('Net zero Activity data'!AV18*EF!$H49*EF!$H67)*NtoN2O*kgtoGg,"ERROR")))</f>
        <v>3.3127439656806437E-2</v>
      </c>
      <c r="AD961" s="93">
        <f>IF('Net zero activities &amp; levers'!$C$12="Off",('Activity data'!AW18*EF!$H49*EF!$H67)*NtoN2O*kgtoGg,IF('Net zero activities &amp; levers'!$C$12="PB",('Activity data'!AW18*EF!$H49*EF!$H67)*NtoN2O*kgtoGg,IF('Net zero activities &amp; levers'!$C$12="MS",('Net zero Activity data'!AW18*EF!$H49*EF!$H67)*NtoN2O*kgtoGg,"ERROR")))</f>
        <v>3.3366608486320448E-2</v>
      </c>
      <c r="AE961" s="93">
        <f>IF('Net zero activities &amp; levers'!$C$12="Off",('Activity data'!AX18*EF!$H49*EF!$H67)*NtoN2O*kgtoGg,IF('Net zero activities &amp; levers'!$C$12="PB",('Activity data'!AX18*EF!$H49*EF!$H67)*NtoN2O*kgtoGg,IF('Net zero activities &amp; levers'!$C$12="MS",('Net zero Activity data'!AX18*EF!$H49*EF!$H67)*NtoN2O*kgtoGg,"ERROR")))</f>
        <v>3.377060983968385E-2</v>
      </c>
      <c r="AF961" s="93">
        <f>IF('Net zero activities &amp; levers'!$C$12="Off",('Activity data'!AY18*EF!$H49*EF!$H67)*NtoN2O*kgtoGg,IF('Net zero activities &amp; levers'!$C$12="PB",('Activity data'!AY18*EF!$H49*EF!$H67)*NtoN2O*kgtoGg,IF('Net zero activities &amp; levers'!$C$12="MS",('Net zero Activity data'!AY18*EF!$H49*EF!$H67)*NtoN2O*kgtoGg,"ERROR")))</f>
        <v>3.4243717899607513E-2</v>
      </c>
      <c r="AG961" s="93">
        <f>IF('Net zero activities &amp; levers'!$C$12="Off",('Activity data'!AZ18*EF!$H49*EF!$H67)*NtoN2O*kgtoGg,IF('Net zero activities &amp; levers'!$C$12="PB",('Activity data'!AZ18*EF!$H49*EF!$H67)*NtoN2O*kgtoGg,IF('Net zero activities &amp; levers'!$C$12="MS",('Net zero Activity data'!AZ18*EF!$H49*EF!$H67)*NtoN2O*kgtoGg,"ERROR")))</f>
        <v>3.4884267903953659E-2</v>
      </c>
      <c r="AH961" s="93">
        <f>IF('Net zero activities &amp; levers'!$C$12="Off",('Activity data'!BA18*EF!$H49*EF!$H67)*NtoN2O*kgtoGg,IF('Net zero activities &amp; levers'!$C$12="PB",('Activity data'!BA18*EF!$H49*EF!$H67)*NtoN2O*kgtoGg,IF('Net zero activities &amp; levers'!$C$12="MS",('Net zero Activity data'!BA18*EF!$H49*EF!$H67)*NtoN2O*kgtoGg,"ERROR")))</f>
        <v>3.523006462386518E-2</v>
      </c>
      <c r="AI961" s="93">
        <f>IF('Net zero activities &amp; levers'!$C$12="Off",('Activity data'!BB18*EF!$H49*EF!$H67)*NtoN2O*kgtoGg,IF('Net zero activities &amp; levers'!$C$12="PB",('Activity data'!BB18*EF!$H49*EF!$H67)*NtoN2O*kgtoGg,IF('Net zero activities &amp; levers'!$C$12="MS",('Net zero Activity data'!BB18*EF!$H49*EF!$H67)*NtoN2O*kgtoGg,"ERROR")))</f>
        <v>3.5532083043879219E-2</v>
      </c>
      <c r="AJ961" s="93">
        <f>IF('Net zero activities &amp; levers'!$C$12="Off",('Activity data'!BC18*EF!$H49*EF!$H67)*NtoN2O*kgtoGg,IF('Net zero activities &amp; levers'!$C$12="PB",('Activity data'!BC18*EF!$H49*EF!$H67)*NtoN2O*kgtoGg,IF('Net zero activities &amp; levers'!$C$12="MS",('Net zero Activity data'!BC18*EF!$H49*EF!$H67)*NtoN2O*kgtoGg,"ERROR")))</f>
        <v>3.5911633652141173E-2</v>
      </c>
      <c r="AK961" s="93">
        <f>IF('Net zero activities &amp; levers'!$C$12="Off",('Activity data'!BD18*EF!$H49*EF!$H67)*NtoN2O*kgtoGg,IF('Net zero activities &amp; levers'!$C$12="PB",('Activity data'!BD18*EF!$H49*EF!$H67)*NtoN2O*kgtoGg,IF('Net zero activities &amp; levers'!$C$12="MS",('Net zero Activity data'!BD18*EF!$H49*EF!$H67)*NtoN2O*kgtoGg,"ERROR")))</f>
        <v>3.6241165295680604E-2</v>
      </c>
      <c r="AL961" s="93">
        <f>IF('Net zero activities &amp; levers'!$C$12="Off",('Activity data'!BE18*EF!$H49*EF!$H67)*NtoN2O*kgtoGg,IF('Net zero activities &amp; levers'!$C$12="PB",('Activity data'!BE18*EF!$H49*EF!$H67)*NtoN2O*kgtoGg,IF('Net zero activities &amp; levers'!$C$12="MS",('Net zero Activity data'!BE18*EF!$H49*EF!$H67)*NtoN2O*kgtoGg,"ERROR")))</f>
        <v>3.6605788650157255E-2</v>
      </c>
      <c r="AM961" s="93">
        <f>IF('Net zero activities &amp; levers'!$C$12="Off",('Activity data'!BF18*EF!$H49*EF!$H67)*NtoN2O*kgtoGg,IF('Net zero activities &amp; levers'!$C$12="PB",('Activity data'!BF18*EF!$H49*EF!$H67)*NtoN2O*kgtoGg,IF('Net zero activities &amp; levers'!$C$12="MS",('Net zero Activity data'!BF18*EF!$H49*EF!$H67)*NtoN2O*kgtoGg,"ERROR")))</f>
        <v>3.6961450110584139E-2</v>
      </c>
      <c r="AN961" s="93">
        <f>IF('Net zero activities &amp; levers'!$C$12="Off",('Activity data'!BG18*EF!$H49*EF!$H67)*NtoN2O*kgtoGg,IF('Net zero activities &amp; levers'!$C$12="PB",('Activity data'!BG18*EF!$H49*EF!$H67)*NtoN2O*kgtoGg,IF('Net zero activities &amp; levers'!$C$12="MS",('Net zero Activity data'!BG18*EF!$H49*EF!$H67)*NtoN2O*kgtoGg,"ERROR")))</f>
        <v>3.7440289782188468E-2</v>
      </c>
      <c r="AO961" s="93">
        <f>IF('Net zero activities &amp; levers'!$C$12="Off",('Activity data'!BH18*EF!$H49*EF!$H67)*NtoN2O*kgtoGg,IF('Net zero activities &amp; levers'!$C$12="PB",('Activity data'!BH18*EF!$H49*EF!$H67)*NtoN2O*kgtoGg,IF('Net zero activities &amp; levers'!$C$12="MS",('Net zero Activity data'!BH18*EF!$H49*EF!$H67)*NtoN2O*kgtoGg,"ERROR")))</f>
        <v>3.7856098148438051E-2</v>
      </c>
      <c r="AP961" s="93">
        <f>IF('Net zero activities &amp; levers'!$C$12="Off",('Activity data'!BI18*EF!$H49*EF!$H67)*NtoN2O*kgtoGg,IF('Net zero activities &amp; levers'!$C$12="PB",('Activity data'!BI18*EF!$H49*EF!$H67)*NtoN2O*kgtoGg,IF('Net zero activities &amp; levers'!$C$12="MS",('Net zero Activity data'!BI18*EF!$H49*EF!$H67)*NtoN2O*kgtoGg,"ERROR")))</f>
        <v>3.82715369822701E-2</v>
      </c>
      <c r="AQ961" s="93">
        <f>IF('Net zero activities &amp; levers'!$C$12="Off",('Activity data'!BJ18*EF!$H49*EF!$H67)*NtoN2O*kgtoGg,IF('Net zero activities &amp; levers'!$C$12="PB",('Activity data'!BJ18*EF!$H49*EF!$H67)*NtoN2O*kgtoGg,IF('Net zero activities &amp; levers'!$C$12="MS",('Net zero Activity data'!BJ18*EF!$H49*EF!$H67)*NtoN2O*kgtoGg,"ERROR")))</f>
        <v>3.8701730455524434E-2</v>
      </c>
      <c r="AR961" s="93">
        <f>IF('Net zero activities &amp; levers'!$C$12="Off",('Activity data'!BK18*EF!$H49*EF!$H67)*NtoN2O*kgtoGg,IF('Net zero activities &amp; levers'!$C$12="PB",('Activity data'!BK18*EF!$H49*EF!$H67)*NtoN2O*kgtoGg,IF('Net zero activities &amp; levers'!$C$12="MS",('Net zero Activity data'!BK18*EF!$H49*EF!$H67)*NtoN2O*kgtoGg,"ERROR")))</f>
        <v>3.9151514362431208E-2</v>
      </c>
      <c r="AS961" s="93">
        <f>IF('Net zero activities &amp; levers'!$C$12="Off",('Activity data'!BL18*EF!$H49*EF!$H67)*NtoN2O*kgtoGg,IF('Net zero activities &amp; levers'!$C$12="PB",('Activity data'!BL18*EF!$H49*EF!$H67)*NtoN2O*kgtoGg,IF('Net zero activities &amp; levers'!$C$12="MS",('Net zero Activity data'!BL18*EF!$H49*EF!$H67)*NtoN2O*kgtoGg,"ERROR")))</f>
        <v>3.973767147919479E-2</v>
      </c>
      <c r="AT961" s="93">
        <f>IF('Net zero activities &amp; levers'!$C$12="Off",('Activity data'!BM18*EF!$H49*EF!$H67)*NtoN2O*kgtoGg,IF('Net zero activities &amp; levers'!$C$12="PB",('Activity data'!BM18*EF!$H49*EF!$H67)*NtoN2O*kgtoGg,IF('Net zero activities &amp; levers'!$C$12="MS",('Net zero Activity data'!BM18*EF!$H49*EF!$H67)*NtoN2O*kgtoGg,"ERROR")))</f>
        <v>3.9919199375928846E-2</v>
      </c>
      <c r="AU961" s="93">
        <f>IF('Net zero activities &amp; levers'!$C$12="Off",('Activity data'!BN18*EF!$H49*EF!$H67)*NtoN2O*kgtoGg,IF('Net zero activities &amp; levers'!$C$12="PB",('Activity data'!BN18*EF!$H49*EF!$H67)*NtoN2O*kgtoGg,IF('Net zero activities &amp; levers'!$C$12="MS",('Net zero Activity data'!BN18*EF!$H49*EF!$H67)*NtoN2O*kgtoGg,"ERROR")))</f>
        <v>4.0064188382797468E-2</v>
      </c>
      <c r="AV961" s="93">
        <f>IF('Net zero activities &amp; levers'!$C$12="Off",('Activity data'!BO18*EF!$H49*EF!$H67)*NtoN2O*kgtoGg,IF('Net zero activities &amp; levers'!$C$12="PB",('Activity data'!BO18*EF!$H49*EF!$H67)*NtoN2O*kgtoGg,IF('Net zero activities &amp; levers'!$C$12="MS",('Net zero Activity data'!BO18*EF!$H49*EF!$H67)*NtoN2O*kgtoGg,"ERROR")))</f>
        <v>4.0213714055816842E-2</v>
      </c>
      <c r="AW961" s="93">
        <f>IF('Net zero activities &amp; levers'!$C$12="Off",('Activity data'!BP18*EF!$H49*EF!$H67)*NtoN2O*kgtoGg,IF('Net zero activities &amp; levers'!$C$12="PB",('Activity data'!BP18*EF!$H49*EF!$H67)*NtoN2O*kgtoGg,IF('Net zero activities &amp; levers'!$C$12="MS",('Net zero Activity data'!BP18*EF!$H49*EF!$H67)*NtoN2O*kgtoGg,"ERROR")))</f>
        <v>4.0350561780624759E-2</v>
      </c>
      <c r="AY961" s="79"/>
      <c r="AZ961" s="79"/>
    </row>
    <row r="962" spans="1:52" x14ac:dyDescent="0.2">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0.32784224726088984</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0.33450793008613738</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0.35308310351311484</v>
      </c>
      <c r="P962" s="93">
        <f>IF('Net zero activities &amp; levers'!$C$12="Off",('Activity data'!AI19*EF!$H50*EF!$H68)*NtoN2O*kgtoGg,IF('Net zero activities &amp; levers'!$C$12="PB",('Activity data'!AI19*EF!$H50*EF!$H68)*NtoN2O*kgtoGg,IF('Net zero activities &amp; levers'!$C$12="MS",('Net zero Activity data'!AI19*EF!$H50*EF!$H68)*NtoN2O*kgtoGg,"ERROR")))</f>
        <v>0.35667649320457151</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0.36607496135357964</v>
      </c>
      <c r="S962" s="93">
        <f>IF('Net zero activities &amp; levers'!$C$12="Off",('Activity data'!AL19*EF!$H50*EF!$H68)*NtoN2O*kgtoGg,IF('Net zero activities &amp; levers'!$C$12="PB",('Activity data'!AL19*EF!$H50*EF!$H68)*NtoN2O*kgtoGg,IF('Net zero activities &amp; levers'!$C$12="MS",('Net zero Activity data'!AL19*EF!$H50*EF!$H68)*NtoN2O*kgtoGg,"ERROR")))</f>
        <v>0.35143183243338239</v>
      </c>
      <c r="T962" s="93">
        <f>IF('Net zero activities &amp; levers'!$C$12="Off",('Activity data'!AM19*EF!$H50*EF!$H68)*NtoN2O*kgtoGg,IF('Net zero activities &amp; levers'!$C$12="PB",('Activity data'!AM19*EF!$H50*EF!$H68)*NtoN2O*kgtoGg,IF('Net zero activities &amp; levers'!$C$12="MS",('Net zero Activity data'!AM19*EF!$H50*EF!$H68)*NtoN2O*kgtoGg,"ERROR")))</f>
        <v>0.36075285272545593</v>
      </c>
      <c r="U962" s="93">
        <f>IF('Net zero activities &amp; levers'!$C$12="Off",('Activity data'!AN19*EF!$H50*EF!$H68)*NtoN2O*kgtoGg,IF('Net zero activities &amp; levers'!$C$12="PB",('Activity data'!AN19*EF!$H50*EF!$H68)*NtoN2O*kgtoGg,IF('Net zero activities &amp; levers'!$C$12="MS",('Net zero Activity data'!AN19*EF!$H50*EF!$H68)*NtoN2O*kgtoGg,"ERROR")))</f>
        <v>0.36853031698633509</v>
      </c>
      <c r="V962" s="93">
        <f>IF('Net zero activities &amp; levers'!$C$12="Off",('Activity data'!AO19*EF!$H50*EF!$H68)*NtoN2O*kgtoGg,IF('Net zero activities &amp; levers'!$C$12="PB",('Activity data'!AO19*EF!$H50*EF!$H68)*NtoN2O*kgtoGg,IF('Net zero activities &amp; levers'!$C$12="MS",('Net zero Activity data'!AO19*EF!$H50*EF!$H68)*NtoN2O*kgtoGg,"ERROR")))</f>
        <v>0.37596763636775804</v>
      </c>
      <c r="W962" s="93">
        <f>IF('Net zero activities &amp; levers'!$C$12="Off",('Activity data'!AP19*EF!$H50*EF!$H68)*NtoN2O*kgtoGg,IF('Net zero activities &amp; levers'!$C$12="PB",('Activity data'!AP19*EF!$H50*EF!$H68)*NtoN2O*kgtoGg,IF('Net zero activities &amp; levers'!$C$12="MS",('Net zero Activity data'!AP19*EF!$H50*EF!$H68)*NtoN2O*kgtoGg,"ERROR")))</f>
        <v>0.38423631077311071</v>
      </c>
      <c r="X962" s="93">
        <f>IF('Net zero activities &amp; levers'!$C$12="Off",('Activity data'!AQ19*EF!$H50*EF!$H68)*NtoN2O*kgtoGg,IF('Net zero activities &amp; levers'!$C$12="PB",('Activity data'!AQ19*EF!$H50*EF!$H68)*NtoN2O*kgtoGg,IF('Net zero activities &amp; levers'!$C$12="MS",('Net zero Activity data'!AQ19*EF!$H50*EF!$H68)*NtoN2O*kgtoGg,"ERROR")))</f>
        <v>0.39220730600957571</v>
      </c>
      <c r="Y962" s="93">
        <f>IF('Net zero activities &amp; levers'!$C$12="Off",('Activity data'!AR19*EF!$H50*EF!$H68)*NtoN2O*kgtoGg,IF('Net zero activities &amp; levers'!$C$12="PB",('Activity data'!AR19*EF!$H50*EF!$H68)*NtoN2O*kgtoGg,IF('Net zero activities &amp; levers'!$C$12="MS",('Net zero Activity data'!AR19*EF!$H50*EF!$H68)*NtoN2O*kgtoGg,"ERROR")))</f>
        <v>0.39936428537617313</v>
      </c>
      <c r="Z962" s="93">
        <f>IF('Net zero activities &amp; levers'!$C$12="Off",('Activity data'!AS19*EF!$H50*EF!$H68)*NtoN2O*kgtoGg,IF('Net zero activities &amp; levers'!$C$12="PB",('Activity data'!AS19*EF!$H50*EF!$H68)*NtoN2O*kgtoGg,IF('Net zero activities &amp; levers'!$C$12="MS",('Net zero Activity data'!AS19*EF!$H50*EF!$H68)*NtoN2O*kgtoGg,"ERROR")))</f>
        <v>0.40634242638516721</v>
      </c>
      <c r="AA962" s="93">
        <f>IF('Net zero activities &amp; levers'!$C$12="Off",('Activity data'!AT19*EF!$H50*EF!$H68)*NtoN2O*kgtoGg,IF('Net zero activities &amp; levers'!$C$12="PB",('Activity data'!AT19*EF!$H50*EF!$H68)*NtoN2O*kgtoGg,IF('Net zero activities &amp; levers'!$C$12="MS",('Net zero Activity data'!AT19*EF!$H50*EF!$H68)*NtoN2O*kgtoGg,"ERROR")))</f>
        <v>0.41303118340854511</v>
      </c>
      <c r="AB962" s="93">
        <f>IF('Net zero activities &amp; levers'!$C$12="Off",('Activity data'!AU19*EF!$H50*EF!$H68)*NtoN2O*kgtoGg,IF('Net zero activities &amp; levers'!$C$12="PB",('Activity data'!AU19*EF!$H50*EF!$H68)*NtoN2O*kgtoGg,IF('Net zero activities &amp; levers'!$C$12="MS",('Net zero Activity data'!AU19*EF!$H50*EF!$H68)*NtoN2O*kgtoGg,"ERROR")))</f>
        <v>0.42107387695618559</v>
      </c>
      <c r="AC962" s="93">
        <f>IF('Net zero activities &amp; levers'!$C$12="Off",('Activity data'!AV19*EF!$H50*EF!$H68)*NtoN2O*kgtoGg,IF('Net zero activities &amp; levers'!$C$12="PB",('Activity data'!AV19*EF!$H50*EF!$H68)*NtoN2O*kgtoGg,IF('Net zero activities &amp; levers'!$C$12="MS",('Net zero Activity data'!AV19*EF!$H50*EF!$H68)*NtoN2O*kgtoGg,"ERROR")))</f>
        <v>0.42906142963568294</v>
      </c>
      <c r="AD962" s="93">
        <f>IF('Net zero activities &amp; levers'!$C$12="Off",('Activity data'!AW19*EF!$H50*EF!$H68)*NtoN2O*kgtoGg,IF('Net zero activities &amp; levers'!$C$12="PB",('Activity data'!AW19*EF!$H50*EF!$H68)*NtoN2O*kgtoGg,IF('Net zero activities &amp; levers'!$C$12="MS",('Net zero Activity data'!AW19*EF!$H50*EF!$H68)*NtoN2O*kgtoGg,"ERROR")))</f>
        <v>0.43743347438516689</v>
      </c>
      <c r="AE962" s="93">
        <f>IF('Net zero activities &amp; levers'!$C$12="Off",('Activity data'!AX19*EF!$H50*EF!$H68)*NtoN2O*kgtoGg,IF('Net zero activities &amp; levers'!$C$12="PB",('Activity data'!AX19*EF!$H50*EF!$H68)*NtoN2O*kgtoGg,IF('Net zero activities &amp; levers'!$C$12="MS",('Net zero Activity data'!AX19*EF!$H50*EF!$H68)*NtoN2O*kgtoGg,"ERROR")))</f>
        <v>0.44718290108725961</v>
      </c>
      <c r="AF962" s="93">
        <f>IF('Net zero activities &amp; levers'!$C$12="Off",('Activity data'!AY19*EF!$H50*EF!$H68)*NtoN2O*kgtoGg,IF('Net zero activities &amp; levers'!$C$12="PB",('Activity data'!AY19*EF!$H50*EF!$H68)*NtoN2O*kgtoGg,IF('Net zero activities &amp; levers'!$C$12="MS",('Net zero Activity data'!AY19*EF!$H50*EF!$H68)*NtoN2O*kgtoGg,"ERROR")))</f>
        <v>0.45765280094933275</v>
      </c>
      <c r="AG962" s="93">
        <f>IF('Net zero activities &amp; levers'!$C$12="Off",('Activity data'!AZ19*EF!$H50*EF!$H68)*NtoN2O*kgtoGg,IF('Net zero activities &amp; levers'!$C$12="PB",('Activity data'!AZ19*EF!$H50*EF!$H68)*NtoN2O*kgtoGg,IF('Net zero activities &amp; levers'!$C$12="MS",('Net zero Activity data'!AZ19*EF!$H50*EF!$H68)*NtoN2O*kgtoGg,"ERROR")))</f>
        <v>0.46964954754544574</v>
      </c>
      <c r="AH962" s="93">
        <f>IF('Net zero activities &amp; levers'!$C$12="Off",('Activity data'!BA19*EF!$H50*EF!$H68)*NtoN2O*kgtoGg,IF('Net zero activities &amp; levers'!$C$12="PB",('Activity data'!BA19*EF!$H50*EF!$H68)*NtoN2O*kgtoGg,IF('Net zero activities &amp; levers'!$C$12="MS",('Net zero Activity data'!BA19*EF!$H50*EF!$H68)*NtoN2O*kgtoGg,"ERROR")))</f>
        <v>0.47956610826401264</v>
      </c>
      <c r="AI962" s="93">
        <f>IF('Net zero activities &amp; levers'!$C$12="Off",('Activity data'!BB19*EF!$H50*EF!$H68)*NtoN2O*kgtoGg,IF('Net zero activities &amp; levers'!$C$12="PB",('Activity data'!BB19*EF!$H50*EF!$H68)*NtoN2O*kgtoGg,IF('Net zero activities &amp; levers'!$C$12="MS",('Net zero Activity data'!BB19*EF!$H50*EF!$H68)*NtoN2O*kgtoGg,"ERROR")))</f>
        <v>0.48905427439468169</v>
      </c>
      <c r="AJ962" s="93">
        <f>IF('Net zero activities &amp; levers'!$C$12="Off",('Activity data'!BC19*EF!$H50*EF!$H68)*NtoN2O*kgtoGg,IF('Net zero activities &amp; levers'!$C$12="PB",('Activity data'!BC19*EF!$H50*EF!$H68)*NtoN2O*kgtoGg,IF('Net zero activities &amp; levers'!$C$12="MS",('Net zero Activity data'!BC19*EF!$H50*EF!$H68)*NtoN2O*kgtoGg,"ERROR")))</f>
        <v>0.49936104134598547</v>
      </c>
      <c r="AK962" s="93">
        <f>IF('Net zero activities &amp; levers'!$C$12="Off",('Activity data'!BD19*EF!$H50*EF!$H68)*NtoN2O*kgtoGg,IF('Net zero activities &amp; levers'!$C$12="PB",('Activity data'!BD19*EF!$H50*EF!$H68)*NtoN2O*kgtoGg,IF('Net zero activities &amp; levers'!$C$12="MS",('Net zero Activity data'!BD19*EF!$H50*EF!$H68)*NtoN2O*kgtoGg,"ERROR")))</f>
        <v>0.5094502425603159</v>
      </c>
      <c r="AL962" s="93">
        <f>IF('Net zero activities &amp; levers'!$C$12="Off",('Activity data'!BE19*EF!$H50*EF!$H68)*NtoN2O*kgtoGg,IF('Net zero activities &amp; levers'!$C$12="PB",('Activity data'!BE19*EF!$H50*EF!$H68)*NtoN2O*kgtoGg,IF('Net zero activities &amp; levers'!$C$12="MS",('Net zero Activity data'!BE19*EF!$H50*EF!$H68)*NtoN2O*kgtoGg,"ERROR")))</f>
        <v>0.52003660978561117</v>
      </c>
      <c r="AM962" s="93">
        <f>IF('Net zero activities &amp; levers'!$C$12="Off",('Activity data'!BF19*EF!$H50*EF!$H68)*NtoN2O*kgtoGg,IF('Net zero activities &amp; levers'!$C$12="PB",('Activity data'!BF19*EF!$H50*EF!$H68)*NtoN2O*kgtoGg,IF('Net zero activities &amp; levers'!$C$12="MS",('Net zero Activity data'!BF19*EF!$H50*EF!$H68)*NtoN2O*kgtoGg,"ERROR")))</f>
        <v>0.53075624094362661</v>
      </c>
      <c r="AN962" s="93">
        <f>IF('Net zero activities &amp; levers'!$C$12="Off",('Activity data'!BG19*EF!$H50*EF!$H68)*NtoN2O*kgtoGg,IF('Net zero activities &amp; levers'!$C$12="PB",('Activity data'!BG19*EF!$H50*EF!$H68)*NtoN2O*kgtoGg,IF('Net zero activities &amp; levers'!$C$12="MS",('Net zero Activity data'!BG19*EF!$H50*EF!$H68)*NtoN2O*kgtoGg,"ERROR")))</f>
        <v>0.54254535314858965</v>
      </c>
      <c r="AO962" s="93">
        <f>IF('Net zero activities &amp; levers'!$C$12="Off",('Activity data'!BH19*EF!$H50*EF!$H68)*NtoN2O*kgtoGg,IF('Net zero activities &amp; levers'!$C$12="PB",('Activity data'!BH19*EF!$H50*EF!$H68)*NtoN2O*kgtoGg,IF('Net zero activities &amp; levers'!$C$12="MS",('Net zero Activity data'!BH19*EF!$H50*EF!$H68)*NtoN2O*kgtoGg,"ERROR")))</f>
        <v>0.55401935597193963</v>
      </c>
      <c r="AP962" s="93">
        <f>IF('Net zero activities &amp; levers'!$C$12="Off",('Activity data'!BI19*EF!$H50*EF!$H68)*NtoN2O*kgtoGg,IF('Net zero activities &amp; levers'!$C$12="PB",('Activity data'!BI19*EF!$H50*EF!$H68)*NtoN2O*kgtoGg,IF('Net zero activities &amp; levers'!$C$12="MS",('Net zero Activity data'!BI19*EF!$H50*EF!$H68)*NtoN2O*kgtoGg,"ERROR")))</f>
        <v>0.56573487647354037</v>
      </c>
      <c r="AQ962" s="93">
        <f>IF('Net zero activities &amp; levers'!$C$12="Off",('Activity data'!BJ19*EF!$H50*EF!$H68)*NtoN2O*kgtoGg,IF('Net zero activities &amp; levers'!$C$12="PB",('Activity data'!BJ19*EF!$H50*EF!$H68)*NtoN2O*kgtoGg,IF('Net zero activities &amp; levers'!$C$12="MS",('Net zero Activity data'!BJ19*EF!$H50*EF!$H68)*NtoN2O*kgtoGg,"ERROR")))</f>
        <v>0.57784177154062866</v>
      </c>
      <c r="AR962" s="93">
        <f>IF('Net zero activities &amp; levers'!$C$12="Off",('Activity data'!BK19*EF!$H50*EF!$H68)*NtoN2O*kgtoGg,IF('Net zero activities &amp; levers'!$C$12="PB",('Activity data'!BK19*EF!$H50*EF!$H68)*NtoN2O*kgtoGg,IF('Net zero activities &amp; levers'!$C$12="MS",('Net zero Activity data'!BK19*EF!$H50*EF!$H68)*NtoN2O*kgtoGg,"ERROR")))</f>
        <v>0.59040171392478091</v>
      </c>
      <c r="AS962" s="93">
        <f>IF('Net zero activities &amp; levers'!$C$12="Off",('Activity data'!BL19*EF!$H50*EF!$H68)*NtoN2O*kgtoGg,IF('Net zero activities &amp; levers'!$C$12="PB",('Activity data'!BL19*EF!$H50*EF!$H68)*NtoN2O*kgtoGg,IF('Net zero activities &amp; levers'!$C$12="MS",('Net zero Activity data'!BL19*EF!$H50*EF!$H68)*NtoN2O*kgtoGg,"ERROR")))</f>
        <v>0.60432458622346374</v>
      </c>
      <c r="AT962" s="93">
        <f>IF('Net zero activities &amp; levers'!$C$12="Off",('Activity data'!BM19*EF!$H50*EF!$H68)*NtoN2O*kgtoGg,IF('Net zero activities &amp; levers'!$C$12="PB",('Activity data'!BM19*EF!$H50*EF!$H68)*NtoN2O*kgtoGg,IF('Net zero activities &amp; levers'!$C$12="MS",('Net zero Activity data'!BM19*EF!$H50*EF!$H68)*NtoN2O*kgtoGg,"ERROR")))</f>
        <v>0.61453867581789445</v>
      </c>
      <c r="AU962" s="93">
        <f>IF('Net zero activities &amp; levers'!$C$12="Off",('Activity data'!BN19*EF!$H50*EF!$H68)*NtoN2O*kgtoGg,IF('Net zero activities &amp; levers'!$C$12="PB",('Activity data'!BN19*EF!$H50*EF!$H68)*NtoN2O*kgtoGg,IF('Net zero activities &amp; levers'!$C$12="MS",('Net zero Activity data'!BN19*EF!$H50*EF!$H68)*NtoN2O*kgtoGg,"ERROR")))</f>
        <v>0.62457515677108666</v>
      </c>
      <c r="AV962" s="93">
        <f>IF('Net zero activities &amp; levers'!$C$12="Off",('Activity data'!BO19*EF!$H50*EF!$H68)*NtoN2O*kgtoGg,IF('Net zero activities &amp; levers'!$C$12="PB",('Activity data'!BO19*EF!$H50*EF!$H68)*NtoN2O*kgtoGg,IF('Net zero activities &amp; levers'!$C$12="MS",('Net zero Activity data'!BO19*EF!$H50*EF!$H68)*NtoN2O*kgtoGg,"ERROR")))</f>
        <v>0.63484544126508857</v>
      </c>
      <c r="AW962" s="93">
        <f>IF('Net zero activities &amp; levers'!$C$12="Off",('Activity data'!BP19*EF!$H50*EF!$H68)*NtoN2O*kgtoGg,IF('Net zero activities &amp; levers'!$C$12="PB",('Activity data'!BP19*EF!$H50*EF!$H68)*NtoN2O*kgtoGg,IF('Net zero activities &amp; levers'!$C$12="MS",('Net zero Activity data'!BP19*EF!$H50*EF!$H68)*NtoN2O*kgtoGg,"ERROR")))</f>
        <v>0.64517661361237144</v>
      </c>
      <c r="AY962" s="79"/>
      <c r="AZ962" s="79"/>
    </row>
    <row r="963" spans="1:52" x14ac:dyDescent="0.2">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1.7017151675634961</v>
      </c>
      <c r="L963" s="93">
        <f>IF('Net zero activities &amp; levers'!$C$12="Off",('Activity data'!AE20*EF!$H51*EF!$H69)*NtoN2O*kgtoGg,IF('Net zero activities &amp; levers'!$C$12="PB",('Activity data'!AE20*EF!$H51*EF!$H69)*NtoN2O*kgtoGg,IF('Net zero activities &amp; levers'!$C$12="MS",('Net zero Activity data'!AE20*EF!$H51*EF!$H69)*NtoN2O*kgtoGg,"ERROR")))</f>
        <v>1.7241237147327644</v>
      </c>
      <c r="M963" s="93">
        <f>IF('Net zero activities &amp; levers'!$C$12="Off",('Activity data'!AF20*EF!$H51*EF!$H69)*NtoN2O*kgtoGg,IF('Net zero activities &amp; levers'!$C$12="PB",('Activity data'!AF20*EF!$H51*EF!$H69)*NtoN2O*kgtoGg,IF('Net zero activities &amp; levers'!$C$12="MS",('Net zero Activity data'!AF20*EF!$H51*EF!$H69)*NtoN2O*kgtoGg,"ERROR")))</f>
        <v>1.7601182693498112</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1.7315152516158574</v>
      </c>
      <c r="R963" s="93">
        <f>IF('Net zero activities &amp; levers'!$C$12="Off",('Activity data'!AK20*EF!$H51*EF!$H69)*NtoN2O*kgtoGg,IF('Net zero activities &amp; levers'!$C$12="PB",('Activity data'!AK20*EF!$H51*EF!$H69)*NtoN2O*kgtoGg,IF('Net zero activities &amp; levers'!$C$12="MS",('Net zero Activity data'!AK20*EF!$H51*EF!$H69)*NtoN2O*kgtoGg,"ERROR")))</f>
        <v>1.7240481490859678</v>
      </c>
      <c r="S963" s="93">
        <f>IF('Net zero activities &amp; levers'!$C$12="Off",('Activity data'!AL20*EF!$H51*EF!$H69)*NtoN2O*kgtoGg,IF('Net zero activities &amp; levers'!$C$12="PB",('Activity data'!AL20*EF!$H51*EF!$H69)*NtoN2O*kgtoGg,IF('Net zero activities &amp; levers'!$C$12="MS",('Net zero Activity data'!AL20*EF!$H51*EF!$H69)*NtoN2O*kgtoGg,"ERROR")))</f>
        <v>1.4738757031674365</v>
      </c>
      <c r="T963" s="93">
        <f>IF('Net zero activities &amp; levers'!$C$12="Off",('Activity data'!AM20*EF!$H51*EF!$H69)*NtoN2O*kgtoGg,IF('Net zero activities &amp; levers'!$C$12="PB",('Activity data'!AM20*EF!$H51*EF!$H69)*NtoN2O*kgtoGg,IF('Net zero activities &amp; levers'!$C$12="MS",('Net zero Activity data'!AM20*EF!$H51*EF!$H69)*NtoN2O*kgtoGg,"ERROR")))</f>
        <v>1.5388372787954712</v>
      </c>
      <c r="U963" s="93">
        <f>IF('Net zero activities &amp; levers'!$C$12="Off",('Activity data'!AN20*EF!$H51*EF!$H69)*NtoN2O*kgtoGg,IF('Net zero activities &amp; levers'!$C$12="PB",('Activity data'!AN20*EF!$H51*EF!$H69)*NtoN2O*kgtoGg,IF('Net zero activities &amp; levers'!$C$12="MS",('Net zero Activity data'!AN20*EF!$H51*EF!$H69)*NtoN2O*kgtoGg,"ERROR")))</f>
        <v>1.5836036619864218</v>
      </c>
      <c r="V963" s="93">
        <f>IF('Net zero activities &amp; levers'!$C$12="Off",('Activity data'!AO20*EF!$H51*EF!$H69)*NtoN2O*kgtoGg,IF('Net zero activities &amp; levers'!$C$12="PB",('Activity data'!AO20*EF!$H51*EF!$H69)*NtoN2O*kgtoGg,IF('Net zero activities &amp; levers'!$C$12="MS",('Net zero Activity data'!AO20*EF!$H51*EF!$H69)*NtoN2O*kgtoGg,"ERROR")))</f>
        <v>1.6233328828738469</v>
      </c>
      <c r="W963" s="93">
        <f>IF('Net zero activities &amp; levers'!$C$12="Off",('Activity data'!AP20*EF!$H51*EF!$H69)*NtoN2O*kgtoGg,IF('Net zero activities &amp; levers'!$C$12="PB",('Activity data'!AP20*EF!$H51*EF!$H69)*NtoN2O*kgtoGg,IF('Net zero activities &amp; levers'!$C$12="MS",('Net zero Activity data'!AP20*EF!$H51*EF!$H69)*NtoN2O*kgtoGg,"ERROR")))</f>
        <v>1.6722487915194271</v>
      </c>
      <c r="X963" s="93">
        <f>IF('Net zero activities &amp; levers'!$C$12="Off",('Activity data'!AQ20*EF!$H51*EF!$H69)*NtoN2O*kgtoGg,IF('Net zero activities &amp; levers'!$C$12="PB",('Activity data'!AQ20*EF!$H51*EF!$H69)*NtoN2O*kgtoGg,IF('Net zero activities &amp; levers'!$C$12="MS",('Net zero Activity data'!AQ20*EF!$H51*EF!$H69)*NtoN2O*kgtoGg,"ERROR")))</f>
        <v>1.7166486312949987</v>
      </c>
      <c r="Y963" s="93">
        <f>IF('Net zero activities &amp; levers'!$C$12="Off",('Activity data'!AR20*EF!$H51*EF!$H69)*NtoN2O*kgtoGg,IF('Net zero activities &amp; levers'!$C$12="PB",('Activity data'!AR20*EF!$H51*EF!$H69)*NtoN2O*kgtoGg,IF('Net zero activities &amp; levers'!$C$12="MS",('Net zero Activity data'!AR20*EF!$H51*EF!$H69)*NtoN2O*kgtoGg,"ERROR")))</f>
        <v>1.7558377432347874</v>
      </c>
      <c r="Z963" s="93">
        <f>IF('Net zero activities &amp; levers'!$C$12="Off",('Activity data'!AS20*EF!$H51*EF!$H69)*NtoN2O*kgtoGg,IF('Net zero activities &amp; levers'!$C$12="PB",('Activity data'!AS20*EF!$H51*EF!$H69)*NtoN2O*kgtoGg,IF('Net zero activities &amp; levers'!$C$12="MS",('Net zero Activity data'!AS20*EF!$H51*EF!$H69)*NtoN2O*kgtoGg,"ERROR")))</f>
        <v>1.7922488857917309</v>
      </c>
      <c r="AA963" s="93">
        <f>IF('Net zero activities &amp; levers'!$C$12="Off",('Activity data'!AT20*EF!$H51*EF!$H69)*NtoN2O*kgtoGg,IF('Net zero activities &amp; levers'!$C$12="PB",('Activity data'!AT20*EF!$H51*EF!$H69)*NtoN2O*kgtoGg,IF('Net zero activities &amp; levers'!$C$12="MS",('Net zero Activity data'!AT20*EF!$H51*EF!$H69)*NtoN2O*kgtoGg,"ERROR")))</f>
        <v>1.8246587141077992</v>
      </c>
      <c r="AB963" s="93">
        <f>IF('Net zero activities &amp; levers'!$C$12="Off",('Activity data'!AU20*EF!$H51*EF!$H69)*NtoN2O*kgtoGg,IF('Net zero activities &amp; levers'!$C$12="PB",('Activity data'!AU20*EF!$H51*EF!$H69)*NtoN2O*kgtoGg,IF('Net zero activities &amp; levers'!$C$12="MS",('Net zero Activity data'!AU20*EF!$H51*EF!$H69)*NtoN2O*kgtoGg,"ERROR")))</f>
        <v>1.8721447091119181</v>
      </c>
      <c r="AC963" s="93">
        <f>IF('Net zero activities &amp; levers'!$C$12="Off",('Activity data'!AV20*EF!$H51*EF!$H69)*NtoN2O*kgtoGg,IF('Net zero activities &amp; levers'!$C$12="PB",('Activity data'!AV20*EF!$H51*EF!$H69)*NtoN2O*kgtoGg,IF('Net zero activities &amp; levers'!$C$12="MS",('Net zero Activity data'!AV20*EF!$H51*EF!$H69)*NtoN2O*kgtoGg,"ERROR")))</f>
        <v>1.9182061569635991</v>
      </c>
      <c r="AD963" s="93">
        <f>IF('Net zero activities &amp; levers'!$C$12="Off",('Activity data'!AW20*EF!$H51*EF!$H69)*NtoN2O*kgtoGg,IF('Net zero activities &amp; levers'!$C$12="PB",('Activity data'!AW20*EF!$H51*EF!$H69)*NtoN2O*kgtoGg,IF('Net zero activities &amp; levers'!$C$12="MS",('Net zero Activity data'!AW20*EF!$H51*EF!$H69)*NtoN2O*kgtoGg,"ERROR")))</f>
        <v>1.9720971341440943</v>
      </c>
      <c r="AE963" s="93">
        <f>IF('Net zero activities &amp; levers'!$C$12="Off",('Activity data'!AX20*EF!$H51*EF!$H69)*NtoN2O*kgtoGg,IF('Net zero activities &amp; levers'!$C$12="PB",('Activity data'!AX20*EF!$H51*EF!$H69)*NtoN2O*kgtoGg,IF('Net zero activities &amp; levers'!$C$12="MS",('Net zero Activity data'!AX20*EF!$H51*EF!$H69)*NtoN2O*kgtoGg,"ERROR")))</f>
        <v>2.0407669485031263</v>
      </c>
      <c r="AF963" s="93">
        <f>IF('Net zero activities &amp; levers'!$C$12="Off",('Activity data'!AY20*EF!$H51*EF!$H69)*NtoN2O*kgtoGg,IF('Net zero activities &amp; levers'!$C$12="PB",('Activity data'!AY20*EF!$H51*EF!$H69)*NtoN2O*kgtoGg,IF('Net zero activities &amp; levers'!$C$12="MS",('Net zero Activity data'!AY20*EF!$H51*EF!$H69)*NtoN2O*kgtoGg,"ERROR")))</f>
        <v>2.1165368943229095</v>
      </c>
      <c r="AG963" s="93">
        <f>IF('Net zero activities &amp; levers'!$C$12="Off",('Activity data'!AZ20*EF!$H51*EF!$H69)*NtoN2O*kgtoGg,IF('Net zero activities &amp; levers'!$C$12="PB",('Activity data'!AZ20*EF!$H51*EF!$H69)*NtoN2O*kgtoGg,IF('Net zero activities &amp; levers'!$C$12="MS",('Net zero Activity data'!AZ20*EF!$H51*EF!$H69)*NtoN2O*kgtoGg,"ERROR")))</f>
        <v>2.2082604288024275</v>
      </c>
      <c r="AH963" s="93">
        <f>IF('Net zero activities &amp; levers'!$C$12="Off",('Activity data'!BA20*EF!$H51*EF!$H69)*NtoN2O*kgtoGg,IF('Net zero activities &amp; levers'!$C$12="PB",('Activity data'!BA20*EF!$H51*EF!$H69)*NtoN2O*kgtoGg,IF('Net zero activities &amp; levers'!$C$12="MS",('Net zero Activity data'!BA20*EF!$H51*EF!$H69)*NtoN2O*kgtoGg,"ERROR")))</f>
        <v>2.275680198252084</v>
      </c>
      <c r="AI963" s="93">
        <f>IF('Net zero activities &amp; levers'!$C$12="Off",('Activity data'!BB20*EF!$H51*EF!$H69)*NtoN2O*kgtoGg,IF('Net zero activities &amp; levers'!$C$12="PB",('Activity data'!BB20*EF!$H51*EF!$H69)*NtoN2O*kgtoGg,IF('Net zero activities &amp; levers'!$C$12="MS",('Net zero Activity data'!BB20*EF!$H51*EF!$H69)*NtoN2O*kgtoGg,"ERROR")))</f>
        <v>2.3413904736766207</v>
      </c>
      <c r="AJ963" s="93">
        <f>IF('Net zero activities &amp; levers'!$C$12="Off",('Activity data'!BC20*EF!$H51*EF!$H69)*NtoN2O*kgtoGg,IF('Net zero activities &amp; levers'!$C$12="PB",('Activity data'!BC20*EF!$H51*EF!$H69)*NtoN2O*kgtoGg,IF('Net zero activities &amp; levers'!$C$12="MS",('Net zero Activity data'!BC20*EF!$H51*EF!$H69)*NtoN2O*kgtoGg,"ERROR")))</f>
        <v>2.415218944506448</v>
      </c>
      <c r="AK963" s="93">
        <f>IF('Net zero activities &amp; levers'!$C$12="Off",('Activity data'!BD20*EF!$H51*EF!$H69)*NtoN2O*kgtoGg,IF('Net zero activities &amp; levers'!$C$12="PB",('Activity data'!BD20*EF!$H51*EF!$H69)*NtoN2O*kgtoGg,IF('Net zero activities &amp; levers'!$C$12="MS",('Net zero Activity data'!BD20*EF!$H51*EF!$H69)*NtoN2O*kgtoGg,"ERROR")))</f>
        <v>2.4857625444009255</v>
      </c>
      <c r="AL963" s="93">
        <f>IF('Net zero activities &amp; levers'!$C$12="Off",('Activity data'!BE20*EF!$H51*EF!$H69)*NtoN2O*kgtoGg,IF('Net zero activities &amp; levers'!$C$12="PB",('Activity data'!BE20*EF!$H51*EF!$H69)*NtoN2O*kgtoGg,IF('Net zero activities &amp; levers'!$C$12="MS",('Net zero Activity data'!BE20*EF!$H51*EF!$H69)*NtoN2O*kgtoGg,"ERROR")))</f>
        <v>2.5608054567251783</v>
      </c>
      <c r="AM963" s="93">
        <f>IF('Net zero activities &amp; levers'!$C$12="Off",('Activity data'!BF20*EF!$H51*EF!$H69)*NtoN2O*kgtoGg,IF('Net zero activities &amp; levers'!$C$12="PB",('Activity data'!BF20*EF!$H51*EF!$H69)*NtoN2O*kgtoGg,IF('Net zero activities &amp; levers'!$C$12="MS",('Net zero Activity data'!BF20*EF!$H51*EF!$H69)*NtoN2O*kgtoGg,"ERROR")))</f>
        <v>2.6363672729917886</v>
      </c>
      <c r="AN963" s="93">
        <f>IF('Net zero activities &amp; levers'!$C$12="Off",('Activity data'!BG20*EF!$H51*EF!$H69)*NtoN2O*kgtoGg,IF('Net zero activities &amp; levers'!$C$12="PB",('Activity data'!BG20*EF!$H51*EF!$H69)*NtoN2O*kgtoGg,IF('Net zero activities &amp; levers'!$C$12="MS",('Net zero Activity data'!BG20*EF!$H51*EF!$H69)*NtoN2O*kgtoGg,"ERROR")))</f>
        <v>2.7260471010137848</v>
      </c>
      <c r="AO963" s="93">
        <f>IF('Net zero activities &amp; levers'!$C$12="Off",('Activity data'!BH20*EF!$H51*EF!$H69)*NtoN2O*kgtoGg,IF('Net zero activities &amp; levers'!$C$12="PB",('Activity data'!BH20*EF!$H51*EF!$H69)*NtoN2O*kgtoGg,IF('Net zero activities &amp; levers'!$C$12="MS",('Net zero Activity data'!BH20*EF!$H51*EF!$H69)*NtoN2O*kgtoGg,"ERROR")))</f>
        <v>2.8113754255419443</v>
      </c>
      <c r="AP963" s="93">
        <f>IF('Net zero activities &amp; levers'!$C$12="Off",('Activity data'!BI20*EF!$H51*EF!$H69)*NtoN2O*kgtoGg,IF('Net zero activities &amp; levers'!$C$12="PB",('Activity data'!BI20*EF!$H51*EF!$H69)*NtoN2O*kgtoGg,IF('Net zero activities &amp; levers'!$C$12="MS",('Net zero Activity data'!BI20*EF!$H51*EF!$H69)*NtoN2O*kgtoGg,"ERROR")))</f>
        <v>2.8983044964731111</v>
      </c>
      <c r="AQ963" s="93">
        <f>IF('Net zero activities &amp; levers'!$C$12="Off",('Activity data'!BJ20*EF!$H51*EF!$H69)*NtoN2O*kgtoGg,IF('Net zero activities &amp; levers'!$C$12="PB",('Activity data'!BJ20*EF!$H51*EF!$H69)*NtoN2O*kgtoGg,IF('Net zero activities &amp; levers'!$C$12="MS",('Net zero Activity data'!BJ20*EF!$H51*EF!$H69)*NtoN2O*kgtoGg,"ERROR")))</f>
        <v>2.9883855152257053</v>
      </c>
      <c r="AR963" s="93">
        <f>IF('Net zero activities &amp; levers'!$C$12="Off",('Activity data'!BK20*EF!$H51*EF!$H69)*NtoN2O*kgtoGg,IF('Net zero activities &amp; levers'!$C$12="PB",('Activity data'!BK20*EF!$H51*EF!$H69)*NtoN2O*kgtoGg,IF('Net zero activities &amp; levers'!$C$12="MS",('Net zero Activity data'!BK20*EF!$H51*EF!$H69)*NtoN2O*kgtoGg,"ERROR")))</f>
        <v>3.0822159477018669</v>
      </c>
      <c r="AS963" s="93">
        <f>IF('Net zero activities &amp; levers'!$C$12="Off",('Activity data'!BL20*EF!$H51*EF!$H69)*NtoN2O*kgtoGg,IF('Net zero activities &amp; levers'!$C$12="PB",('Activity data'!BL20*EF!$H51*EF!$H69)*NtoN2O*kgtoGg,IF('Net zero activities &amp; levers'!$C$12="MS",('Net zero Activity data'!BL20*EF!$H51*EF!$H69)*NtoN2O*kgtoGg,"ERROR")))</f>
        <v>3.1927841339465477</v>
      </c>
      <c r="AT963" s="93">
        <f>IF('Net zero activities &amp; levers'!$C$12="Off",('Activity data'!BM20*EF!$H51*EF!$H69)*NtoN2O*kgtoGg,IF('Net zero activities &amp; levers'!$C$12="PB",('Activity data'!BM20*EF!$H51*EF!$H69)*NtoN2O*kgtoGg,IF('Net zero activities &amp; levers'!$C$12="MS",('Net zero Activity data'!BM20*EF!$H51*EF!$H69)*NtoN2O*kgtoGg,"ERROR")))</f>
        <v>3.2639921874822613</v>
      </c>
      <c r="AU963" s="93">
        <f>IF('Net zero activities &amp; levers'!$C$12="Off",('Activity data'!BN20*EF!$H51*EF!$H69)*NtoN2O*kgtoGg,IF('Net zero activities &amp; levers'!$C$12="PB",('Activity data'!BN20*EF!$H51*EF!$H69)*NtoN2O*kgtoGg,IF('Net zero activities &amp; levers'!$C$12="MS",('Net zero Activity data'!BN20*EF!$H51*EF!$H69)*NtoN2O*kgtoGg,"ERROR")))</f>
        <v>3.3326892535191242</v>
      </c>
      <c r="AV963" s="93">
        <f>IF('Net zero activities &amp; levers'!$C$12="Off",('Activity data'!BO20*EF!$H51*EF!$H69)*NtoN2O*kgtoGg,IF('Net zero activities &amp; levers'!$C$12="PB",('Activity data'!BO20*EF!$H51*EF!$H69)*NtoN2O*kgtoGg,IF('Net zero activities &amp; levers'!$C$12="MS",('Net zero Activity data'!BO20*EF!$H51*EF!$H69)*NtoN2O*kgtoGg,"ERROR")))</f>
        <v>3.4031153641230509</v>
      </c>
      <c r="AW963" s="93">
        <f>IF('Net zero activities &amp; levers'!$C$12="Off",('Activity data'!BP20*EF!$H51*EF!$H69)*NtoN2O*kgtoGg,IF('Net zero activities &amp; levers'!$C$12="PB",('Activity data'!BP20*EF!$H51*EF!$H69)*NtoN2O*kgtoGg,IF('Net zero activities &amp; levers'!$C$12="MS",('Net zero Activity data'!BP20*EF!$H51*EF!$H69)*NtoN2O*kgtoGg,"ERROR")))</f>
        <v>3.4734928434212469</v>
      </c>
      <c r="AY963" s="79"/>
      <c r="AZ963" s="79"/>
    </row>
    <row r="964" spans="1:52" x14ac:dyDescent="0.2">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1.3660093635870424E-2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1.3937830420255738E-2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1.4711795979713135E-2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1.5253123389732504E-2</v>
      </c>
      <c r="S964" s="93">
        <f>IF('Net zero activities &amp; levers'!$C$12="Off",('Activity data'!AL21*EF!$H52*EF!$H70)*NtoN2O*kgtoGg,IF('Net zero activities &amp; levers'!$C$12="PB",('Activity data'!AL21*EF!$H52*EF!$H70)*NtoN2O*kgtoGg,IF('Net zero activities &amp; levers'!$C$12="MS",('Net zero Activity data'!AL21*EF!$H52*EF!$H70)*NtoN2O*kgtoGg,"ERROR")))</f>
        <v>1.4642993018057613E-2</v>
      </c>
      <c r="T964" s="93">
        <f>IF('Net zero activities &amp; levers'!$C$12="Off",('Activity data'!AM21*EF!$H52*EF!$H70)*NtoN2O*kgtoGg,IF('Net zero activities &amp; levers'!$C$12="PB",('Activity data'!AM21*EF!$H52*EF!$H70)*NtoN2O*kgtoGg,IF('Net zero activities &amp; levers'!$C$12="MS",('Net zero Activity data'!AM21*EF!$H52*EF!$H70)*NtoN2O*kgtoGg,"ERROR")))</f>
        <v>1.5031368863560678E-2</v>
      </c>
      <c r="U964" s="93">
        <f>IF('Net zero activities &amp; levers'!$C$12="Off",('Activity data'!AN21*EF!$H52*EF!$H70)*NtoN2O*kgtoGg,IF('Net zero activities &amp; levers'!$C$12="PB",('Activity data'!AN21*EF!$H52*EF!$H70)*NtoN2O*kgtoGg,IF('Net zero activities &amp; levers'!$C$12="MS",('Net zero Activity data'!AN21*EF!$H52*EF!$H70)*NtoN2O*kgtoGg,"ERROR")))</f>
        <v>1.5355429874430639E-2</v>
      </c>
      <c r="V964" s="93">
        <f>IF('Net zero activities &amp; levers'!$C$12="Off",('Activity data'!AO21*EF!$H52*EF!$H70)*NtoN2O*kgtoGg,IF('Net zero activities &amp; levers'!$C$12="PB",('Activity data'!AO21*EF!$H52*EF!$H70)*NtoN2O*kgtoGg,IF('Net zero activities &amp; levers'!$C$12="MS",('Net zero Activity data'!AO21*EF!$H52*EF!$H70)*NtoN2O*kgtoGg,"ERROR")))</f>
        <v>1.5665318181989931E-2</v>
      </c>
      <c r="W964" s="93">
        <f>IF('Net zero activities &amp; levers'!$C$12="Off",('Activity data'!AP21*EF!$H52*EF!$H70)*NtoN2O*kgtoGg,IF('Net zero activities &amp; levers'!$C$12="PB",('Activity data'!AP21*EF!$H52*EF!$H70)*NtoN2O*kgtoGg,IF('Net zero activities &amp; levers'!$C$12="MS",('Net zero Activity data'!AP21*EF!$H52*EF!$H70)*NtoN2O*kgtoGg,"ERROR")))</f>
        <v>1.6009846282212959E-2</v>
      </c>
      <c r="X964" s="93">
        <f>IF('Net zero activities &amp; levers'!$C$12="Off",('Activity data'!AQ21*EF!$H52*EF!$H70)*NtoN2O*kgtoGg,IF('Net zero activities &amp; levers'!$C$12="PB",('Activity data'!AQ21*EF!$H52*EF!$H70)*NtoN2O*kgtoGg,IF('Net zero activities &amp; levers'!$C$12="MS",('Net zero Activity data'!AQ21*EF!$H52*EF!$H70)*NtoN2O*kgtoGg,"ERROR")))</f>
        <v>1.6341971083732341E-2</v>
      </c>
      <c r="Y964" s="93">
        <f>IF('Net zero activities &amp; levers'!$C$12="Off",('Activity data'!AR21*EF!$H52*EF!$H70)*NtoN2O*kgtoGg,IF('Net zero activities &amp; levers'!$C$12="PB",('Activity data'!AR21*EF!$H52*EF!$H70)*NtoN2O*kgtoGg,IF('Net zero activities &amp; levers'!$C$12="MS",('Net zero Activity data'!AR21*EF!$H52*EF!$H70)*NtoN2O*kgtoGg,"ERROR")))</f>
        <v>1.6640178557340561E-2</v>
      </c>
      <c r="Z964" s="93">
        <f>IF('Net zero activities &amp; levers'!$C$12="Off",('Activity data'!AS21*EF!$H52*EF!$H70)*NtoN2O*kgtoGg,IF('Net zero activities &amp; levers'!$C$12="PB",('Activity data'!AS21*EF!$H52*EF!$H70)*NtoN2O*kgtoGg,IF('Net zero activities &amp; levers'!$C$12="MS",('Net zero Activity data'!AS21*EF!$H52*EF!$H70)*NtoN2O*kgtoGg,"ERROR")))</f>
        <v>1.693093443271531E-2</v>
      </c>
      <c r="AA964" s="93">
        <f>IF('Net zero activities &amp; levers'!$C$12="Off",('Activity data'!AT21*EF!$H52*EF!$H70)*NtoN2O*kgtoGg,IF('Net zero activities &amp; levers'!$C$12="PB",('Activity data'!AT21*EF!$H52*EF!$H70)*NtoN2O*kgtoGg,IF('Net zero activities &amp; levers'!$C$12="MS",('Net zero Activity data'!AT21*EF!$H52*EF!$H70)*NtoN2O*kgtoGg,"ERROR")))</f>
        <v>1.7209632642022729E-2</v>
      </c>
      <c r="AB964" s="93">
        <f>IF('Net zero activities &amp; levers'!$C$12="Off",('Activity data'!AU21*EF!$H52*EF!$H70)*NtoN2O*kgtoGg,IF('Net zero activities &amp; levers'!$C$12="PB",('Activity data'!AU21*EF!$H52*EF!$H70)*NtoN2O*kgtoGg,IF('Net zero activities &amp; levers'!$C$12="MS",('Net zero Activity data'!AU21*EF!$H52*EF!$H70)*NtoN2O*kgtoGg,"ERROR")))</f>
        <v>1.7544744873174416E-2</v>
      </c>
      <c r="AC964" s="93">
        <f>IF('Net zero activities &amp; levers'!$C$12="Off",('Activity data'!AV21*EF!$H52*EF!$H70)*NtoN2O*kgtoGg,IF('Net zero activities &amp; levers'!$C$12="PB",('Activity data'!AV21*EF!$H52*EF!$H70)*NtoN2O*kgtoGg,IF('Net zero activities &amp; levers'!$C$12="MS",('Net zero Activity data'!AV21*EF!$H52*EF!$H70)*NtoN2O*kgtoGg,"ERROR")))</f>
        <v>1.7877559568153477E-2</v>
      </c>
      <c r="AD964" s="93">
        <f>IF('Net zero activities &amp; levers'!$C$12="Off",('Activity data'!AW21*EF!$H52*EF!$H70)*NtoN2O*kgtoGg,IF('Net zero activities &amp; levers'!$C$12="PB",('Activity data'!AW21*EF!$H52*EF!$H70)*NtoN2O*kgtoGg,IF('Net zero activities &amp; levers'!$C$12="MS",('Net zero Activity data'!AW21*EF!$H52*EF!$H70)*NtoN2O*kgtoGg,"ERROR")))</f>
        <v>1.8226394766048638E-2</v>
      </c>
      <c r="AE964" s="93">
        <f>IF('Net zero activities &amp; levers'!$C$12="Off",('Activity data'!AX21*EF!$H52*EF!$H70)*NtoN2O*kgtoGg,IF('Net zero activities &amp; levers'!$C$12="PB",('Activity data'!AX21*EF!$H52*EF!$H70)*NtoN2O*kgtoGg,IF('Net zero activities &amp; levers'!$C$12="MS",('Net zero Activity data'!AX21*EF!$H52*EF!$H70)*NtoN2O*kgtoGg,"ERROR")))</f>
        <v>1.8632620878635837E-2</v>
      </c>
      <c r="AF964" s="93">
        <f>IF('Net zero activities &amp; levers'!$C$12="Off",('Activity data'!AY21*EF!$H52*EF!$H70)*NtoN2O*kgtoGg,IF('Net zero activities &amp; levers'!$C$12="PB",('Activity data'!AY21*EF!$H52*EF!$H70)*NtoN2O*kgtoGg,IF('Net zero activities &amp; levers'!$C$12="MS",('Net zero Activity data'!AY21*EF!$H52*EF!$H70)*NtoN2O*kgtoGg,"ERROR")))</f>
        <v>1.906886670622222E-2</v>
      </c>
      <c r="AG964" s="93">
        <f>IF('Net zero activities &amp; levers'!$C$12="Off",('Activity data'!AZ21*EF!$H52*EF!$H70)*NtoN2O*kgtoGg,IF('Net zero activities &amp; levers'!$C$12="PB",('Activity data'!AZ21*EF!$H52*EF!$H70)*NtoN2O*kgtoGg,IF('Net zero activities &amp; levers'!$C$12="MS",('Net zero Activity data'!AZ21*EF!$H52*EF!$H70)*NtoN2O*kgtoGg,"ERROR")))</f>
        <v>1.9568731147726923E-2</v>
      </c>
      <c r="AH964" s="93">
        <f>IF('Net zero activities &amp; levers'!$C$12="Off",('Activity data'!BA21*EF!$H52*EF!$H70)*NtoN2O*kgtoGg,IF('Net zero activities &amp; levers'!$C$12="PB",('Activity data'!BA21*EF!$H52*EF!$H70)*NtoN2O*kgtoGg,IF('Net zero activities &amp; levers'!$C$12="MS",('Net zero Activity data'!BA21*EF!$H52*EF!$H70)*NtoN2O*kgtoGg,"ERROR")))</f>
        <v>1.9981921177667211E-2</v>
      </c>
      <c r="AI964" s="93">
        <f>IF('Net zero activities &amp; levers'!$C$12="Off",('Activity data'!BB21*EF!$H52*EF!$H70)*NtoN2O*kgtoGg,IF('Net zero activities &amp; levers'!$C$12="PB",('Activity data'!BB21*EF!$H52*EF!$H70)*NtoN2O*kgtoGg,IF('Net zero activities &amp; levers'!$C$12="MS",('Net zero Activity data'!BB21*EF!$H52*EF!$H70)*NtoN2O*kgtoGg,"ERROR")))</f>
        <v>2.0377261433111755E-2</v>
      </c>
      <c r="AJ964" s="93">
        <f>IF('Net zero activities &amp; levers'!$C$12="Off",('Activity data'!BC21*EF!$H52*EF!$H70)*NtoN2O*kgtoGg,IF('Net zero activities &amp; levers'!$C$12="PB",('Activity data'!BC21*EF!$H52*EF!$H70)*NtoN2O*kgtoGg,IF('Net zero activities &amp; levers'!$C$12="MS",('Net zero Activity data'!BC21*EF!$H52*EF!$H70)*NtoN2O*kgtoGg,"ERROR")))</f>
        <v>2.0806710056082745E-2</v>
      </c>
      <c r="AK964" s="93">
        <f>IF('Net zero activities &amp; levers'!$C$12="Off",('Activity data'!BD21*EF!$H52*EF!$H70)*NtoN2O*kgtoGg,IF('Net zero activities &amp; levers'!$C$12="PB",('Activity data'!BD21*EF!$H52*EF!$H70)*NtoN2O*kgtoGg,IF('Net zero activities &amp; levers'!$C$12="MS",('Net zero Activity data'!BD21*EF!$H52*EF!$H70)*NtoN2O*kgtoGg,"ERROR")))</f>
        <v>2.1227093440013181E-2</v>
      </c>
      <c r="AL964" s="93">
        <f>IF('Net zero activities &amp; levers'!$C$12="Off",('Activity data'!BE21*EF!$H52*EF!$H70)*NtoN2O*kgtoGg,IF('Net zero activities &amp; levers'!$C$12="PB",('Activity data'!BE21*EF!$H52*EF!$H70)*NtoN2O*kgtoGg,IF('Net zero activities &amp; levers'!$C$12="MS",('Net zero Activity data'!BE21*EF!$H52*EF!$H70)*NtoN2O*kgtoGg,"ERROR")))</f>
        <v>2.1668192074400485E-2</v>
      </c>
      <c r="AM964" s="93">
        <f>IF('Net zero activities &amp; levers'!$C$12="Off",('Activity data'!BF21*EF!$H52*EF!$H70)*NtoN2O*kgtoGg,IF('Net zero activities &amp; levers'!$C$12="PB",('Activity data'!BF21*EF!$H52*EF!$H70)*NtoN2O*kgtoGg,IF('Net zero activities &amp; levers'!$C$12="MS",('Net zero Activity data'!BF21*EF!$H52*EF!$H70)*NtoN2O*kgtoGg,"ERROR")))</f>
        <v>2.2114843372651131E-2</v>
      </c>
      <c r="AN964" s="93">
        <f>IF('Net zero activities &amp; levers'!$C$12="Off",('Activity data'!BG21*EF!$H52*EF!$H70)*NtoN2O*kgtoGg,IF('Net zero activities &amp; levers'!$C$12="PB",('Activity data'!BG21*EF!$H52*EF!$H70)*NtoN2O*kgtoGg,IF('Net zero activities &amp; levers'!$C$12="MS",('Net zero Activity data'!BG21*EF!$H52*EF!$H70)*NtoN2O*kgtoGg,"ERROR")))</f>
        <v>2.2606056381191265E-2</v>
      </c>
      <c r="AO964" s="93">
        <f>IF('Net zero activities &amp; levers'!$C$12="Off",('Activity data'!BH21*EF!$H52*EF!$H70)*NtoN2O*kgtoGg,IF('Net zero activities &amp; levers'!$C$12="PB",('Activity data'!BH21*EF!$H52*EF!$H70)*NtoN2O*kgtoGg,IF('Net zero activities &amp; levers'!$C$12="MS",('Net zero Activity data'!BH21*EF!$H52*EF!$H70)*NtoN2O*kgtoGg,"ERROR")))</f>
        <v>2.3084139832164171E-2</v>
      </c>
      <c r="AP964" s="93">
        <f>IF('Net zero activities &amp; levers'!$C$12="Off",('Activity data'!BI21*EF!$H52*EF!$H70)*NtoN2O*kgtoGg,IF('Net zero activities &amp; levers'!$C$12="PB",('Activity data'!BI21*EF!$H52*EF!$H70)*NtoN2O*kgtoGg,IF('Net zero activities &amp; levers'!$C$12="MS",('Net zero Activity data'!BI21*EF!$H52*EF!$H70)*NtoN2O*kgtoGg,"ERROR")))</f>
        <v>2.3572286519730874E-2</v>
      </c>
      <c r="AQ964" s="93">
        <f>IF('Net zero activities &amp; levers'!$C$12="Off",('Activity data'!BJ21*EF!$H52*EF!$H70)*NtoN2O*kgtoGg,IF('Net zero activities &amp; levers'!$C$12="PB",('Activity data'!BJ21*EF!$H52*EF!$H70)*NtoN2O*kgtoGg,IF('Net zero activities &amp; levers'!$C$12="MS",('Net zero Activity data'!BJ21*EF!$H52*EF!$H70)*NtoN2O*kgtoGg,"ERROR")))</f>
        <v>2.4076740480859553E-2</v>
      </c>
      <c r="AR964" s="93">
        <f>IF('Net zero activities &amp; levers'!$C$12="Off",('Activity data'!BK21*EF!$H52*EF!$H70)*NtoN2O*kgtoGg,IF('Net zero activities &amp; levers'!$C$12="PB",('Activity data'!BK21*EF!$H52*EF!$H70)*NtoN2O*kgtoGg,IF('Net zero activities &amp; levers'!$C$12="MS",('Net zero Activity data'!BK21*EF!$H52*EF!$H70)*NtoN2O*kgtoGg,"ERROR")))</f>
        <v>2.4600071413532563E-2</v>
      </c>
      <c r="AS964" s="93">
        <f>IF('Net zero activities &amp; levers'!$C$12="Off",('Activity data'!BL21*EF!$H52*EF!$H70)*NtoN2O*kgtoGg,IF('Net zero activities &amp; levers'!$C$12="PB",('Activity data'!BL21*EF!$H52*EF!$H70)*NtoN2O*kgtoGg,IF('Net zero activities &amp; levers'!$C$12="MS",('Net zero Activity data'!BL21*EF!$H52*EF!$H70)*NtoN2O*kgtoGg,"ERROR")))</f>
        <v>2.5180191092644345E-2</v>
      </c>
      <c r="AT964" s="93">
        <f>IF('Net zero activities &amp; levers'!$C$12="Off",('Activity data'!BM21*EF!$H52*EF!$H70)*NtoN2O*kgtoGg,IF('Net zero activities &amp; levers'!$C$12="PB",('Activity data'!BM21*EF!$H52*EF!$H70)*NtoN2O*kgtoGg,IF('Net zero activities &amp; levers'!$C$12="MS",('Net zero Activity data'!BM21*EF!$H52*EF!$H70)*NtoN2O*kgtoGg,"ERROR")))</f>
        <v>2.5605778159078961E-2</v>
      </c>
      <c r="AU964" s="93">
        <f>IF('Net zero activities &amp; levers'!$C$12="Off",('Activity data'!BN21*EF!$H52*EF!$H70)*NtoN2O*kgtoGg,IF('Net zero activities &amp; levers'!$C$12="PB",('Activity data'!BN21*EF!$H52*EF!$H70)*NtoN2O*kgtoGg,IF('Net zero activities &amp; levers'!$C$12="MS",('Net zero Activity data'!BN21*EF!$H52*EF!$H70)*NtoN2O*kgtoGg,"ERROR")))</f>
        <v>2.6023964865461973E-2</v>
      </c>
      <c r="AV964" s="93">
        <f>IF('Net zero activities &amp; levers'!$C$12="Off",('Activity data'!BO21*EF!$H52*EF!$H70)*NtoN2O*kgtoGg,IF('Net zero activities &amp; levers'!$C$12="PB",('Activity data'!BO21*EF!$H52*EF!$H70)*NtoN2O*kgtoGg,IF('Net zero activities &amp; levers'!$C$12="MS",('Net zero Activity data'!BO21*EF!$H52*EF!$H70)*NtoN2O*kgtoGg,"ERROR")))</f>
        <v>2.6451893386045391E-2</v>
      </c>
      <c r="AW964" s="93">
        <f>IF('Net zero activities &amp; levers'!$C$12="Off",('Activity data'!BP21*EF!$H52*EF!$H70)*NtoN2O*kgtoGg,IF('Net zero activities &amp; levers'!$C$12="PB",('Activity data'!BP21*EF!$H52*EF!$H70)*NtoN2O*kgtoGg,IF('Net zero activities &amp; levers'!$C$12="MS",('Net zero Activity data'!BP21*EF!$H52*EF!$H70)*NtoN2O*kgtoGg,"ERROR")))</f>
        <v>2.6882358900515501E-2</v>
      </c>
      <c r="AY964" s="79"/>
      <c r="AZ964" s="79"/>
    </row>
    <row r="965" spans="1:52" x14ac:dyDescent="0.2">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7.0904798648479067E-2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7.1838488113865256E-2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7.2146468817327461E-2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7.1835339545248733E-2</v>
      </c>
      <c r="S965" s="93">
        <f>IF('Net zero activities &amp; levers'!$C$12="Off",('Activity data'!AL22*EF!$H53*EF!$H71)*NtoN2O*kgtoGg,IF('Net zero activities &amp; levers'!$C$12="PB",('Activity data'!AL22*EF!$H53*EF!$H71)*NtoN2O*kgtoGg,IF('Net zero activities &amp; levers'!$C$12="MS",('Net zero Activity data'!AL22*EF!$H53*EF!$H71)*NtoN2O*kgtoGg,"ERROR")))</f>
        <v>6.1411487631976583E-2</v>
      </c>
      <c r="T965" s="93">
        <f>IF('Net zero activities &amp; levers'!$C$12="Off",('Activity data'!AM22*EF!$H53*EF!$H71)*NtoN2O*kgtoGg,IF('Net zero activities &amp; levers'!$C$12="PB",('Activity data'!AM22*EF!$H53*EF!$H71)*NtoN2O*kgtoGg,IF('Net zero activities &amp; levers'!$C$12="MS",('Net zero Activity data'!AM22*EF!$H53*EF!$H71)*NtoN2O*kgtoGg,"ERROR")))</f>
        <v>6.4118219949811373E-2</v>
      </c>
      <c r="U965" s="93">
        <f>IF('Net zero activities &amp; levers'!$C$12="Off",('Activity data'!AN22*EF!$H53*EF!$H71)*NtoN2O*kgtoGg,IF('Net zero activities &amp; levers'!$C$12="PB",('Activity data'!AN22*EF!$H53*EF!$H71)*NtoN2O*kgtoGg,IF('Net zero activities &amp; levers'!$C$12="MS",('Net zero Activity data'!AN22*EF!$H53*EF!$H71)*NtoN2O*kgtoGg,"ERROR")))</f>
        <v>6.5983485916100967E-2</v>
      </c>
      <c r="V965" s="93">
        <f>IF('Net zero activities &amp; levers'!$C$12="Off",('Activity data'!AO22*EF!$H53*EF!$H71)*NtoN2O*kgtoGg,IF('Net zero activities &amp; levers'!$C$12="PB",('Activity data'!AO22*EF!$H53*EF!$H71)*NtoN2O*kgtoGg,IF('Net zero activities &amp; levers'!$C$12="MS",('Net zero Activity data'!AO22*EF!$H53*EF!$H71)*NtoN2O*kgtoGg,"ERROR")))</f>
        <v>6.7638870119743691E-2</v>
      </c>
      <c r="W965" s="93">
        <f>IF('Net zero activities &amp; levers'!$C$12="Off",('Activity data'!AP22*EF!$H53*EF!$H71)*NtoN2O*kgtoGg,IF('Net zero activities &amp; levers'!$C$12="PB",('Activity data'!AP22*EF!$H53*EF!$H71)*NtoN2O*kgtoGg,IF('Net zero activities &amp; levers'!$C$12="MS",('Net zero Activity data'!AP22*EF!$H53*EF!$H71)*NtoN2O*kgtoGg,"ERROR")))</f>
        <v>6.9677032979976197E-2</v>
      </c>
      <c r="X965" s="93">
        <f>IF('Net zero activities &amp; levers'!$C$12="Off",('Activity data'!AQ22*EF!$H53*EF!$H71)*NtoN2O*kgtoGg,IF('Net zero activities &amp; levers'!$C$12="PB",('Activity data'!AQ22*EF!$H53*EF!$H71)*NtoN2O*kgtoGg,IF('Net zero activities &amp; levers'!$C$12="MS",('Net zero Activity data'!AQ22*EF!$H53*EF!$H71)*NtoN2O*kgtoGg,"ERROR")))</f>
        <v>7.1527026303958338E-2</v>
      </c>
      <c r="Y965" s="93">
        <f>IF('Net zero activities &amp; levers'!$C$12="Off",('Activity data'!AR22*EF!$H53*EF!$H71)*NtoN2O*kgtoGg,IF('Net zero activities &amp; levers'!$C$12="PB",('Activity data'!AR22*EF!$H53*EF!$H71)*NtoN2O*kgtoGg,IF('Net zero activities &amp; levers'!$C$12="MS",('Net zero Activity data'!AR22*EF!$H53*EF!$H71)*NtoN2O*kgtoGg,"ERROR")))</f>
        <v>7.3159905968116196E-2</v>
      </c>
      <c r="Z965" s="93">
        <f>IF('Net zero activities &amp; levers'!$C$12="Off",('Activity data'!AS22*EF!$H53*EF!$H71)*NtoN2O*kgtoGg,IF('Net zero activities &amp; levers'!$C$12="PB",('Activity data'!AS22*EF!$H53*EF!$H71)*NtoN2O*kgtoGg,IF('Net zero activities &amp; levers'!$C$12="MS",('Net zero Activity data'!AS22*EF!$H53*EF!$H71)*NtoN2O*kgtoGg,"ERROR")))</f>
        <v>7.4677036907988839E-2</v>
      </c>
      <c r="AA965" s="93">
        <f>IF('Net zero activities &amp; levers'!$C$12="Off",('Activity data'!AT22*EF!$H53*EF!$H71)*NtoN2O*kgtoGg,IF('Net zero activities &amp; levers'!$C$12="PB",('Activity data'!AT22*EF!$H53*EF!$H71)*NtoN2O*kgtoGg,IF('Net zero activities &amp; levers'!$C$12="MS",('Net zero Activity data'!AT22*EF!$H53*EF!$H71)*NtoN2O*kgtoGg,"ERROR")))</f>
        <v>7.6027446421158371E-2</v>
      </c>
      <c r="AB965" s="93">
        <f>IF('Net zero activities &amp; levers'!$C$12="Off",('Activity data'!AU22*EF!$H53*EF!$H71)*NtoN2O*kgtoGg,IF('Net zero activities &amp; levers'!$C$12="PB",('Activity data'!AU22*EF!$H53*EF!$H71)*NtoN2O*kgtoGg,IF('Net zero activities &amp; levers'!$C$12="MS",('Net zero Activity data'!AU22*EF!$H53*EF!$H71)*NtoN2O*kgtoGg,"ERROR")))</f>
        <v>7.8006029546329986E-2</v>
      </c>
      <c r="AC965" s="93">
        <f>IF('Net zero activities &amp; levers'!$C$12="Off",('Activity data'!AV22*EF!$H53*EF!$H71)*NtoN2O*kgtoGg,IF('Net zero activities &amp; levers'!$C$12="PB",('Activity data'!AV22*EF!$H53*EF!$H71)*NtoN2O*kgtoGg,IF('Net zero activities &amp; levers'!$C$12="MS",('Net zero Activity data'!AV22*EF!$H53*EF!$H71)*NtoN2O*kgtoGg,"ERROR")))</f>
        <v>7.9925256540150022E-2</v>
      </c>
      <c r="AD965" s="93">
        <f>IF('Net zero activities &amp; levers'!$C$12="Off",('Activity data'!AW22*EF!$H53*EF!$H71)*NtoN2O*kgtoGg,IF('Net zero activities &amp; levers'!$C$12="PB",('Activity data'!AW22*EF!$H53*EF!$H71)*NtoN2O*kgtoGg,IF('Net zero activities &amp; levers'!$C$12="MS",('Net zero Activity data'!AW22*EF!$H53*EF!$H71)*NtoN2O*kgtoGg,"ERROR")))</f>
        <v>8.2170713922670655E-2</v>
      </c>
      <c r="AE965" s="93">
        <f>IF('Net zero activities &amp; levers'!$C$12="Off",('Activity data'!AX22*EF!$H53*EF!$H71)*NtoN2O*kgtoGg,IF('Net zero activities &amp; levers'!$C$12="PB",('Activity data'!AX22*EF!$H53*EF!$H71)*NtoN2O*kgtoGg,IF('Net zero activities &amp; levers'!$C$12="MS",('Net zero Activity data'!AX22*EF!$H53*EF!$H71)*NtoN2O*kgtoGg,"ERROR")))</f>
        <v>8.5031956187630361E-2</v>
      </c>
      <c r="AF965" s="93">
        <f>IF('Net zero activities &amp; levers'!$C$12="Off",('Activity data'!AY22*EF!$H53*EF!$H71)*NtoN2O*kgtoGg,IF('Net zero activities &amp; levers'!$C$12="PB",('Activity data'!AY22*EF!$H53*EF!$H71)*NtoN2O*kgtoGg,IF('Net zero activities &amp; levers'!$C$12="MS",('Net zero Activity data'!AY22*EF!$H53*EF!$H71)*NtoN2O*kgtoGg,"ERROR")))</f>
        <v>8.8189037263454617E-2</v>
      </c>
      <c r="AG965" s="93">
        <f>IF('Net zero activities &amp; levers'!$C$12="Off",('Activity data'!AZ22*EF!$H53*EF!$H71)*NtoN2O*kgtoGg,IF('Net zero activities &amp; levers'!$C$12="PB",('Activity data'!AZ22*EF!$H53*EF!$H71)*NtoN2O*kgtoGg,IF('Net zero activities &amp; levers'!$C$12="MS",('Net zero Activity data'!AZ22*EF!$H53*EF!$H71)*NtoN2O*kgtoGg,"ERROR")))</f>
        <v>9.2010851200101232E-2</v>
      </c>
      <c r="AH965" s="93">
        <f>IF('Net zero activities &amp; levers'!$C$12="Off",('Activity data'!BA22*EF!$H53*EF!$H71)*NtoN2O*kgtoGg,IF('Net zero activities &amp; levers'!$C$12="PB",('Activity data'!BA22*EF!$H53*EF!$H71)*NtoN2O*kgtoGg,IF('Net zero activities &amp; levers'!$C$12="MS",('Net zero Activity data'!BA22*EF!$H53*EF!$H71)*NtoN2O*kgtoGg,"ERROR")))</f>
        <v>9.4820008260503588E-2</v>
      </c>
      <c r="AI965" s="93">
        <f>IF('Net zero activities &amp; levers'!$C$12="Off",('Activity data'!BB22*EF!$H53*EF!$H71)*NtoN2O*kgtoGg,IF('Net zero activities &amp; levers'!$C$12="PB",('Activity data'!BB22*EF!$H53*EF!$H71)*NtoN2O*kgtoGg,IF('Net zero activities &amp; levers'!$C$12="MS",('Net zero Activity data'!BB22*EF!$H53*EF!$H71)*NtoN2O*kgtoGg,"ERROR")))</f>
        <v>9.755793640319263E-2</v>
      </c>
      <c r="AJ965" s="93">
        <f>IF('Net zero activities &amp; levers'!$C$12="Off",('Activity data'!BC22*EF!$H53*EF!$H71)*NtoN2O*kgtoGg,IF('Net zero activities &amp; levers'!$C$12="PB",('Activity data'!BC22*EF!$H53*EF!$H71)*NtoN2O*kgtoGg,IF('Net zero activities &amp; levers'!$C$12="MS",('Net zero Activity data'!BC22*EF!$H53*EF!$H71)*NtoN2O*kgtoGg,"ERROR")))</f>
        <v>0.10063412268776877</v>
      </c>
      <c r="AK965" s="93">
        <f>IF('Net zero activities &amp; levers'!$C$12="Off",('Activity data'!BD22*EF!$H53*EF!$H71)*NtoN2O*kgtoGg,IF('Net zero activities &amp; levers'!$C$12="PB",('Activity data'!BD22*EF!$H53*EF!$H71)*NtoN2O*kgtoGg,IF('Net zero activities &amp; levers'!$C$12="MS",('Net zero Activity data'!BD22*EF!$H53*EF!$H71)*NtoN2O*kgtoGg,"ERROR")))</f>
        <v>0.10357343935003867</v>
      </c>
      <c r="AL965" s="93">
        <f>IF('Net zero activities &amp; levers'!$C$12="Off",('Activity data'!BE22*EF!$H53*EF!$H71)*NtoN2O*kgtoGg,IF('Net zero activities &amp; levers'!$C$12="PB",('Activity data'!BE22*EF!$H53*EF!$H71)*NtoN2O*kgtoGg,IF('Net zero activities &amp; levers'!$C$12="MS",('Net zero Activity data'!BE22*EF!$H53*EF!$H71)*NtoN2O*kgtoGg,"ERROR")))</f>
        <v>0.10670022736354919</v>
      </c>
      <c r="AM965" s="93">
        <f>IF('Net zero activities &amp; levers'!$C$12="Off",('Activity data'!BF22*EF!$H53*EF!$H71)*NtoN2O*kgtoGg,IF('Net zero activities &amp; levers'!$C$12="PB",('Activity data'!BF22*EF!$H53*EF!$H71)*NtoN2O*kgtoGg,IF('Net zero activities &amp; levers'!$C$12="MS",('Net zero Activity data'!BF22*EF!$H53*EF!$H71)*NtoN2O*kgtoGg,"ERROR")))</f>
        <v>0.10984863637465794</v>
      </c>
      <c r="AN965" s="93">
        <f>IF('Net zero activities &amp; levers'!$C$12="Off",('Activity data'!BG22*EF!$H53*EF!$H71)*NtoN2O*kgtoGg,IF('Net zero activities &amp; levers'!$C$12="PB",('Activity data'!BG22*EF!$H53*EF!$H71)*NtoN2O*kgtoGg,IF('Net zero activities &amp; levers'!$C$12="MS",('Net zero Activity data'!BG22*EF!$H53*EF!$H71)*NtoN2O*kgtoGg,"ERROR")))</f>
        <v>0.11358529587557446</v>
      </c>
      <c r="AO965" s="93">
        <f>IF('Net zero activities &amp; levers'!$C$12="Off",('Activity data'!BH22*EF!$H53*EF!$H71)*NtoN2O*kgtoGg,IF('Net zero activities &amp; levers'!$C$12="PB",('Activity data'!BH22*EF!$H53*EF!$H71)*NtoN2O*kgtoGg,IF('Net zero activities &amp; levers'!$C$12="MS",('Net zero Activity data'!BH22*EF!$H53*EF!$H71)*NtoN2O*kgtoGg,"ERROR")))</f>
        <v>0.11714064273091444</v>
      </c>
      <c r="AP965" s="93">
        <f>IF('Net zero activities &amp; levers'!$C$12="Off",('Activity data'!BI22*EF!$H53*EF!$H71)*NtoN2O*kgtoGg,IF('Net zero activities &amp; levers'!$C$12="PB",('Activity data'!BI22*EF!$H53*EF!$H71)*NtoN2O*kgtoGg,IF('Net zero activities &amp; levers'!$C$12="MS",('Net zero Activity data'!BI22*EF!$H53*EF!$H71)*NtoN2O*kgtoGg,"ERROR")))</f>
        <v>0.12076268735304639</v>
      </c>
      <c r="AQ965" s="93">
        <f>IF('Net zero activities &amp; levers'!$C$12="Off",('Activity data'!BJ22*EF!$H53*EF!$H71)*NtoN2O*kgtoGg,IF('Net zero activities &amp; levers'!$C$12="PB",('Activity data'!BJ22*EF!$H53*EF!$H71)*NtoN2O*kgtoGg,IF('Net zero activities &amp; levers'!$C$12="MS",('Net zero Activity data'!BJ22*EF!$H53*EF!$H71)*NtoN2O*kgtoGg,"ERROR")))</f>
        <v>0.12451606313440448</v>
      </c>
      <c r="AR965" s="93">
        <f>IF('Net zero activities &amp; levers'!$C$12="Off",('Activity data'!BK22*EF!$H53*EF!$H71)*NtoN2O*kgtoGg,IF('Net zero activities &amp; levers'!$C$12="PB",('Activity data'!BK22*EF!$H53*EF!$H71)*NtoN2O*kgtoGg,IF('Net zero activities &amp; levers'!$C$12="MS",('Net zero Activity data'!BK22*EF!$H53*EF!$H71)*NtoN2O*kgtoGg,"ERROR")))</f>
        <v>0.12842566448757792</v>
      </c>
      <c r="AS965" s="93">
        <f>IF('Net zero activities &amp; levers'!$C$12="Off",('Activity data'!BL22*EF!$H53*EF!$H71)*NtoN2O*kgtoGg,IF('Net zero activities &amp; levers'!$C$12="PB",('Activity data'!BL22*EF!$H53*EF!$H71)*NtoN2O*kgtoGg,IF('Net zero activities &amp; levers'!$C$12="MS",('Net zero Activity data'!BL22*EF!$H53*EF!$H71)*NtoN2O*kgtoGg,"ERROR")))</f>
        <v>0.1330326722477729</v>
      </c>
      <c r="AT965" s="93">
        <f>IF('Net zero activities &amp; levers'!$C$12="Off",('Activity data'!BM22*EF!$H53*EF!$H71)*NtoN2O*kgtoGg,IF('Net zero activities &amp; levers'!$C$12="PB",('Activity data'!BM22*EF!$H53*EF!$H71)*NtoN2O*kgtoGg,IF('Net zero activities &amp; levers'!$C$12="MS",('Net zero Activity data'!BM22*EF!$H53*EF!$H71)*NtoN2O*kgtoGg,"ERROR")))</f>
        <v>0.1359996744784277</v>
      </c>
      <c r="AU965" s="93">
        <f>IF('Net zero activities &amp; levers'!$C$12="Off",('Activity data'!BN22*EF!$H53*EF!$H71)*NtoN2O*kgtoGg,IF('Net zero activities &amp; levers'!$C$12="PB",('Activity data'!BN22*EF!$H53*EF!$H71)*NtoN2O*kgtoGg,IF('Net zero activities &amp; levers'!$C$12="MS",('Net zero Activity data'!BN22*EF!$H53*EF!$H71)*NtoN2O*kgtoGg,"ERROR")))</f>
        <v>0.13886205222996365</v>
      </c>
      <c r="AV965" s="93">
        <f>IF('Net zero activities &amp; levers'!$C$12="Off",('Activity data'!BO22*EF!$H53*EF!$H71)*NtoN2O*kgtoGg,IF('Net zero activities &amp; levers'!$C$12="PB",('Activity data'!BO22*EF!$H53*EF!$H71)*NtoN2O*kgtoGg,IF('Net zero activities &amp; levers'!$C$12="MS",('Net zero Activity data'!BO22*EF!$H53*EF!$H71)*NtoN2O*kgtoGg,"ERROR")))</f>
        <v>0.14179647350512722</v>
      </c>
      <c r="AW965" s="93">
        <f>IF('Net zero activities &amp; levers'!$C$12="Off",('Activity data'!BP22*EF!$H53*EF!$H71)*NtoN2O*kgtoGg,IF('Net zero activities &amp; levers'!$C$12="PB",('Activity data'!BP22*EF!$H53*EF!$H71)*NtoN2O*kgtoGg,IF('Net zero activities &amp; levers'!$C$12="MS",('Net zero Activity data'!BP22*EF!$H53*EF!$H71)*NtoN2O*kgtoGg,"ERROR")))</f>
        <v>0.14472886847588542</v>
      </c>
      <c r="AY965" s="79"/>
      <c r="AZ965" s="79"/>
    </row>
    <row r="966" spans="1:52" x14ac:dyDescent="0.2">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6.60388696259374</v>
      </c>
      <c r="U966" s="22">
        <f t="shared" si="339"/>
        <v>6.6020342469478921</v>
      </c>
      <c r="V966" s="22">
        <f t="shared" si="339"/>
        <v>6.6005840725031204</v>
      </c>
      <c r="W966" s="22">
        <f t="shared" si="339"/>
        <v>6.5992416571177221</v>
      </c>
      <c r="X966" s="22">
        <f t="shared" si="339"/>
        <v>6.5977411232427086</v>
      </c>
      <c r="Y966" s="22">
        <f t="shared" si="339"/>
        <v>6.5963380636148372</v>
      </c>
      <c r="Z966" s="22">
        <f t="shared" si="339"/>
        <v>6.5950885900535399</v>
      </c>
      <c r="AA966" s="22">
        <f t="shared" si="339"/>
        <v>6.593899664910774</v>
      </c>
      <c r="AB966" s="22">
        <f t="shared" si="339"/>
        <v>6.5927919026350441</v>
      </c>
      <c r="AC966" s="22">
        <f t="shared" si="339"/>
        <v>6.5914248070564794</v>
      </c>
      <c r="AD966" s="22">
        <f t="shared" si="339"/>
        <v>6.5900953819081538</v>
      </c>
      <c r="AE966" s="22">
        <f t="shared" si="339"/>
        <v>6.5886770470789005</v>
      </c>
      <c r="AF966" s="22">
        <f t="shared" si="339"/>
        <v>6.5870194021035937</v>
      </c>
      <c r="AG966" s="22">
        <f t="shared" si="339"/>
        <v>6.5852622329414547</v>
      </c>
      <c r="AH966" s="22">
        <f t="shared" si="339"/>
        <v>6.5832642389355076</v>
      </c>
      <c r="AI966" s="22">
        <f t="shared" si="339"/>
        <v>6.5816933184770097</v>
      </c>
      <c r="AJ966" s="22">
        <f t="shared" si="339"/>
        <v>6.5801985919199808</v>
      </c>
      <c r="AK966" s="22">
        <f t="shared" si="339"/>
        <v>6.5785915117586082</v>
      </c>
      <c r="AL966" s="22">
        <f t="shared" si="339"/>
        <v>6.5770555695996213</v>
      </c>
      <c r="AM966" s="22">
        <f t="shared" si="339"/>
        <v>6.5754680730045454</v>
      </c>
      <c r="AN966" s="22">
        <f t="shared" si="339"/>
        <v>6.5738921443316158</v>
      </c>
      <c r="AO966" s="22">
        <f t="shared" si="339"/>
        <v>6.5721499435540869</v>
      </c>
      <c r="AP966" s="22">
        <f t="shared" si="339"/>
        <v>6.5704963238558332</v>
      </c>
      <c r="AQ966" s="22">
        <f t="shared" si="339"/>
        <v>6.5688413494168394</v>
      </c>
      <c r="AR966" s="22">
        <f t="shared" si="339"/>
        <v>6.5671634182939496</v>
      </c>
      <c r="AS966" s="22">
        <f t="shared" si="339"/>
        <v>6.5654557216665381</v>
      </c>
      <c r="AT966" s="22">
        <f t="shared" si="339"/>
        <v>6.5635649622881891</v>
      </c>
      <c r="AU966" s="22">
        <f t="shared" si="339"/>
        <v>6.5622389108641883</v>
      </c>
      <c r="AV966" s="22">
        <f t="shared" si="339"/>
        <v>6.560960344070546</v>
      </c>
      <c r="AW966" s="22">
        <f t="shared" si="339"/>
        <v>6.5596714127254918</v>
      </c>
      <c r="AY966" s="79"/>
      <c r="AZ966" s="79"/>
    </row>
    <row r="967" spans="1:52" x14ac:dyDescent="0.2">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4.358565395311869E-2</v>
      </c>
      <c r="U967" s="94">
        <f>IF('Net zero activities &amp; levers'!$C$12="Off",'Activity data'!AN48*ttokg*ONEF*NtoN2O*kgtoGg,IF('Net zero activities &amp; levers'!$C$12="PB",'Activity data'!AN48*ttokg*ONEF*NtoN2O*kgtoGg,IF('Net zero activities &amp; levers'!$C$12="MS",'Net zero Activity data'!AN48*ttokg*ONEF*NtoN2O*kgtoGg,"ERROR")))</f>
        <v>4.3573426029856095E-2</v>
      </c>
      <c r="V967" s="94">
        <f>IF('Net zero activities &amp; levers'!$C$12="Off",'Activity data'!AO48*ttokg*ONEF*NtoN2O*kgtoGg,IF('Net zero activities &amp; levers'!$C$12="PB",'Activity data'!AO48*ttokg*ONEF*NtoN2O*kgtoGg,IF('Net zero activities &amp; levers'!$C$12="MS",'Net zero Activity data'!AO48*ttokg*ONEF*NtoN2O*kgtoGg,"ERROR")))</f>
        <v>4.3563854878520596E-2</v>
      </c>
      <c r="W967" s="94">
        <f>IF('Net zero activities &amp; levers'!$C$12="Off",'Activity data'!AP48*ttokg*ONEF*NtoN2O*kgtoGg,IF('Net zero activities &amp; levers'!$C$12="PB",'Activity data'!AP48*ttokg*ONEF*NtoN2O*kgtoGg,IF('Net zero activities &amp; levers'!$C$12="MS",'Net zero Activity data'!AP48*ttokg*ONEF*NtoN2O*kgtoGg,"ERROR")))</f>
        <v>4.3554994936976968E-2</v>
      </c>
      <c r="X967" s="94">
        <f>IF('Net zero activities &amp; levers'!$C$12="Off",'Activity data'!AQ48*ttokg*ONEF*NtoN2O*kgtoGg,IF('Net zero activities &amp; levers'!$C$12="PB",'Activity data'!AQ48*ttokg*ONEF*NtoN2O*kgtoGg,IF('Net zero activities &amp; levers'!$C$12="MS",'Net zero Activity data'!AQ48*ttokg*ONEF*NtoN2O*kgtoGg,"ERROR")))</f>
        <v>4.354509141340189E-2</v>
      </c>
      <c r="Y967" s="94">
        <f>IF('Net zero activities &amp; levers'!$C$12="Off",'Activity data'!AR48*ttokg*ONEF*NtoN2O*kgtoGg,IF('Net zero activities &amp; levers'!$C$12="PB",'Activity data'!AR48*ttokg*ONEF*NtoN2O*kgtoGg,IF('Net zero activities &amp; levers'!$C$12="MS",'Net zero Activity data'!AR48*ttokg*ONEF*NtoN2O*kgtoGg,"ERROR")))</f>
        <v>4.3535831219857934E-2</v>
      </c>
      <c r="Z967" s="94">
        <f>IF('Net zero activities &amp; levers'!$C$12="Off",'Activity data'!AS48*ttokg*ONEF*NtoN2O*kgtoGg,IF('Net zero activities &amp; levers'!$C$12="PB",'Activity data'!AS48*ttokg*ONEF*NtoN2O*kgtoGg,IF('Net zero activities &amp; levers'!$C$12="MS",'Net zero Activity data'!AS48*ttokg*ONEF*NtoN2O*kgtoGg,"ERROR")))</f>
        <v>4.3527584694353361E-2</v>
      </c>
      <c r="AA967" s="94">
        <f>IF('Net zero activities &amp; levers'!$C$12="Off",'Activity data'!AT48*ttokg*ONEF*NtoN2O*kgtoGg,IF('Net zero activities &amp; levers'!$C$12="PB",'Activity data'!AT48*ttokg*ONEF*NtoN2O*kgtoGg,IF('Net zero activities &amp; levers'!$C$12="MS",'Net zero Activity data'!AT48*ttokg*ONEF*NtoN2O*kgtoGg,"ERROR")))</f>
        <v>4.3519737788411117E-2</v>
      </c>
      <c r="AB967" s="94">
        <f>IF('Net zero activities &amp; levers'!$C$12="Off",'Activity data'!AU48*ttokg*ONEF*NtoN2O*kgtoGg,IF('Net zero activities &amp; levers'!$C$12="PB",'Activity data'!AU48*ttokg*ONEF*NtoN2O*kgtoGg,IF('Net zero activities &amp; levers'!$C$12="MS",'Net zero Activity data'!AU48*ttokg*ONEF*NtoN2O*kgtoGg,"ERROR")))</f>
        <v>4.35124265573913E-2</v>
      </c>
      <c r="AC967" s="94">
        <f>IF('Net zero activities &amp; levers'!$C$12="Off",'Activity data'!AV48*ttokg*ONEF*NtoN2O*kgtoGg,IF('Net zero activities &amp; levers'!$C$12="PB",'Activity data'!AV48*ttokg*ONEF*NtoN2O*kgtoGg,IF('Net zero activities &amp; levers'!$C$12="MS",'Net zero Activity data'!AV48*ttokg*ONEF*NtoN2O*kgtoGg,"ERROR")))</f>
        <v>4.350340372657277E-2</v>
      </c>
      <c r="AD967" s="94">
        <f>IF('Net zero activities &amp; levers'!$C$12="Off",'Activity data'!AW48*ttokg*ONEF*NtoN2O*kgtoGg,IF('Net zero activities &amp; levers'!$C$12="PB",'Activity data'!AW48*ttokg*ONEF*NtoN2O*kgtoGg,IF('Net zero activities &amp; levers'!$C$12="MS",'Net zero Activity data'!AW48*ttokg*ONEF*NtoN2O*kgtoGg,"ERROR")))</f>
        <v>4.3494629520593811E-2</v>
      </c>
      <c r="AE967" s="94">
        <f>IF('Net zero activities &amp; levers'!$C$12="Off",'Activity data'!AX48*ttokg*ONEF*NtoN2O*kgtoGg,IF('Net zero activities &amp; levers'!$C$12="PB",'Activity data'!AX48*ttokg*ONEF*NtoN2O*kgtoGg,IF('Net zero activities &amp; levers'!$C$12="MS",'Net zero Activity data'!AX48*ttokg*ONEF*NtoN2O*kgtoGg,"ERROR")))</f>
        <v>4.3485268510720758E-2</v>
      </c>
      <c r="AF967" s="94">
        <f>IF('Net zero activities &amp; levers'!$C$12="Off",'Activity data'!AY48*ttokg*ONEF*NtoN2O*kgtoGg,IF('Net zero activities &amp; levers'!$C$12="PB",'Activity data'!AY48*ttokg*ONEF*NtoN2O*kgtoGg,IF('Net zero activities &amp; levers'!$C$12="MS",'Net zero Activity data'!AY48*ttokg*ONEF*NtoN2O*kgtoGg,"ERROR")))</f>
        <v>4.347432805388373E-2</v>
      </c>
      <c r="AG967" s="94">
        <f>IF('Net zero activities &amp; levers'!$C$12="Off",'Activity data'!AZ48*ttokg*ONEF*NtoN2O*kgtoGg,IF('Net zero activities &amp; levers'!$C$12="PB",'Activity data'!AZ48*ttokg*ONEF*NtoN2O*kgtoGg,IF('Net zero activities &amp; levers'!$C$12="MS",'Net zero Activity data'!AZ48*ttokg*ONEF*NtoN2O*kgtoGg,"ERROR")))</f>
        <v>4.3462730737413614E-2</v>
      </c>
      <c r="AH967" s="94">
        <f>IF('Net zero activities &amp; levers'!$C$12="Off",'Activity data'!BA48*ttokg*ONEF*NtoN2O*kgtoGg,IF('Net zero activities &amp; levers'!$C$12="PB",'Activity data'!BA48*ttokg*ONEF*NtoN2O*kgtoGg,IF('Net zero activities &amp; levers'!$C$12="MS",'Net zero Activity data'!BA48*ttokg*ONEF*NtoN2O*kgtoGg,"ERROR")))</f>
        <v>4.3449543976974349E-2</v>
      </c>
      <c r="AI967" s="94">
        <f>IF('Net zero activities &amp; levers'!$C$12="Off",'Activity data'!BB48*ttokg*ONEF*NtoN2O*kgtoGg,IF('Net zero activities &amp; levers'!$C$12="PB",'Activity data'!BB48*ttokg*ONEF*NtoN2O*kgtoGg,IF('Net zero activities &amp; levers'!$C$12="MS",'Net zero Activity data'!BB48*ttokg*ONEF*NtoN2O*kgtoGg,"ERROR")))</f>
        <v>4.343917590194827E-2</v>
      </c>
      <c r="AJ967" s="94">
        <f>IF('Net zero activities &amp; levers'!$C$12="Off",'Activity data'!BC48*ttokg*ONEF*NtoN2O*kgtoGg,IF('Net zero activities &amp; levers'!$C$12="PB",'Activity data'!BC48*ttokg*ONEF*NtoN2O*kgtoGg,IF('Net zero activities &amp; levers'!$C$12="MS",'Net zero Activity data'!BC48*ttokg*ONEF*NtoN2O*kgtoGg,"ERROR")))</f>
        <v>4.3429310706671886E-2</v>
      </c>
      <c r="AK967" s="94">
        <f>IF('Net zero activities &amp; levers'!$C$12="Off",'Activity data'!BD48*ttokg*ONEF*NtoN2O*kgtoGg,IF('Net zero activities &amp; levers'!$C$12="PB",'Activity data'!BD48*ttokg*ONEF*NtoN2O*kgtoGg,IF('Net zero activities &amp; levers'!$C$12="MS",'Net zero Activity data'!BD48*ttokg*ONEF*NtoN2O*kgtoGg,"ERROR")))</f>
        <v>4.3418703977606825E-2</v>
      </c>
      <c r="AL967" s="94">
        <f>IF('Net zero activities &amp; levers'!$C$12="Off",'Activity data'!BE48*ttokg*ONEF*NtoN2O*kgtoGg,IF('Net zero activities &amp; levers'!$C$12="PB",'Activity data'!BE48*ttokg*ONEF*NtoN2O*kgtoGg,IF('Net zero activities &amp; levers'!$C$12="MS",'Net zero Activity data'!BE48*ttokg*ONEF*NtoN2O*kgtoGg,"ERROR")))</f>
        <v>4.340856675935751E-2</v>
      </c>
      <c r="AM967" s="94">
        <f>IF('Net zero activities &amp; levers'!$C$12="Off",'Activity data'!BF48*ttokg*ONEF*NtoN2O*kgtoGg,IF('Net zero activities &amp; levers'!$C$12="PB",'Activity data'!BF48*ttokg*ONEF*NtoN2O*kgtoGg,IF('Net zero activities &amp; levers'!$C$12="MS",'Net zero Activity data'!BF48*ttokg*ONEF*NtoN2O*kgtoGg,"ERROR")))</f>
        <v>4.3398089281830012E-2</v>
      </c>
      <c r="AN967" s="94">
        <f>IF('Net zero activities &amp; levers'!$C$12="Off",'Activity data'!BG48*ttokg*ONEF*NtoN2O*kgtoGg,IF('Net zero activities &amp; levers'!$C$12="PB",'Activity data'!BG48*ttokg*ONEF*NtoN2O*kgtoGg,IF('Net zero activities &amp; levers'!$C$12="MS",'Net zero Activity data'!BG48*ttokg*ONEF*NtoN2O*kgtoGg,"ERROR")))</f>
        <v>4.3387688152588685E-2</v>
      </c>
      <c r="AO967" s="94">
        <f>IF('Net zero activities &amp; levers'!$C$12="Off",'Activity data'!BH48*ttokg*ONEF*NtoN2O*kgtoGg,IF('Net zero activities &amp; levers'!$C$12="PB",'Activity data'!BH48*ttokg*ONEF*NtoN2O*kgtoGg,IF('Net zero activities &amp; levers'!$C$12="MS",'Net zero Activity data'!BH48*ttokg*ONEF*NtoN2O*kgtoGg,"ERROR")))</f>
        <v>4.3376189627456985E-2</v>
      </c>
      <c r="AP967" s="94">
        <f>IF('Net zero activities &amp; levers'!$C$12="Off",'Activity data'!BI48*ttokg*ONEF*NtoN2O*kgtoGg,IF('Net zero activities &amp; levers'!$C$12="PB",'Activity data'!BI48*ttokg*ONEF*NtoN2O*kgtoGg,IF('Net zero activities &amp; levers'!$C$12="MS",'Net zero Activity data'!BI48*ttokg*ONEF*NtoN2O*kgtoGg,"ERROR")))</f>
        <v>4.3365275737448507E-2</v>
      </c>
      <c r="AQ967" s="94">
        <f>IF('Net zero activities &amp; levers'!$C$12="Off",'Activity data'!BJ48*ttokg*ONEF*NtoN2O*kgtoGg,IF('Net zero activities &amp; levers'!$C$12="PB",'Activity data'!BJ48*ttokg*ONEF*NtoN2O*kgtoGg,IF('Net zero activities &amp; levers'!$C$12="MS",'Net zero Activity data'!BJ48*ttokg*ONEF*NtoN2O*kgtoGg,"ERROR")))</f>
        <v>4.3354352906151139E-2</v>
      </c>
      <c r="AR967" s="94">
        <f>IF('Net zero activities &amp; levers'!$C$12="Off",'Activity data'!BK48*ttokg*ONEF*NtoN2O*kgtoGg,IF('Net zero activities &amp; levers'!$C$12="PB",'Activity data'!BK48*ttokg*ONEF*NtoN2O*kgtoGg,IF('Net zero activities &amp; levers'!$C$12="MS",'Net zero Activity data'!BK48*ttokg*ONEF*NtoN2O*kgtoGg,"ERROR")))</f>
        <v>4.3343278560740071E-2</v>
      </c>
      <c r="AS967" s="94">
        <f>IF('Net zero activities &amp; levers'!$C$12="Off",'Activity data'!BL48*ttokg*ONEF*NtoN2O*kgtoGg,IF('Net zero activities &amp; levers'!$C$12="PB",'Activity data'!BL48*ttokg*ONEF*NtoN2O*kgtoGg,IF('Net zero activities &amp; levers'!$C$12="MS",'Net zero Activity data'!BL48*ttokg*ONEF*NtoN2O*kgtoGg,"ERROR")))</f>
        <v>4.3332007762999163E-2</v>
      </c>
      <c r="AT967" s="94">
        <f>IF('Net zero activities &amp; levers'!$C$12="Off",'Activity data'!BM48*ttokg*ONEF*NtoN2O*kgtoGg,IF('Net zero activities &amp; levers'!$C$12="PB",'Activity data'!BM48*ttokg*ONEF*NtoN2O*kgtoGg,IF('Net zero activities &amp; levers'!$C$12="MS",'Net zero Activity data'!BM48*ttokg*ONEF*NtoN2O*kgtoGg,"ERROR")))</f>
        <v>4.3319528751102059E-2</v>
      </c>
      <c r="AU967" s="94">
        <f>IF('Net zero activities &amp; levers'!$C$12="Off",'Activity data'!BN48*ttokg*ONEF*NtoN2O*kgtoGg,IF('Net zero activities &amp; levers'!$C$12="PB",'Activity data'!BN48*ttokg*ONEF*NtoN2O*kgtoGg,IF('Net zero activities &amp; levers'!$C$12="MS",'Net zero Activity data'!BN48*ttokg*ONEF*NtoN2O*kgtoGg,"ERROR")))</f>
        <v>4.3310776811703651E-2</v>
      </c>
      <c r="AV967" s="94">
        <f>IF('Net zero activities &amp; levers'!$C$12="Off",'Activity data'!BO48*ttokg*ONEF*NtoN2O*kgtoGg,IF('Net zero activities &amp; levers'!$C$12="PB",'Activity data'!BO48*ttokg*ONEF*NtoN2O*kgtoGg,IF('Net zero activities &amp; levers'!$C$12="MS",'Net zero Activity data'!BO48*ttokg*ONEF*NtoN2O*kgtoGg,"ERROR")))</f>
        <v>4.3302338270865603E-2</v>
      </c>
      <c r="AW967" s="94">
        <f>IF('Net zero activities &amp; levers'!$C$12="Off",'Activity data'!BP48*ttokg*ONEF*NtoN2O*kgtoGg,IF('Net zero activities &amp; levers'!$C$12="PB",'Activity data'!BP48*ttokg*ONEF*NtoN2O*kgtoGg,IF('Net zero activities &amp; levers'!$C$12="MS",'Net zero Activity data'!BP48*ttokg*ONEF*NtoN2O*kgtoGg,"ERROR")))</f>
        <v>4.3293831323988244E-2</v>
      </c>
      <c r="AY967" s="79"/>
      <c r="AZ967" s="79"/>
    </row>
    <row r="968" spans="1:52" x14ac:dyDescent="0.2">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2.968676648093143</v>
      </c>
      <c r="U968" s="22">
        <f t="shared" si="340"/>
        <v>2.9825082583829583</v>
      </c>
      <c r="V968" s="22">
        <f t="shared" si="340"/>
        <v>2.9933346622173946</v>
      </c>
      <c r="W968" s="22">
        <f t="shared" si="340"/>
        <v>3.0033565813928953</v>
      </c>
      <c r="X968" s="22">
        <f t="shared" si="340"/>
        <v>3.0145589479472883</v>
      </c>
      <c r="Y968" s="22">
        <f t="shared" si="340"/>
        <v>3.0250336120057435</v>
      </c>
      <c r="Z968" s="22">
        <f t="shared" si="340"/>
        <v>3.0343616658849326</v>
      </c>
      <c r="AA968" s="22">
        <f t="shared" si="340"/>
        <v>3.0432376902631781</v>
      </c>
      <c r="AB968" s="22">
        <f t="shared" si="340"/>
        <v>3.0515077861767024</v>
      </c>
      <c r="AC968" s="22">
        <f t="shared" si="340"/>
        <v>3.0617139574874526</v>
      </c>
      <c r="AD968" s="22">
        <f t="shared" si="340"/>
        <v>3.0716388969147959</v>
      </c>
      <c r="AE968" s="22">
        <f t="shared" si="340"/>
        <v>3.0822275993217993</v>
      </c>
      <c r="AF968" s="22">
        <f t="shared" si="340"/>
        <v>3.0946028925022198</v>
      </c>
      <c r="AG968" s="22">
        <f t="shared" si="340"/>
        <v>3.1077211921821801</v>
      </c>
      <c r="AH968" s="22">
        <f t="shared" si="340"/>
        <v>3.122637390743785</v>
      </c>
      <c r="AI968" s="22">
        <f t="shared" si="340"/>
        <v>3.1343652344778912</v>
      </c>
      <c r="AJ968" s="22">
        <f t="shared" si="340"/>
        <v>3.1455242459932262</v>
      </c>
      <c r="AK968" s="22">
        <f t="shared" si="340"/>
        <v>3.1575220431438074</v>
      </c>
      <c r="AL968" s="22">
        <f t="shared" si="340"/>
        <v>3.1689887533313184</v>
      </c>
      <c r="AM968" s="22">
        <f t="shared" si="340"/>
        <v>3.1808403476591942</v>
      </c>
      <c r="AN968" s="22">
        <f t="shared" si="340"/>
        <v>3.1926055806550666</v>
      </c>
      <c r="AO968" s="22">
        <f t="shared" si="340"/>
        <v>3.2056121325538434</v>
      </c>
      <c r="AP968" s="22">
        <f t="shared" si="340"/>
        <v>3.217957374677253</v>
      </c>
      <c r="AQ968" s="22">
        <f t="shared" si="340"/>
        <v>3.2303127307358399</v>
      </c>
      <c r="AR968" s="22">
        <f t="shared" si="340"/>
        <v>3.24283947192085</v>
      </c>
      <c r="AS968" s="22">
        <f t="shared" si="340"/>
        <v>3.2555884300766866</v>
      </c>
      <c r="AT968" s="22">
        <f t="shared" si="340"/>
        <v>3.2697040591705311</v>
      </c>
      <c r="AU968" s="22">
        <f t="shared" si="340"/>
        <v>3.2796038117645905</v>
      </c>
      <c r="AV968" s="22">
        <f t="shared" si="340"/>
        <v>3.2891490637080194</v>
      </c>
      <c r="AW968" s="22">
        <f t="shared" si="340"/>
        <v>3.2987716931142437</v>
      </c>
      <c r="AY968" s="79"/>
      <c r="AZ968" s="79"/>
    </row>
    <row r="969" spans="1:52" x14ac:dyDescent="0.2">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0.32056321299147922</v>
      </c>
      <c r="M969" s="22">
        <f t="shared" si="341"/>
        <v>0.32309177745176459</v>
      </c>
      <c r="N969" s="22">
        <f t="shared" si="341"/>
        <v>0.32471664946511047</v>
      </c>
      <c r="O969" s="22">
        <f t="shared" si="341"/>
        <v>0.32579638434951891</v>
      </c>
      <c r="P969" s="22">
        <f t="shared" si="341"/>
        <v>0.32632035510276458</v>
      </c>
      <c r="Q969" s="22">
        <f t="shared" si="341"/>
        <v>0.32747800149861978</v>
      </c>
      <c r="R969" s="22">
        <f t="shared" si="341"/>
        <v>0.32880601635823298</v>
      </c>
      <c r="S969" s="22">
        <f t="shared" si="341"/>
        <v>0.31980488008437191</v>
      </c>
      <c r="T969" s="22">
        <f t="shared" si="341"/>
        <v>0.32348013385904834</v>
      </c>
      <c r="U969" s="22">
        <f t="shared" si="341"/>
        <v>0.3263600829079687</v>
      </c>
      <c r="V969" s="22">
        <f t="shared" si="341"/>
        <v>0.32908851818149565</v>
      </c>
      <c r="W969" s="22">
        <f t="shared" si="341"/>
        <v>0.33227832556349268</v>
      </c>
      <c r="X969" s="22">
        <f t="shared" si="341"/>
        <v>0.33533311826905887</v>
      </c>
      <c r="Y969" s="22">
        <f t="shared" si="341"/>
        <v>0.33789515194056902</v>
      </c>
      <c r="Z969" s="22">
        <f t="shared" si="341"/>
        <v>0.34038602610303131</v>
      </c>
      <c r="AA969" s="22">
        <f t="shared" si="341"/>
        <v>0.34274865356811024</v>
      </c>
      <c r="AB969" s="22">
        <f t="shared" si="341"/>
        <v>0.34582201192682688</v>
      </c>
      <c r="AC969" s="22">
        <f t="shared" si="341"/>
        <v>0.34887956660233338</v>
      </c>
      <c r="AD969" s="22">
        <f t="shared" si="341"/>
        <v>0.35206948034993701</v>
      </c>
      <c r="AE969" s="22">
        <f t="shared" si="341"/>
        <v>0.3559611034908382</v>
      </c>
      <c r="AF969" s="22">
        <f t="shared" si="341"/>
        <v>0.36021553712523996</v>
      </c>
      <c r="AG969" s="22">
        <f t="shared" si="341"/>
        <v>0.36523063944756523</v>
      </c>
      <c r="AH969" s="22">
        <f t="shared" si="341"/>
        <v>0.36920261310751928</v>
      </c>
      <c r="AI969" s="22">
        <f t="shared" si="341"/>
        <v>0.3728925335928876</v>
      </c>
      <c r="AJ969" s="22">
        <f t="shared" si="341"/>
        <v>0.37698699496053195</v>
      </c>
      <c r="AK969" s="22">
        <f t="shared" si="341"/>
        <v>0.38097151646383681</v>
      </c>
      <c r="AL969" s="22">
        <f t="shared" si="341"/>
        <v>0.38519729456570295</v>
      </c>
      <c r="AM969" s="22">
        <f t="shared" si="341"/>
        <v>0.38948381880632194</v>
      </c>
      <c r="AN969" s="22">
        <f t="shared" si="341"/>
        <v>0.3942210595490877</v>
      </c>
      <c r="AO969" s="22">
        <f t="shared" si="341"/>
        <v>0.39879649772923048</v>
      </c>
      <c r="AP969" s="22">
        <f t="shared" si="341"/>
        <v>0.40348070497447158</v>
      </c>
      <c r="AQ969" s="22">
        <f t="shared" si="341"/>
        <v>0.40834470639522963</v>
      </c>
      <c r="AR969" s="22">
        <f t="shared" si="341"/>
        <v>0.41341630943614366</v>
      </c>
      <c r="AS969" s="22">
        <f t="shared" si="341"/>
        <v>0.41906350167167566</v>
      </c>
      <c r="AT969" s="22">
        <f t="shared" si="341"/>
        <v>0.42292582986675353</v>
      </c>
      <c r="AU969" s="22">
        <f t="shared" si="341"/>
        <v>0.42669932950648143</v>
      </c>
      <c r="AV969" s="22">
        <f t="shared" si="341"/>
        <v>0.43057975647849034</v>
      </c>
      <c r="AW969" s="22">
        <f t="shared" si="341"/>
        <v>0.43448428362104141</v>
      </c>
      <c r="AY969" s="79"/>
      <c r="AZ969" s="79"/>
    </row>
    <row r="970" spans="1:52" x14ac:dyDescent="0.2">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0.93731746283627526</v>
      </c>
      <c r="M970" s="22">
        <f t="shared" si="342"/>
        <v>0.94471091139331731</v>
      </c>
      <c r="N970" s="22">
        <f t="shared" si="342"/>
        <v>0.94946198965576145</v>
      </c>
      <c r="O970" s="22">
        <f t="shared" si="342"/>
        <v>0.95261910289076102</v>
      </c>
      <c r="P970" s="22">
        <f t="shared" si="342"/>
        <v>0.95415117805450056</v>
      </c>
      <c r="Q970" s="22">
        <f t="shared" si="342"/>
        <v>0.95753610227115837</v>
      </c>
      <c r="R970" s="22">
        <f t="shared" si="342"/>
        <v>0.96141917889497119</v>
      </c>
      <c r="S970" s="22">
        <f t="shared" si="342"/>
        <v>0.93510011958643091</v>
      </c>
      <c r="T970" s="22">
        <f t="shared" si="342"/>
        <v>0.94584645417427005</v>
      </c>
      <c r="U970" s="22">
        <f t="shared" si="342"/>
        <v>0.95426734099543964</v>
      </c>
      <c r="V970" s="22">
        <f t="shared" si="342"/>
        <v>0.96224520596699892</v>
      </c>
      <c r="W970" s="22">
        <f t="shared" si="342"/>
        <v>0.97157210949510064</v>
      </c>
      <c r="X970" s="22">
        <f t="shared" si="342"/>
        <v>0.98050423405659315</v>
      </c>
      <c r="Y970" s="22">
        <f t="shared" si="342"/>
        <v>0.98799554560875424</v>
      </c>
      <c r="Z970" s="22">
        <f t="shared" si="342"/>
        <v>0.99527878883687138</v>
      </c>
      <c r="AA970" s="22">
        <f t="shared" si="341"/>
        <v>1.0021870424712456</v>
      </c>
      <c r="AB970" s="22">
        <f t="shared" si="341"/>
        <v>1.011173452459766</v>
      </c>
      <c r="AC970" s="22">
        <f t="shared" si="341"/>
        <v>1.0201136529406156</v>
      </c>
      <c r="AD970" s="22">
        <f t="shared" si="341"/>
        <v>1.0294408674786415</v>
      </c>
      <c r="AE970" s="22">
        <f t="shared" si="341"/>
        <v>1.0408198597675704</v>
      </c>
      <c r="AF970" s="22">
        <f t="shared" si="341"/>
        <v>1.0532596993324077</v>
      </c>
      <c r="AG970" s="22">
        <f t="shared" si="341"/>
        <v>1.0679237119019074</v>
      </c>
      <c r="AH970" s="22">
        <f t="shared" si="341"/>
        <v>1.0795376467594282</v>
      </c>
      <c r="AI970" s="22">
        <f t="shared" si="341"/>
        <v>1.0903268663805361</v>
      </c>
      <c r="AJ970" s="22">
        <f t="shared" si="341"/>
        <v>1.102298951714306</v>
      </c>
      <c r="AK970" s="22">
        <f t="shared" si="341"/>
        <v>1.1139495760989377</v>
      </c>
      <c r="AL970" s="22">
        <f t="shared" si="341"/>
        <v>1.1263056277244112</v>
      </c>
      <c r="AM970" s="22">
        <f t="shared" si="341"/>
        <v>1.1388392992836296</v>
      </c>
      <c r="AN970" s="22">
        <f t="shared" si="341"/>
        <v>1.152690852718028</v>
      </c>
      <c r="AO970" s="22">
        <f t="shared" si="341"/>
        <v>1.1660693001897589</v>
      </c>
      <c r="AP970" s="22">
        <f t="shared" si="341"/>
        <v>1.1797657852278758</v>
      </c>
      <c r="AQ970" s="22">
        <f t="shared" si="341"/>
        <v>1.1939879831787625</v>
      </c>
      <c r="AR970" s="22">
        <f t="shared" si="341"/>
        <v>1.2088172021975669</v>
      </c>
      <c r="AS970" s="22">
        <f t="shared" si="341"/>
        <v>1.225329427193572</v>
      </c>
      <c r="AT970" s="22">
        <f t="shared" si="341"/>
        <v>1.2366227619173775</v>
      </c>
      <c r="AU970" s="22">
        <f t="shared" si="341"/>
        <v>1.2476563645423218</v>
      </c>
      <c r="AV970" s="22">
        <f t="shared" si="341"/>
        <v>1.2590026195607404</v>
      </c>
      <c r="AW970" s="22">
        <f t="shared" si="341"/>
        <v>1.2704193427732338</v>
      </c>
      <c r="AY970" s="79"/>
      <c r="AZ970" s="79"/>
    </row>
    <row r="971" spans="1:52" x14ac:dyDescent="0.2">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5.0141199304605817E-2</v>
      </c>
      <c r="M971" s="22">
        <f t="shared" si="341"/>
        <v>5.0536707115294892E-2</v>
      </c>
      <c r="N971" s="22">
        <f t="shared" si="341"/>
        <v>5.0790863013925151E-2</v>
      </c>
      <c r="O971" s="22">
        <f t="shared" si="341"/>
        <v>5.0959750770976343E-2</v>
      </c>
      <c r="P971" s="22">
        <f t="shared" si="341"/>
        <v>5.1041708153806091E-2</v>
      </c>
      <c r="Q971" s="22">
        <f t="shared" si="341"/>
        <v>5.122278251388987E-2</v>
      </c>
      <c r="R971" s="22">
        <f t="shared" si="341"/>
        <v>5.1430505218981168E-2</v>
      </c>
      <c r="S971" s="22">
        <f t="shared" si="341"/>
        <v>5.0022583942975041E-2</v>
      </c>
      <c r="T971" s="22">
        <f t="shared" si="341"/>
        <v>5.0597452251447961E-2</v>
      </c>
      <c r="U971" s="22">
        <f t="shared" si="341"/>
        <v>5.1047922216174907E-2</v>
      </c>
      <c r="V971" s="22">
        <f t="shared" si="341"/>
        <v>5.147469300987563E-2</v>
      </c>
      <c r="W971" s="22">
        <f t="shared" si="341"/>
        <v>5.1973629759952025E-2</v>
      </c>
      <c r="X971" s="22">
        <f t="shared" si="341"/>
        <v>5.2451448061230796E-2</v>
      </c>
      <c r="Y971" s="22">
        <f t="shared" si="341"/>
        <v>5.285219099036944E-2</v>
      </c>
      <c r="Z971" s="22">
        <f t="shared" si="341"/>
        <v>5.3241803437341126E-2</v>
      </c>
      <c r="AA971" s="22">
        <f t="shared" si="341"/>
        <v>5.361135605538344E-2</v>
      </c>
      <c r="AB971" s="22">
        <f t="shared" si="341"/>
        <v>5.4092078320926051E-2</v>
      </c>
      <c r="AC971" s="22">
        <f t="shared" si="341"/>
        <v>5.457032863835528E-2</v>
      </c>
      <c r="AD971" s="22">
        <f t="shared" si="341"/>
        <v>5.5069282025709015E-2</v>
      </c>
      <c r="AE971" s="22">
        <f t="shared" si="341"/>
        <v>5.5677993954022266E-2</v>
      </c>
      <c r="AF971" s="22">
        <f t="shared" si="341"/>
        <v>5.634345523013079E-2</v>
      </c>
      <c r="AG971" s="22">
        <f t="shared" si="341"/>
        <v>5.7127897221244069E-2</v>
      </c>
      <c r="AH971" s="22">
        <f t="shared" si="341"/>
        <v>5.774917725228023E-2</v>
      </c>
      <c r="AI971" s="22">
        <f t="shared" si="341"/>
        <v>5.8326339668230698E-2</v>
      </c>
      <c r="AJ971" s="22">
        <f t="shared" si="341"/>
        <v>5.8966778730355766E-2</v>
      </c>
      <c r="AK971" s="22">
        <f t="shared" si="341"/>
        <v>5.9590021444222652E-2</v>
      </c>
      <c r="AL971" s="22">
        <f t="shared" si="341"/>
        <v>6.025100053800389E-2</v>
      </c>
      <c r="AM971" s="22">
        <f t="shared" si="341"/>
        <v>6.0921481296750873E-2</v>
      </c>
      <c r="AN971" s="22">
        <f t="shared" si="341"/>
        <v>6.1662461305093973E-2</v>
      </c>
      <c r="AO971" s="22">
        <f t="shared" si="341"/>
        <v>6.2378132811988125E-2</v>
      </c>
      <c r="AP971" s="22">
        <f t="shared" si="341"/>
        <v>6.3110817535465588E-2</v>
      </c>
      <c r="AQ971" s="22">
        <f t="shared" si="341"/>
        <v>6.3871624935604179E-2</v>
      </c>
      <c r="AR971" s="22">
        <f t="shared" si="341"/>
        <v>6.4664904540257612E-2</v>
      </c>
      <c r="AS971" s="22">
        <f t="shared" si="341"/>
        <v>6.5548215475254884E-2</v>
      </c>
      <c r="AT971" s="22">
        <f t="shared" si="341"/>
        <v>6.6152345206804408E-2</v>
      </c>
      <c r="AU971" s="22">
        <f t="shared" si="341"/>
        <v>6.6742580735534546E-2</v>
      </c>
      <c r="AV971" s="22">
        <f t="shared" si="341"/>
        <v>6.7349541404460839E-2</v>
      </c>
      <c r="AW971" s="22">
        <f t="shared" si="341"/>
        <v>6.7960271724443314E-2</v>
      </c>
      <c r="AY971" s="79"/>
      <c r="AZ971" s="79"/>
    </row>
    <row r="972" spans="1:52" x14ac:dyDescent="0.2">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0.3999997899835232</v>
      </c>
      <c r="L972" s="94">
        <f>IF('Net zero activities &amp; levers'!$C$12="Off",'Activity data'!AE53*ManureNEF*NtoN2O*kgtoGg,'Net zero Activity data'!AE53*ManureNEF*NtoN2O*kgtoGg)</f>
        <v>0.39653071954810204</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0.38227219443770111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0.31703545795580812</v>
      </c>
      <c r="T972" s="94">
        <f>IF('Net zero activities &amp; levers'!$C$12="Off",'Activity data'!AM53*ManureNEF*NtoN2O*kgtoGg,'Net zero Activity data'!AM53*ManureNEF*NtoN2O*kgtoGg)</f>
        <v>0.32309971218055339</v>
      </c>
      <c r="U972" s="94">
        <f>IF('Net zero activities &amp; levers'!$C$12="Off",'Activity data'!AN53*ManureNEF*NtoN2O*kgtoGg,'Net zero Activity data'!AN53*ManureNEF*NtoN2O*kgtoGg)</f>
        <v>0.32634203711003062</v>
      </c>
      <c r="V972" s="94">
        <f>IF('Net zero activities &amp; levers'!$C$12="Off",'Activity data'!AO53*ManureNEF*NtoN2O*kgtoGg,'Net zero Activity data'!AO53*ManureNEF*NtoN2O*kgtoGg)</f>
        <v>0.32883794885575124</v>
      </c>
      <c r="W972" s="94">
        <f>IF('Net zero activities &amp; levers'!$C$12="Off",'Activity data'!AP53*ManureNEF*NtoN2O*kgtoGg,'Net zero Activity data'!AP53*ManureNEF*NtoN2O*kgtoGg)</f>
        <v>0.33244914541099557</v>
      </c>
      <c r="X972" s="94">
        <f>IF('Net zero activities &amp; levers'!$C$12="Off",'Activity data'!AQ53*ManureNEF*NtoN2O*kgtoGg,'Net zero Activity data'!AQ53*ManureNEF*NtoN2O*kgtoGg)</f>
        <v>0.33537982425623064</v>
      </c>
      <c r="Y972" s="94">
        <f>IF('Net zero activities &amp; levers'!$C$12="Off",'Activity data'!AR53*ManureNEF*NtoN2O*kgtoGg,'Net zero Activity data'!AR53*ManureNEF*NtoN2O*kgtoGg)</f>
        <v>0.33726910277056216</v>
      </c>
      <c r="Z972" s="94">
        <f>IF('Net zero activities &amp; levers'!$C$12="Off",'Activity data'!AS53*ManureNEF*NtoN2O*kgtoGg,'Net zero Activity data'!AS53*ManureNEF*NtoN2O*kgtoGg)</f>
        <v>0.33873976472971684</v>
      </c>
      <c r="AA972" s="94">
        <f>IF('Net zero activities &amp; levers'!$C$12="Off",'Activity data'!AT53*ManureNEF*NtoN2O*kgtoGg,'Net zero Activity data'!AT53*ManureNEF*NtoN2O*kgtoGg)</f>
        <v>0.3396512538265225</v>
      </c>
      <c r="AB972" s="94">
        <f>IF('Net zero activities &amp; levers'!$C$12="Off",'Activity data'!AU53*ManureNEF*NtoN2O*kgtoGg,'Net zero Activity data'!AU53*ManureNEF*NtoN2O*kgtoGg)</f>
        <v>0.34234961980351264</v>
      </c>
      <c r="AC972" s="94">
        <f>IF('Net zero activities &amp; levers'!$C$12="Off",'Activity data'!AV53*ManureNEF*NtoN2O*kgtoGg,'Net zero Activity data'!AV53*ManureNEF*NtoN2O*kgtoGg)</f>
        <v>0.34477749763229165</v>
      </c>
      <c r="AD972" s="94">
        <f>IF('Net zero activities &amp; levers'!$C$12="Off",'Activity data'!AW53*ManureNEF*NtoN2O*kgtoGg,'Net zero Activity data'!AW53*ManureNEF*NtoN2O*kgtoGg)</f>
        <v>0.34490271847402698</v>
      </c>
      <c r="AE972" s="94">
        <f>IF('Net zero activities &amp; levers'!$C$12="Off",'Activity data'!AX53*ManureNEF*NtoN2O*kgtoGg,'Net zero Activity data'!AX53*ManureNEF*NtoN2O*kgtoGg)</f>
        <v>0.34652917307942177</v>
      </c>
      <c r="AF972" s="94">
        <f>IF('Net zero activities &amp; levers'!$C$12="Off",'Activity data'!AY53*ManureNEF*NtoN2O*kgtoGg,'Net zero Activity data'!AY53*ManureNEF*NtoN2O*kgtoGg)</f>
        <v>0.34867994569293842</v>
      </c>
      <c r="AG972" s="94">
        <f>IF('Net zero activities &amp; levers'!$C$12="Off",'Activity data'!AZ53*ManureNEF*NtoN2O*kgtoGg,'Net zero Activity data'!AZ53*ManureNEF*NtoN2O*kgtoGg)</f>
        <v>0.35229087700726325</v>
      </c>
      <c r="AH972" s="94">
        <f>IF('Net zero activities &amp; levers'!$C$12="Off",'Activity data'!BA53*ManureNEF*NtoN2O*kgtoGg,'Net zero Activity data'!BA53*ManureNEF*NtoN2O*kgtoGg)</f>
        <v>0.35286760038592668</v>
      </c>
      <c r="AI972" s="94">
        <f>IF('Net zero activities &amp; levers'!$C$12="Off",'Activity data'!BB53*ManureNEF*NtoN2O*kgtoGg,'Net zero Activity data'!BB53*ManureNEF*NtoN2O*kgtoGg)</f>
        <v>0.35280706113320703</v>
      </c>
      <c r="AJ972" s="94">
        <f>IF('Net zero activities &amp; levers'!$C$12="Off",'Activity data'!BC53*ManureNEF*NtoN2O*kgtoGg,'Net zero Activity data'!BC53*ManureNEF*NtoN2O*kgtoGg)</f>
        <v>0.35333685278149574</v>
      </c>
      <c r="AK972" s="94">
        <f>IF('Net zero activities &amp; levers'!$C$12="Off",'Activity data'!BD53*ManureNEF*NtoN2O*kgtoGg,'Net zero Activity data'!BD53*ManureNEF*NtoN2O*kgtoGg)</f>
        <v>0.35323906806904226</v>
      </c>
      <c r="AL972" s="94">
        <f>IF('Net zero activities &amp; levers'!$C$12="Off",'Activity data'!BE53*ManureNEF*NtoN2O*kgtoGg,'Net zero Activity data'!BE53*ManureNEF*NtoN2O*kgtoGg)</f>
        <v>0.35331388529093138</v>
      </c>
      <c r="AM972" s="94">
        <f>IF('Net zero activities &amp; levers'!$C$12="Off",'Activity data'!BF53*ManureNEF*NtoN2O*kgtoGg,'Net zero Activity data'!BF53*ManureNEF*NtoN2O*kgtoGg)</f>
        <v>0.35314408948749232</v>
      </c>
      <c r="AN972" s="94">
        <f>IF('Net zero activities &amp; levers'!$C$12="Off",'Activity data'!BG53*ManureNEF*NtoN2O*kgtoGg,'Net zero Activity data'!BG53*ManureNEF*NtoN2O*kgtoGg)</f>
        <v>0.35567872633842856</v>
      </c>
      <c r="AO972" s="94">
        <f>IF('Net zero activities &amp; levers'!$C$12="Off",'Activity data'!BH53*ManureNEF*NtoN2O*kgtoGg,'Net zero Activity data'!BH53*ManureNEF*NtoN2O*kgtoGg)</f>
        <v>0.35753295708802146</v>
      </c>
      <c r="AP972" s="94">
        <f>IF('Net zero activities &amp; levers'!$C$12="Off",'Activity data'!BI53*ManureNEF*NtoN2O*kgtoGg,'Net zero Activity data'!BI53*ManureNEF*NtoN2O*kgtoGg)</f>
        <v>0.35928020343080169</v>
      </c>
      <c r="AQ972" s="94">
        <f>IF('Net zero activities &amp; levers'!$C$12="Off",'Activity data'!BJ53*ManureNEF*NtoN2O*kgtoGg,'Net zero Activity data'!BJ53*ManureNEF*NtoN2O*kgtoGg)</f>
        <v>0.36105415112579775</v>
      </c>
      <c r="AR972" s="94">
        <f>IF('Net zero activities &amp; levers'!$C$12="Off",'Activity data'!BK53*ManureNEF*NtoN2O*kgtoGg,'Net zero Activity data'!BK53*ManureNEF*NtoN2O*kgtoGg)</f>
        <v>0.36289326988326759</v>
      </c>
      <c r="AS972" s="94">
        <f>IF('Net zero activities &amp; levers'!$C$12="Off",'Activity data'!BL53*ManureNEF*NtoN2O*kgtoGg,'Net zero Activity data'!BL53*ManureNEF*NtoN2O*kgtoGg)</f>
        <v>0.36577537997432297</v>
      </c>
      <c r="AT972" s="94">
        <f>IF('Net zero activities &amp; levers'!$C$12="Off",'Activity data'!BM53*ManureNEF*NtoN2O*kgtoGg,'Net zero Activity data'!BM53*ManureNEF*NtoN2O*kgtoGg)</f>
        <v>0.36496360671057504</v>
      </c>
      <c r="AU972" s="94">
        <f>IF('Net zero activities &amp; levers'!$C$12="Off",'Activity data'!BN53*ManureNEF*NtoN2O*kgtoGg,'Net zero Activity data'!BN53*ManureNEF*NtoN2O*kgtoGg)</f>
        <v>0.36374650903258482</v>
      </c>
      <c r="AV972" s="94">
        <f>IF('Net zero activities &amp; levers'!$C$12="Off",'Activity data'!BO53*ManureNEF*NtoN2O*kgtoGg,'Net zero Activity data'!BO53*ManureNEF*NtoN2O*kgtoGg)</f>
        <v>0.36248592595380585</v>
      </c>
      <c r="AW972" s="94">
        <f>IF('Net zero activities &amp; levers'!$C$12="Off",'Activity data'!BP53*ManureNEF*NtoN2O*kgtoGg,'Net zero Activity data'!BP53*ManureNEF*NtoN2O*kgtoGg)</f>
        <v>0.36103102436723483</v>
      </c>
      <c r="AY972" s="79"/>
      <c r="AZ972" s="79"/>
    </row>
    <row r="973" spans="1:52" x14ac:dyDescent="0.2">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2.6602988559851246</v>
      </c>
      <c r="L973" s="94">
        <f>IF('Net zero activities &amp; levers'!$C$12="Off",'Activity data'!AE54*ManureNEF*NtoN2O*kgtoGg,'Net zero Activity data'!AE54*ManureNEF*NtoN2O*kgtoGg)</f>
        <v>2.6372269335947092</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2.5423970387070205</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2.1085237723282266</v>
      </c>
      <c r="T973" s="94">
        <f>IF('Net zero activities &amp; levers'!$C$12="Off",'Activity data'!AM54*ManureNEF*NtoN2O*kgtoGg,'Net zero Activity data'!AM54*ManureNEF*NtoN2O*kgtoGg)</f>
        <v>2.1488556149453371</v>
      </c>
      <c r="U973" s="94">
        <f>IF('Net zero activities &amp; levers'!$C$12="Off",'Activity data'!AN54*ManureNEF*NtoN2O*kgtoGg,'Net zero Activity data'!AN54*ManureNEF*NtoN2O*kgtoGg)</f>
        <v>2.1704195095188212</v>
      </c>
      <c r="V973" s="94">
        <f>IF('Net zero activities &amp; levers'!$C$12="Off",'Activity data'!AO54*ManureNEF*NtoN2O*kgtoGg,'Net zero Activity data'!AO54*ManureNEF*NtoN2O*kgtoGg)</f>
        <v>2.1870191961387908</v>
      </c>
      <c r="W973" s="94">
        <f>IF('Net zero activities &amp; levers'!$C$12="Off",'Activity data'!AP54*ManureNEF*NtoN2O*kgtoGg,'Net zero Activity data'!AP54*ManureNEF*NtoN2O*kgtoGg)</f>
        <v>2.211036363910428</v>
      </c>
      <c r="X973" s="94">
        <f>IF('Net zero activities &amp; levers'!$C$12="Off",'Activity data'!AQ54*ManureNEF*NtoN2O*kgtoGg,'Net zero Activity data'!AQ54*ManureNEF*NtoN2O*kgtoGg)</f>
        <v>2.2305275780922154</v>
      </c>
      <c r="Y973" s="94">
        <f>IF('Net zero activities &amp; levers'!$C$12="Off",'Activity data'!AR54*ManureNEF*NtoN2O*kgtoGg,'Net zero Activity data'!AR54*ManureNEF*NtoN2O*kgtoGg)</f>
        <v>2.2430926983652055</v>
      </c>
      <c r="Z973" s="94">
        <f>IF('Net zero activities &amp; levers'!$C$12="Off",'Activity data'!AS54*ManureNEF*NtoN2O*kgtoGg,'Net zero Activity data'!AS54*ManureNEF*NtoN2O*kgtoGg)</f>
        <v>2.252873704319335</v>
      </c>
      <c r="AA973" s="94">
        <f>IF('Net zero activities &amp; levers'!$C$12="Off",'Activity data'!AT54*ManureNEF*NtoN2O*kgtoGg,'Net zero Activity data'!AT54*ManureNEF*NtoN2O*kgtoGg)</f>
        <v>2.2589357910058689</v>
      </c>
      <c r="AB973" s="94">
        <f>IF('Net zero activities &amp; levers'!$C$12="Off",'Activity data'!AU54*ManureNEF*NtoN2O*kgtoGg,'Net zero Activity data'!AU54*ManureNEF*NtoN2O*kgtoGg)</f>
        <v>2.2768819502323812</v>
      </c>
      <c r="AC973" s="94">
        <f>IF('Net zero activities &amp; levers'!$C$12="Off",'Activity data'!AV54*ManureNEF*NtoN2O*kgtoGg,'Net zero Activity data'!AV54*ManureNEF*NtoN2O*kgtoGg)</f>
        <v>2.2930291602362631</v>
      </c>
      <c r="AD973" s="94">
        <f>IF('Net zero activities &amp; levers'!$C$12="Off",'Activity data'!AW54*ManureNEF*NtoN2O*kgtoGg,'Net zero Activity data'!AW54*ManureNEF*NtoN2O*kgtoGg)</f>
        <v>2.2938619728285596</v>
      </c>
      <c r="AE973" s="94">
        <f>IF('Net zero activities &amp; levers'!$C$12="Off",'Activity data'!AX54*ManureNEF*NtoN2O*kgtoGg,'Net zero Activity data'!AX54*ManureNEF*NtoN2O*kgtoGg)</f>
        <v>2.3046791168231131</v>
      </c>
      <c r="AF973" s="94">
        <f>IF('Net zero activities &amp; levers'!$C$12="Off",'Activity data'!AY54*ManureNEF*NtoN2O*kgtoGg,'Net zero Activity data'!AY54*ManureNEF*NtoN2O*kgtoGg)</f>
        <v>2.3189833691414923</v>
      </c>
      <c r="AG973" s="94">
        <f>IF('Net zero activities &amp; levers'!$C$12="Off",'Activity data'!AZ54*ManureNEF*NtoN2O*kgtoGg,'Net zero Activity data'!AZ54*ManureNEF*NtoN2O*kgtoGg)</f>
        <v>2.3429987728619159</v>
      </c>
      <c r="AH973" s="94">
        <f>IF('Net zero activities &amp; levers'!$C$12="Off",'Activity data'!BA54*ManureNEF*NtoN2O*kgtoGg,'Net zero Activity data'!BA54*ManureNEF*NtoN2O*kgtoGg)</f>
        <v>2.346834416236983</v>
      </c>
      <c r="AI973" s="94">
        <f>IF('Net zero activities &amp; levers'!$C$12="Off",'Activity data'!BB54*ManureNEF*NtoN2O*kgtoGg,'Net zero Activity data'!BB54*ManureNEF*NtoN2O*kgtoGg)</f>
        <v>2.3464317847637033</v>
      </c>
      <c r="AJ973" s="94">
        <f>IF('Net zero activities &amp; levers'!$C$12="Off",'Activity data'!BC54*ManureNEF*NtoN2O*kgtoGg,'Net zero Activity data'!BC54*ManureNEF*NtoN2O*kgtoGg)</f>
        <v>2.3499552969033255</v>
      </c>
      <c r="AK973" s="94">
        <f>IF('Net zero activities &amp; levers'!$C$12="Off",'Activity data'!BD54*ManureNEF*NtoN2O*kgtoGg,'Net zero Activity data'!BD54*ManureNEF*NtoN2O*kgtoGg)</f>
        <v>2.3493049551651861</v>
      </c>
      <c r="AL973" s="94">
        <f>IF('Net zero activities &amp; levers'!$C$12="Off",'Activity data'!BE54*ManureNEF*NtoN2O*kgtoGg,'Net zero Activity data'!BE54*ManureNEF*NtoN2O*kgtoGg)</f>
        <v>2.3498025458509408</v>
      </c>
      <c r="AM973" s="94">
        <f>IF('Net zero activities &amp; levers'!$C$12="Off",'Activity data'!BF54*ManureNEF*NtoN2O*kgtoGg,'Net zero Activity data'!BF54*ManureNEF*NtoN2O*kgtoGg)</f>
        <v>2.3486732763039284</v>
      </c>
      <c r="AN973" s="94">
        <f>IF('Net zero activities &amp; levers'!$C$12="Off",'Activity data'!BG54*ManureNEF*NtoN2O*kgtoGg,'Net zero Activity data'!BG54*ManureNEF*NtoN2O*kgtoGg)</f>
        <v>2.3655305139418807</v>
      </c>
      <c r="AO973" s="94">
        <f>IF('Net zero activities &amp; levers'!$C$12="Off",'Activity data'!BH54*ManureNEF*NtoN2O*kgtoGg,'Net zero Activity data'!BH54*ManureNEF*NtoN2O*kgtoGg)</f>
        <v>2.3778625402713889</v>
      </c>
      <c r="AP973" s="94">
        <f>IF('Net zero activities &amp; levers'!$C$12="Off",'Activity data'!BI54*ManureNEF*NtoN2O*kgtoGg,'Net zero Activity data'!BI54*ManureNEF*NtoN2O*kgtoGg)</f>
        <v>2.3894830399896865</v>
      </c>
      <c r="AQ973" s="94">
        <f>IF('Net zero activities &amp; levers'!$C$12="Off",'Activity data'!BJ54*ManureNEF*NtoN2O*kgtoGg,'Net zero Activity data'!BJ54*ManureNEF*NtoN2O*kgtoGg)</f>
        <v>2.4012811237431047</v>
      </c>
      <c r="AR973" s="94">
        <f>IF('Net zero activities &amp; levers'!$C$12="Off",'Activity data'!BK54*ManureNEF*NtoN2O*kgtoGg,'Net zero Activity data'!BK54*ManureNEF*NtoN2O*kgtoGg)</f>
        <v>2.413512643981452</v>
      </c>
      <c r="AS973" s="94">
        <f>IF('Net zero activities &amp; levers'!$C$12="Off",'Activity data'!BL54*ManureNEF*NtoN2O*kgtoGg,'Net zero Activity data'!BL54*ManureNEF*NtoN2O*kgtoGg)</f>
        <v>2.4326808394906876</v>
      </c>
      <c r="AT973" s="94">
        <f>IF('Net zero activities &amp; levers'!$C$12="Off",'Activity data'!BM54*ManureNEF*NtoN2O*kgtoGg,'Net zero Activity data'!BM54*ManureNEF*NtoN2O*kgtoGg)</f>
        <v>2.4272819379438721</v>
      </c>
      <c r="AU973" s="94">
        <f>IF('Net zero activities &amp; levers'!$C$12="Off",'Activity data'!BN54*ManureNEF*NtoN2O*kgtoGg,'Net zero Activity data'!BN54*ManureNEF*NtoN2O*kgtoGg)</f>
        <v>2.4191873247929188</v>
      </c>
      <c r="AV973" s="94">
        <f>IF('Net zero activities &amp; levers'!$C$12="Off",'Activity data'!BO54*ManureNEF*NtoN2O*kgtoGg,'Net zero Activity data'!BO54*ManureNEF*NtoN2O*kgtoGg)</f>
        <v>2.4108035010851898</v>
      </c>
      <c r="AW973" s="94">
        <f>IF('Net zero activities &amp; levers'!$C$12="Off",'Activity data'!BP54*ManureNEF*NtoN2O*kgtoGg,'Net zero Activity data'!BP54*ManureNEF*NtoN2O*kgtoGg)</f>
        <v>2.4011273134389794</v>
      </c>
      <c r="AY973" s="79"/>
      <c r="AZ973" s="79"/>
    </row>
    <row r="974" spans="1:52" x14ac:dyDescent="0.2">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0.35516571939691516</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0.38707850955818868</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0.37652794837094722</v>
      </c>
      <c r="T974" s="94">
        <f>IF('Net zero activities &amp; levers'!$C$12="Off",'Activity data'!AM55*ManureNEF*NtoN2O*kgtoGg,'Net zero Activity data'!AM55*ManureNEF*NtoN2O*kgtoGg)</f>
        <v>0.39297526852441034</v>
      </c>
      <c r="U974" s="94">
        <f>IF('Net zero activities &amp; levers'!$C$12="Off",'Activity data'!AN55*ManureNEF*NtoN2O*kgtoGg,'Net zero Activity data'!AN55*ManureNEF*NtoN2O*kgtoGg)</f>
        <v>0.40635032563114942</v>
      </c>
      <c r="V974" s="94">
        <f>IF('Net zero activities &amp; levers'!$C$12="Off",'Activity data'!AO55*ManureNEF*NtoN2O*kgtoGg,'Net zero Activity data'!AO55*ManureNEF*NtoN2O*kgtoGg)</f>
        <v>0.41906397887076929</v>
      </c>
      <c r="W974" s="94">
        <f>IF('Net zero activities &amp; levers'!$C$12="Off",'Activity data'!AP55*ManureNEF*NtoN2O*kgtoGg,'Net zero Activity data'!AP55*ManureNEF*NtoN2O*kgtoGg)</f>
        <v>0.4334881601814114</v>
      </c>
      <c r="X974" s="94">
        <f>IF('Net zero activities &amp; levers'!$C$12="Off",'Activity data'!AQ55*ManureNEF*NtoN2O*kgtoGg,'Net zero Activity data'!AQ55*ManureNEF*NtoN2O*kgtoGg)</f>
        <v>0.44733744019305588</v>
      </c>
      <c r="Y974" s="94">
        <f>IF('Net zero activities &amp; levers'!$C$12="Off",'Activity data'!AR55*ManureNEF*NtoN2O*kgtoGg,'Net zero Activity data'!AR55*ManureNEF*NtoN2O*kgtoGg)</f>
        <v>0.46006881076150558</v>
      </c>
      <c r="Z974" s="94">
        <f>IF('Net zero activities &amp; levers'!$C$12="Off",'Activity data'!AS55*ManureNEF*NtoN2O*kgtoGg,'Net zero Activity data'!AS55*ManureNEF*NtoN2O*kgtoGg)</f>
        <v>0.47246549989332448</v>
      </c>
      <c r="AA974" s="94">
        <f>IF('Net zero activities &amp; levers'!$C$12="Off",'Activity data'!AT55*ManureNEF*NtoN2O*kgtoGg,'Net zero Activity data'!AT55*ManureNEF*NtoN2O*kgtoGg)</f>
        <v>0.4842972828341911</v>
      </c>
      <c r="AB974" s="94">
        <f>IF('Net zero activities &amp; levers'!$C$12="Off",'Activity data'!AU55*ManureNEF*NtoN2O*kgtoGg,'Net zero Activity data'!AU55*ManureNEF*NtoN2O*kgtoGg)</f>
        <v>0.49893915197034427</v>
      </c>
      <c r="AC974" s="94">
        <f>IF('Net zero activities &amp; levers'!$C$12="Off",'Activity data'!AV55*ManureNEF*NtoN2O*kgtoGg,'Net zero Activity data'!AV55*ManureNEF*NtoN2O*kgtoGg)</f>
        <v>0.51350643977275245</v>
      </c>
      <c r="AD974" s="94">
        <f>IF('Net zero activities &amp; levers'!$C$12="Off",'Activity data'!AW55*ManureNEF*NtoN2O*kgtoGg,'Net zero Activity data'!AW55*ManureNEF*NtoN2O*kgtoGg)</f>
        <v>0.53072839151044782</v>
      </c>
      <c r="AE974" s="94">
        <f>IF('Net zero activities &amp; levers'!$C$12="Off",'Activity data'!AX55*ManureNEF*NtoN2O*kgtoGg,'Net zero Activity data'!AX55*ManureNEF*NtoN2O*kgtoGg)</f>
        <v>0.55094843194330412</v>
      </c>
      <c r="AF974" s="94">
        <f>IF('Net zero activities &amp; levers'!$C$12="Off",'Activity data'!AY55*ManureNEF*NtoN2O*kgtoGg,'Net zero Activity data'!AY55*ManureNEF*NtoN2O*kgtoGg)</f>
        <v>0.57283458620168215</v>
      </c>
      <c r="AG974" s="94">
        <f>IF('Net zero activities &amp; levers'!$C$12="Off",'Activity data'!AZ55*ManureNEF*NtoN2O*kgtoGg,'Net zero Activity data'!AZ55*ManureNEF*NtoN2O*kgtoGg)</f>
        <v>0.59810752351139296</v>
      </c>
      <c r="AH974" s="94">
        <f>IF('Net zero activities &amp; levers'!$C$12="Off",'Activity data'!BA55*ManureNEF*NtoN2O*kgtoGg,'Net zero Activity data'!BA55*ManureNEF*NtoN2O*kgtoGg)</f>
        <v>0.61918227343437504</v>
      </c>
      <c r="AI974" s="94">
        <f>IF('Net zero activities &amp; levers'!$C$12="Off",'Activity data'!BB55*ManureNEF*NtoN2O*kgtoGg,'Net zero Activity data'!BB55*ManureNEF*NtoN2O*kgtoGg)</f>
        <v>0.63993352160681027</v>
      </c>
      <c r="AJ974" s="94">
        <f>IF('Net zero activities &amp; levers'!$C$12="Off",'Activity data'!BC55*ManureNEF*NtoN2O*kgtoGg,'Net zero Activity data'!BC55*ManureNEF*NtoN2O*kgtoGg)</f>
        <v>0.66259501614961847</v>
      </c>
      <c r="AK974" s="94">
        <f>IF('Net zero activities &amp; levers'!$C$12="Off",'Activity data'!BD55*ManureNEF*NtoN2O*kgtoGg,'Net zero Activity data'!BD55*ManureNEF*NtoN2O*kgtoGg)</f>
        <v>0.68496632766069843</v>
      </c>
      <c r="AL974" s="94">
        <f>IF('Net zero activities &amp; levers'!$C$12="Off",'Activity data'!BE55*ManureNEF*NtoN2O*kgtoGg,'Net zero Activity data'!BE55*ManureNEF*NtoN2O*kgtoGg)</f>
        <v>0.70858354272657831</v>
      </c>
      <c r="AM974" s="94">
        <f>IF('Net zero activities &amp; levers'!$C$12="Off",'Activity data'!BF55*ManureNEF*NtoN2O*kgtoGg,'Net zero Activity data'!BF55*ManureNEF*NtoN2O*kgtoGg)</f>
        <v>0.73267251576118442</v>
      </c>
      <c r="AN974" s="94">
        <f>IF('Net zero activities &amp; levers'!$C$12="Off",'Activity data'!BG55*ManureNEF*NtoN2O*kgtoGg,'Net zero Activity data'!BG55*ManureNEF*NtoN2O*kgtoGg)</f>
        <v>0.75875206021259933</v>
      </c>
      <c r="AO974" s="94">
        <f>IF('Net zero activities &amp; levers'!$C$12="Off",'Activity data'!BH55*ManureNEF*NtoN2O*kgtoGg,'Net zero Activity data'!BH55*ManureNEF*NtoN2O*kgtoGg)</f>
        <v>0.78430196742523084</v>
      </c>
      <c r="AP974" s="94">
        <f>IF('Net zero activities &amp; levers'!$C$12="Off",'Activity data'!BI55*ManureNEF*NtoN2O*kgtoGg,'Net zero Activity data'!BI55*ManureNEF*NtoN2O*kgtoGg)</f>
        <v>0.81053600981631879</v>
      </c>
      <c r="AQ974" s="94">
        <f>IF('Net zero activities &amp; levers'!$C$12="Off",'Activity data'!BJ55*ManureNEF*NtoN2O*kgtoGg,'Net zero Activity data'!BJ55*ManureNEF*NtoN2O*kgtoGg)</f>
        <v>0.83778993006127533</v>
      </c>
      <c r="AR974" s="94">
        <f>IF('Net zero activities &amp; levers'!$C$12="Off",'Activity data'!BK55*ManureNEF*NtoN2O*kgtoGg,'Net zero Activity data'!BK55*ManureNEF*NtoN2O*kgtoGg)</f>
        <v>0.86620935276117805</v>
      </c>
      <c r="AS974" s="94">
        <f>IF('Net zero activities &amp; levers'!$C$12="Off",'Activity data'!BL55*ManureNEF*NtoN2O*kgtoGg,'Net zero Activity data'!BL55*ManureNEF*NtoN2O*kgtoGg)</f>
        <v>0.89826083748814867</v>
      </c>
      <c r="AT974" s="94">
        <f>IF('Net zero activities &amp; levers'!$C$12="Off",'Activity data'!BM55*ManureNEF*NtoN2O*kgtoGg,'Net zero Activity data'!BM55*ManureNEF*NtoN2O*kgtoGg)</f>
        <v>0.9222529178926514</v>
      </c>
      <c r="AU974" s="94">
        <f>IF('Net zero activities &amp; levers'!$C$12="Off",'Activity data'!BN55*ManureNEF*NtoN2O*kgtoGg,'Net zero Activity data'!BN55*ManureNEF*NtoN2O*kgtoGg)</f>
        <v>0.94598858331962243</v>
      </c>
      <c r="AV974" s="94">
        <f>IF('Net zero activities &amp; levers'!$C$12="Off",'Activity data'!BO55*ManureNEF*NtoN2O*kgtoGg,'Net zero Activity data'!BO55*ManureNEF*NtoN2O*kgtoGg)</f>
        <v>0.9703863283837505</v>
      </c>
      <c r="AW974" s="94">
        <f>IF('Net zero activities &amp; levers'!$C$12="Off",'Activity data'!BP55*ManureNEF*NtoN2O*kgtoGg,'Net zero Activity data'!BP55*ManureNEF*NtoN2O*kgtoGg)</f>
        <v>0.99506234412260963</v>
      </c>
      <c r="AY974" s="79"/>
      <c r="AZ974" s="79"/>
    </row>
    <row r="975" spans="1:52" x14ac:dyDescent="0.2">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5.9536061137450337E-2</v>
      </c>
      <c r="T975" s="94">
        <f>IF('Net zero activities &amp; levers'!$C$12="Off",'Activity data'!AM56*ManureNEF*NtoN2O*kgtoGg,IF('Net zero activities &amp; levers'!$C$12="PB",'Activity data'!AM56*ManureNEF*NtoN2O*kgtoGg,IF('Net zero activities &amp; levers'!$C$12="MS",'Net zero Activity data'!AM56*ManureNEF*NtoN2O*kgtoGg,"ERROR")))</f>
        <v>5.9626729725854671E-2</v>
      </c>
      <c r="U975" s="94">
        <f>IF('Net zero activities &amp; levers'!$C$12="Off",'Activity data'!AN56*ManureNEF*NtoN2O*kgtoGg,IF('Net zero activities &amp; levers'!$C$12="PB",'Activity data'!AN56*ManureNEF*NtoN2O*kgtoGg,IF('Net zero activities &amp; levers'!$C$12="MS",'Net zero Activity data'!AN56*ManureNEF*NtoN2O*kgtoGg,"ERROR")))</f>
        <v>5.9729206929355502E-2</v>
      </c>
      <c r="V975" s="94">
        <f>IF('Net zero activities &amp; levers'!$C$12="Off",'Activity data'!AO56*ManureNEF*NtoN2O*kgtoGg,IF('Net zero activities &amp; levers'!$C$12="PB",'Activity data'!AO56*ManureNEF*NtoN2O*kgtoGg,IF('Net zero activities &amp; levers'!$C$12="MS",'Net zero Activity data'!AO56*ManureNEF*NtoN2O*kgtoGg,"ERROR")))</f>
        <v>5.9844810274995809E-2</v>
      </c>
      <c r="W975" s="94">
        <f>IF('Net zero activities &amp; levers'!$C$12="Off",'Activity data'!AP56*ManureNEF*NtoN2O*kgtoGg,IF('Net zero activities &amp; levers'!$C$12="PB",'Activity data'!AP56*ManureNEF*NtoN2O*kgtoGg,IF('Net zero activities &amp; levers'!$C$12="MS",'Net zero Activity data'!AP56*ManureNEF*NtoN2O*kgtoGg,"ERROR")))</f>
        <v>5.9974855541164628E-2</v>
      </c>
      <c r="X975" s="94">
        <f>IF('Net zero activities &amp; levers'!$C$12="Off",'Activity data'!AQ56*ManureNEF*NtoN2O*kgtoGg,IF('Net zero activities &amp; levers'!$C$12="PB",'Activity data'!AQ56*ManureNEF*NtoN2O*kgtoGg,IF('Net zero activities &amp; levers'!$C$12="MS",'Net zero Activity data'!AQ56*ManureNEF*NtoN2O*kgtoGg,"ERROR")))</f>
        <v>6.0116631008549089E-2</v>
      </c>
      <c r="Y975" s="94">
        <f>IF('Net zero activities &amp; levers'!$C$12="Off",'Activity data'!AR56*ManureNEF*NtoN2O*kgtoGg,IF('Net zero activities &amp; levers'!$C$12="PB",'Activity data'!AR56*ManureNEF*NtoN2O*kgtoGg,IF('Net zero activities &amp; levers'!$C$12="MS",'Net zero Activity data'!AR56*ManureNEF*NtoN2O*kgtoGg,"ERROR")))</f>
        <v>6.0202857685321479E-2</v>
      </c>
      <c r="Z975" s="94">
        <f>IF('Net zero activities &amp; levers'!$C$12="Off",'Activity data'!AS56*ManureNEF*NtoN2O*kgtoGg,IF('Net zero activities &amp; levers'!$C$12="PB",'Activity data'!AS56*ManureNEF*NtoN2O*kgtoGg,IF('Net zero activities &amp; levers'!$C$12="MS",'Net zero Activity data'!AS56*ManureNEF*NtoN2O*kgtoGg,"ERROR")))</f>
        <v>6.0299167924469661E-2</v>
      </c>
      <c r="AA975" s="94">
        <f>IF('Net zero activities &amp; levers'!$C$12="Off",'Activity data'!AT56*ManureNEF*NtoN2O*kgtoGg,IF('Net zero activities &amp; levers'!$C$12="PB",'Activity data'!AT56*ManureNEF*NtoN2O*kgtoGg,IF('Net zero activities &amp; levers'!$C$12="MS",'Net zero Activity data'!AT56*ManureNEF*NtoN2O*kgtoGg,"ERROR")))</f>
        <v>6.0404855231945616E-2</v>
      </c>
      <c r="AB975" s="94">
        <f>IF('Net zero activities &amp; levers'!$C$12="Off",'Activity data'!AU56*ManureNEF*NtoN2O*kgtoGg,IF('Net zero activities &amp; levers'!$C$12="PB",'Activity data'!AU56*ManureNEF*NtoN2O*kgtoGg,IF('Net zero activities &amp; levers'!$C$12="MS",'Net zero Activity data'!AU56*ManureNEF*NtoN2O*kgtoGg,"ERROR")))</f>
        <v>6.052231244286084E-2</v>
      </c>
      <c r="AC975" s="94">
        <f>IF('Net zero activities &amp; levers'!$C$12="Off",'Activity data'!AV56*ManureNEF*NtoN2O*kgtoGg,IF('Net zero activities &amp; levers'!$C$12="PB",'Activity data'!AV56*ManureNEF*NtoN2O*kgtoGg,IF('Net zero activities &amp; levers'!$C$12="MS",'Net zero Activity data'!AV56*ManureNEF*NtoN2O*kgtoGg,"ERROR")))</f>
        <v>6.064865362872638E-2</v>
      </c>
      <c r="AD975" s="94">
        <f>IF('Net zero activities &amp; levers'!$C$12="Off",'Activity data'!AW56*ManureNEF*NtoN2O*kgtoGg,IF('Net zero activities &amp; levers'!$C$12="PB",'Activity data'!AW56*ManureNEF*NtoN2O*kgtoGg,IF('Net zero activities &amp; levers'!$C$12="MS",'Net zero Activity data'!AW56*ManureNEF*NtoN2O*kgtoGg,"ERROR")))</f>
        <v>6.0731208862415634E-2</v>
      </c>
      <c r="AE975" s="94">
        <f>IF('Net zero activities &amp; levers'!$C$12="Off",'Activity data'!AX56*ManureNEF*NtoN2O*kgtoGg,IF('Net zero activities &amp; levers'!$C$12="PB",'Activity data'!AX56*ManureNEF*NtoN2O*kgtoGg,IF('Net zero activities &amp; levers'!$C$12="MS",'Net zero Activity data'!AX56*ManureNEF*NtoN2O*kgtoGg,"ERROR")))</f>
        <v>6.0823877481192126E-2</v>
      </c>
      <c r="AF975" s="94">
        <f>IF('Net zero activities &amp; levers'!$C$12="Off",'Activity data'!AY56*ManureNEF*NtoN2O*kgtoGg,IF('Net zero activities &amp; levers'!$C$12="PB",'Activity data'!AY56*ManureNEF*NtoN2O*kgtoGg,IF('Net zero activities &amp; levers'!$C$12="MS",'Net zero Activity data'!AY56*ManureNEF*NtoN2O*kgtoGg,"ERROR")))</f>
        <v>6.0925179087084252E-2</v>
      </c>
      <c r="AG975" s="94">
        <f>IF('Net zero activities &amp; levers'!$C$12="Off",'Activity data'!AZ56*ManureNEF*NtoN2O*kgtoGg,IF('Net zero activities &amp; levers'!$C$12="PB",'Activity data'!AZ56*ManureNEF*NtoN2O*kgtoGg,IF('Net zero activities &amp; levers'!$C$12="MS",'Net zero Activity data'!AZ56*ManureNEF*NtoN2O*kgtoGg,"ERROR")))</f>
        <v>6.1036165719670403E-2</v>
      </c>
      <c r="AH975" s="94">
        <f>IF('Net zero activities &amp; levers'!$C$12="Off",'Activity data'!BA56*ManureNEF*NtoN2O*kgtoGg,IF('Net zero activities &amp; levers'!$C$12="PB",'Activity data'!BA56*ManureNEF*NtoN2O*kgtoGg,IF('Net zero activities &amp; levers'!$C$12="MS",'Net zero Activity data'!BA56*ManureNEF*NtoN2O*kgtoGg,"ERROR")))</f>
        <v>6.1150437256879263E-2</v>
      </c>
      <c r="AI975" s="94">
        <f>IF('Net zero activities &amp; levers'!$C$12="Off",'Activity data'!BB56*ManureNEF*NtoN2O*kgtoGg,IF('Net zero activities &amp; levers'!$C$12="PB",'Activity data'!BB56*ManureNEF*NtoN2O*kgtoGg,IF('Net zero activities &amp; levers'!$C$12="MS",'Net zero Activity data'!BB56*ManureNEF*NtoN2O*kgtoGg,"ERROR")))</f>
        <v>6.1220471443741167E-2</v>
      </c>
      <c r="AJ975" s="94">
        <f>IF('Net zero activities &amp; levers'!$C$12="Off",'Activity data'!BC56*ManureNEF*NtoN2O*kgtoGg,IF('Net zero activities &amp; levers'!$C$12="PB",'Activity data'!BC56*ManureNEF*NtoN2O*kgtoGg,IF('Net zero activities &amp; levers'!$C$12="MS",'Net zero Activity data'!BC56*ManureNEF*NtoN2O*kgtoGg,"ERROR")))</f>
        <v>6.1297838147090833E-2</v>
      </c>
      <c r="AK975" s="94">
        <f>IF('Net zero activities &amp; levers'!$C$12="Off",'Activity data'!BD56*ManureNEF*NtoN2O*kgtoGg,IF('Net zero activities &amp; levers'!$C$12="PB",'Activity data'!BD56*ManureNEF*NtoN2O*kgtoGg,IF('Net zero activities &amp; levers'!$C$12="MS",'Net zero Activity data'!BD56*ManureNEF*NtoN2O*kgtoGg,"ERROR")))</f>
        <v>6.1380565224491167E-2</v>
      </c>
      <c r="AL975" s="94">
        <f>IF('Net zero activities &amp; levers'!$C$12="Off",'Activity data'!BE56*ManureNEF*NtoN2O*kgtoGg,IF('Net zero activities &amp; levers'!$C$12="PB",'Activity data'!BE56*ManureNEF*NtoN2O*kgtoGg,IF('Net zero activities &amp; levers'!$C$12="MS",'Net zero Activity data'!BE56*ManureNEF*NtoN2O*kgtoGg,"ERROR")))</f>
        <v>6.1469636895764942E-2</v>
      </c>
      <c r="AM975" s="94">
        <f>IF('Net zero activities &amp; levers'!$C$12="Off",'Activity data'!BF56*ManureNEF*NtoN2O*kgtoGg,IF('Net zero activities &amp; levers'!$C$12="PB",'Activity data'!BF56*ManureNEF*NtoN2O*kgtoGg,IF('Net zero activities &amp; levers'!$C$12="MS",'Net zero Activity data'!BF56*ManureNEF*NtoN2O*kgtoGg,"ERROR")))</f>
        <v>6.1564248264751806E-2</v>
      </c>
      <c r="AN975" s="94">
        <f>IF('Net zero activities &amp; levers'!$C$12="Off",'Activity data'!BG56*ManureNEF*NtoN2O*kgtoGg,IF('Net zero activities &amp; levers'!$C$12="PB",'Activity data'!BG56*ManureNEF*NtoN2O*kgtoGg,IF('Net zero activities &amp; levers'!$C$12="MS",'Net zero Activity data'!BG56*ManureNEF*NtoN2O*kgtoGg,"ERROR")))</f>
        <v>6.1619115142281453E-2</v>
      </c>
      <c r="AO975" s="94">
        <f>IF('Net zero activities &amp; levers'!$C$12="Off",'Activity data'!BH56*ManureNEF*NtoN2O*kgtoGg,IF('Net zero activities &amp; levers'!$C$12="PB",'Activity data'!BH56*ManureNEF*NtoN2O*kgtoGg,IF('Net zero activities &amp; levers'!$C$12="MS",'Net zero Activity data'!BH56*ManureNEF*NtoN2O*kgtoGg,"ERROR")))</f>
        <v>6.1678131563041472E-2</v>
      </c>
      <c r="AP975" s="94">
        <f>IF('Net zero activities &amp; levers'!$C$12="Off",'Activity data'!BI56*ManureNEF*NtoN2O*kgtoGg,IF('Net zero activities &amp; levers'!$C$12="PB",'Activity data'!BI56*ManureNEF*NtoN2O*kgtoGg,IF('Net zero activities &amp; levers'!$C$12="MS",'Net zero Activity data'!BI56*ManureNEF*NtoN2O*kgtoGg,"ERROR")))</f>
        <v>6.1742051762293963E-2</v>
      </c>
      <c r="AQ975" s="94">
        <f>IF('Net zero activities &amp; levers'!$C$12="Off",'Activity data'!BJ56*ManureNEF*NtoN2O*kgtoGg,IF('Net zero activities &amp; levers'!$C$12="PB",'Activity data'!BJ56*ManureNEF*NtoN2O*kgtoGg,IF('Net zero activities &amp; levers'!$C$12="MS",'Net zero Activity data'!BJ56*ManureNEF*NtoN2O*kgtoGg,"ERROR")))</f>
        <v>6.1810963980968171E-2</v>
      </c>
      <c r="AR975" s="94">
        <f>IF('Net zero activities &amp; levers'!$C$12="Off",'Activity data'!BK56*ManureNEF*NtoN2O*kgtoGg,IF('Net zero activities &amp; levers'!$C$12="PB",'Activity data'!BK56*ManureNEF*NtoN2O*kgtoGg,IF('Net zero activities &amp; levers'!$C$12="MS",'Net zero Activity data'!BK56*ManureNEF*NtoN2O*kgtoGg,"ERROR")))</f>
        <v>6.1884820045811577E-2</v>
      </c>
      <c r="AS975" s="94">
        <f>IF('Net zero activities &amp; levers'!$C$12="Off",'Activity data'!BL56*ManureNEF*NtoN2O*kgtoGg,IF('Net zero activities &amp; levers'!$C$12="PB",'Activity data'!BL56*ManureNEF*NtoN2O*kgtoGg,IF('Net zero activities &amp; levers'!$C$12="MS",'Net zero Activity data'!BL56*ManureNEF*NtoN2O*kgtoGg,"ERROR")))</f>
        <v>6.1917844796297146E-2</v>
      </c>
      <c r="AT975" s="94">
        <f>IF('Net zero activities &amp; levers'!$C$12="Off",'Activity data'!BM56*ManureNEF*NtoN2O*kgtoGg,IF('Net zero activities &amp; levers'!$C$12="PB",'Activity data'!BM56*ManureNEF*NtoN2O*kgtoGg,IF('Net zero activities &amp; levers'!$C$12="MS",'Net zero Activity data'!BM56*ManureNEF*NtoN2O*kgtoGg,"ERROR")))</f>
        <v>6.1948582957053369E-2</v>
      </c>
      <c r="AU975" s="94">
        <f>IF('Net zero activities &amp; levers'!$C$12="Off",'Activity data'!BN56*ManureNEF*NtoN2O*kgtoGg,IF('Net zero activities &amp; levers'!$C$12="PB",'Activity data'!BN56*ManureNEF*NtoN2O*kgtoGg,IF('Net zero activities &amp; levers'!$C$12="MS",'Net zero Activity data'!BN56*ManureNEF*NtoN2O*kgtoGg,"ERROR")))</f>
        <v>6.1982659332367518E-2</v>
      </c>
      <c r="AV975" s="94">
        <f>IF('Net zero activities &amp; levers'!$C$12="Off",'Activity data'!BO56*ManureNEF*NtoN2O*kgtoGg,IF('Net zero activities &amp; levers'!$C$12="PB",'Activity data'!BO56*ManureNEF*NtoN2O*kgtoGg,IF('Net zero activities &amp; levers'!$C$12="MS",'Net zero Activity data'!BO56*ManureNEF*NtoN2O*kgtoGg,"ERROR")))</f>
        <v>6.2020620133408491E-2</v>
      </c>
      <c r="AW975" s="94">
        <f>IF('Net zero activities &amp; levers'!$C$12="Off",'Activity data'!BP56*ManureNEF*NtoN2O*kgtoGg,IF('Net zero activities &amp; levers'!$C$12="PB",'Activity data'!BP56*ManureNEF*NtoN2O*kgtoGg,IF('Net zero activities &amp; levers'!$C$12="MS",'Net zero Activity data'!BP56*ManureNEF*NtoN2O*kgtoGg,"ERROR")))</f>
        <v>6.2062074580344864E-2</v>
      </c>
      <c r="AY975" s="79"/>
      <c r="AZ975" s="79"/>
    </row>
    <row r="976" spans="1:52" x14ac:dyDescent="0.2">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4.8454260958953527E-2</v>
      </c>
      <c r="T976" s="94">
        <f>IF('Net zero activities &amp; levers'!$C$12="Off",'Activity data'!AM57*ManureNEF*NtoN2O*kgtoGg,IF('Net zero activities &amp; levers'!$C$12="PB",'Activity data'!AM57*ManureNEF*NtoN2O*kgtoGg,IF('Net zero activities &amp; levers'!$C$12="MS",'Net zero Activity data'!AM57*ManureNEF*NtoN2O*kgtoGg,"ERROR")))</f>
        <v>4.8528052865226608E-2</v>
      </c>
      <c r="U976" s="94">
        <f>IF('Net zero activities &amp; levers'!$C$12="Off",'Activity data'!AN57*ManureNEF*NtoN2O*kgtoGg,IF('Net zero activities &amp; levers'!$C$12="PB",'Activity data'!AN57*ManureNEF*NtoN2O*kgtoGg,IF('Net zero activities &amp; levers'!$C$12="MS",'Net zero Activity data'!AN57*ManureNEF*NtoN2O*kgtoGg,"ERROR")))</f>
        <v>4.8611455379029278E-2</v>
      </c>
      <c r="V976" s="94">
        <f>IF('Net zero activities &amp; levers'!$C$12="Off",'Activity data'!AO57*ManureNEF*NtoN2O*kgtoGg,IF('Net zero activities &amp; levers'!$C$12="PB",'Activity data'!AO57*ManureNEF*NtoN2O*kgtoGg,IF('Net zero activities &amp; levers'!$C$12="MS",'Net zero Activity data'!AO57*ManureNEF*NtoN2O*kgtoGg,"ERROR")))</f>
        <v>4.8705540788281515E-2</v>
      </c>
      <c r="W976" s="94">
        <f>IF('Net zero activities &amp; levers'!$C$12="Off",'Activity data'!AP57*ManureNEF*NtoN2O*kgtoGg,IF('Net zero activities &amp; levers'!$C$12="PB",'Activity data'!AP57*ManureNEF*NtoN2O*kgtoGg,IF('Net zero activities &amp; levers'!$C$12="MS",'Net zero Activity data'!AP57*ManureNEF*NtoN2O*kgtoGg,"ERROR")))</f>
        <v>4.8811379957736697E-2</v>
      </c>
      <c r="X976" s="94">
        <f>IF('Net zero activities &amp; levers'!$C$12="Off",'Activity data'!AQ57*ManureNEF*NtoN2O*kgtoGg,IF('Net zero activities &amp; levers'!$C$12="PB",'Activity data'!AQ57*ManureNEF*NtoN2O*kgtoGg,IF('Net zero activities &amp; levers'!$C$12="MS",'Net zero Activity data'!AQ57*ManureNEF*NtoN2O*kgtoGg,"ERROR")))</f>
        <v>4.8926765916481318E-2</v>
      </c>
      <c r="Y976" s="94">
        <f>IF('Net zero activities &amp; levers'!$C$12="Off",'Activity data'!AR57*ManureNEF*NtoN2O*kgtoGg,IF('Net zero activities &amp; levers'!$C$12="PB",'Activity data'!AR57*ManureNEF*NtoN2O*kgtoGg,IF('Net zero activities &amp; levers'!$C$12="MS",'Net zero Activity data'!AR57*ManureNEF*NtoN2O*kgtoGg,"ERROR")))</f>
        <v>4.8996942710480308E-2</v>
      </c>
      <c r="Z976" s="94">
        <f>IF('Net zero activities &amp; levers'!$C$12="Off",'Activity data'!AS57*ManureNEF*NtoN2O*kgtoGg,IF('Net zero activities &amp; levers'!$C$12="PB",'Activity data'!AS57*ManureNEF*NtoN2O*kgtoGg,IF('Net zero activities &amp; levers'!$C$12="MS",'Net zero Activity data'!AS57*ManureNEF*NtoN2O*kgtoGg,"ERROR")))</f>
        <v>4.9075326153582635E-2</v>
      </c>
      <c r="AA976" s="94">
        <f>IF('Net zero activities &amp; levers'!$C$12="Off",'Activity data'!AT57*ManureNEF*NtoN2O*kgtoGg,IF('Net zero activities &amp; levers'!$C$12="PB",'Activity data'!AT57*ManureNEF*NtoN2O*kgtoGg,IF('Net zero activities &amp; levers'!$C$12="MS",'Net zero Activity data'!AT57*ManureNEF*NtoN2O*kgtoGg,"ERROR")))</f>
        <v>4.9161341255667866E-2</v>
      </c>
      <c r="AB976" s="94">
        <f>IF('Net zero activities &amp; levers'!$C$12="Off",'Activity data'!AU57*ManureNEF*NtoN2O*kgtoGg,IF('Net zero activities &amp; levers'!$C$12="PB",'Activity data'!AU57*ManureNEF*NtoN2O*kgtoGg,IF('Net zero activities &amp; levers'!$C$12="MS",'Net zero Activity data'!AU57*ManureNEF*NtoN2O*kgtoGg,"ERROR")))</f>
        <v>4.9256935459255795E-2</v>
      </c>
      <c r="AC976" s="94">
        <f>IF('Net zero activities &amp; levers'!$C$12="Off",'Activity data'!AV57*ManureNEF*NtoN2O*kgtoGg,IF('Net zero activities &amp; levers'!$C$12="PB",'Activity data'!AV57*ManureNEF*NtoN2O*kgtoGg,IF('Net zero activities &amp; levers'!$C$12="MS",'Net zero Activity data'!AV57*ManureNEF*NtoN2O*kgtoGg,"ERROR")))</f>
        <v>4.9359760010844099E-2</v>
      </c>
      <c r="AD976" s="94">
        <f>IF('Net zero activities &amp; levers'!$C$12="Off",'Activity data'!AW57*ManureNEF*NtoN2O*kgtoGg,IF('Net zero activities &amp; levers'!$C$12="PB",'Activity data'!AW57*ManureNEF*NtoN2O*kgtoGg,IF('Net zero activities &amp; levers'!$C$12="MS",'Net zero Activity data'!AW57*ManureNEF*NtoN2O*kgtoGg,"ERROR")))</f>
        <v>4.9426948749236969E-2</v>
      </c>
      <c r="AE976" s="94">
        <f>IF('Net zero activities &amp; levers'!$C$12="Off",'Activity data'!AX57*ManureNEF*NtoN2O*kgtoGg,IF('Net zero activities &amp; levers'!$C$12="PB",'Activity data'!AX57*ManureNEF*NtoN2O*kgtoGg,IF('Net zero activities &amp; levers'!$C$12="MS",'Net zero Activity data'!AX57*ManureNEF*NtoN2O*kgtoGg,"ERROR")))</f>
        <v>4.9502368408366512E-2</v>
      </c>
      <c r="AF976" s="94">
        <f>IF('Net zero activities &amp; levers'!$C$12="Off",'Activity data'!AY57*ManureNEF*NtoN2O*kgtoGg,IF('Net zero activities &amp; levers'!$C$12="PB",'Activity data'!AY57*ManureNEF*NtoN2O*kgtoGg,IF('Net zero activities &amp; levers'!$C$12="MS",'Net zero Activity data'!AY57*ManureNEF*NtoN2O*kgtoGg,"ERROR")))</f>
        <v>4.9584814145516069E-2</v>
      </c>
      <c r="AG976" s="94">
        <f>IF('Net zero activities &amp; levers'!$C$12="Off",'Activity data'!AZ57*ManureNEF*NtoN2O*kgtoGg,IF('Net zero activities &amp; levers'!$C$12="PB",'Activity data'!AZ57*ManureNEF*NtoN2O*kgtoGg,IF('Net zero activities &amp; levers'!$C$12="MS",'Net zero Activity data'!AZ57*ManureNEF*NtoN2O*kgtoGg,"ERROR")))</f>
        <v>4.967514217789748E-2</v>
      </c>
      <c r="AH976" s="94">
        <f>IF('Net zero activities &amp; levers'!$C$12="Off",'Activity data'!BA57*ManureNEF*NtoN2O*kgtoGg,IF('Net zero activities &amp; levers'!$C$12="PB",'Activity data'!BA57*ManureNEF*NtoN2O*kgtoGg,IF('Net zero activities &amp; levers'!$C$12="MS",'Net zero Activity data'!BA57*ManureNEF*NtoN2O*kgtoGg,"ERROR")))</f>
        <v>4.9768143676120806E-2</v>
      </c>
      <c r="AI976" s="94">
        <f>IF('Net zero activities &amp; levers'!$C$12="Off",'Activity data'!BB57*ManureNEF*NtoN2O*kgtoGg,IF('Net zero activities &amp; levers'!$C$12="PB",'Activity data'!BB57*ManureNEF*NtoN2O*kgtoGg,IF('Net zero activities &amp; levers'!$C$12="MS",'Net zero Activity data'!BB57*ManureNEF*NtoN2O*kgtoGg,"ERROR")))</f>
        <v>4.9825141984396873E-2</v>
      </c>
      <c r="AJ976" s="94">
        <f>IF('Net zero activities &amp; levers'!$C$12="Off",'Activity data'!BC57*ManureNEF*NtoN2O*kgtoGg,IF('Net zero activities &amp; levers'!$C$12="PB",'Activity data'!BC57*ManureNEF*NtoN2O*kgtoGg,IF('Net zero activities &amp; levers'!$C$12="MS",'Net zero Activity data'!BC57*ManureNEF*NtoN2O*kgtoGg,"ERROR")))</f>
        <v>4.9888107964376358E-2</v>
      </c>
      <c r="AK976" s="94">
        <f>IF('Net zero activities &amp; levers'!$C$12="Off",'Activity data'!BD57*ManureNEF*NtoN2O*kgtoGg,IF('Net zero activities &amp; levers'!$C$12="PB",'Activity data'!BD57*ManureNEF*NtoN2O*kgtoGg,IF('Net zero activities &amp; levers'!$C$12="MS",'Net zero Activity data'!BD57*ManureNEF*NtoN2O*kgtoGg,"ERROR")))</f>
        <v>4.9955436560191149E-2</v>
      </c>
      <c r="AL976" s="94">
        <f>IF('Net zero activities &amp; levers'!$C$12="Off",'Activity data'!BE57*ManureNEF*NtoN2O*kgtoGg,IF('Net zero activities &amp; levers'!$C$12="PB",'Activity data'!BE57*ManureNEF*NtoN2O*kgtoGg,IF('Net zero activities &amp; levers'!$C$12="MS",'Net zero Activity data'!BE57*ManureNEF*NtoN2O*kgtoGg,"ERROR")))</f>
        <v>5.0027928792990776E-2</v>
      </c>
      <c r="AM976" s="94">
        <f>IF('Net zero activities &amp; levers'!$C$12="Off",'Activity data'!BF57*ManureNEF*NtoN2O*kgtoGg,IF('Net zero activities &amp; levers'!$C$12="PB",'Activity data'!BF57*ManureNEF*NtoN2O*kgtoGg,IF('Net zero activities &amp; levers'!$C$12="MS",'Net zero Activity data'!BF57*ManureNEF*NtoN2O*kgtoGg,"ERROR")))</f>
        <v>5.0104929586711242E-2</v>
      </c>
      <c r="AN976" s="94">
        <f>IF('Net zero activities &amp; levers'!$C$12="Off",'Activity data'!BG57*ManureNEF*NtoN2O*kgtoGg,IF('Net zero activities &amp; levers'!$C$12="PB",'Activity data'!BG57*ManureNEF*NtoN2O*kgtoGg,IF('Net zero activities &amp; levers'!$C$12="MS",'Net zero Activity data'!BG57*ManureNEF*NtoN2O*kgtoGg,"ERROR")))</f>
        <v>5.0149583766901075E-2</v>
      </c>
      <c r="AO976" s="94">
        <f>IF('Net zero activities &amp; levers'!$C$12="Off",'Activity data'!BH57*ManureNEF*NtoN2O*kgtoGg,IF('Net zero activities &amp; levers'!$C$12="PB",'Activity data'!BH57*ManureNEF*NtoN2O*kgtoGg,IF('Net zero activities &amp; levers'!$C$12="MS",'Net zero Activity data'!BH57*ManureNEF*NtoN2O*kgtoGg,"ERROR")))</f>
        <v>5.0197615111228118E-2</v>
      </c>
      <c r="AP976" s="94">
        <f>IF('Net zero activities &amp; levers'!$C$12="Off",'Activity data'!BI57*ManureNEF*NtoN2O*kgtoGg,IF('Net zero activities &amp; levers'!$C$12="PB",'Activity data'!BI57*ManureNEF*NtoN2O*kgtoGg,IF('Net zero activities &amp; levers'!$C$12="MS",'Net zero Activity data'!BI57*ManureNEF*NtoN2O*kgtoGg,"ERROR")))</f>
        <v>5.0249637464671662E-2</v>
      </c>
      <c r="AQ976" s="94">
        <f>IF('Net zero activities &amp; levers'!$C$12="Off",'Activity data'!BJ57*ManureNEF*NtoN2O*kgtoGg,IF('Net zero activities &amp; levers'!$C$12="PB",'Activity data'!BJ57*ManureNEF*NtoN2O*kgtoGg,IF('Net zero activities &amp; levers'!$C$12="MS",'Net zero Activity data'!BJ57*ManureNEF*NtoN2O*kgtoGg,"ERROR")))</f>
        <v>5.0305722643353402E-2</v>
      </c>
      <c r="AR976" s="94">
        <f>IF('Net zero activities &amp; levers'!$C$12="Off",'Activity data'!BK57*ManureNEF*NtoN2O*kgtoGg,IF('Net zero activities &amp; levers'!$C$12="PB",'Activity data'!BK57*ManureNEF*NtoN2O*kgtoGg,IF('Net zero activities &amp; levers'!$C$12="MS",'Net zero Activity data'!BK57*ManureNEF*NtoN2O*kgtoGg,"ERROR")))</f>
        <v>5.0365831440794026E-2</v>
      </c>
      <c r="AS976" s="94">
        <f>IF('Net zero activities &amp; levers'!$C$12="Off",'Activity data'!BL57*ManureNEF*NtoN2O*kgtoGg,IF('Net zero activities &amp; levers'!$C$12="PB",'Activity data'!BL57*ManureNEF*NtoN2O*kgtoGg,IF('Net zero activities &amp; levers'!$C$12="MS",'Net zero Activity data'!BL57*ManureNEF*NtoN2O*kgtoGg,"ERROR")))</f>
        <v>5.0392709098596028E-2</v>
      </c>
      <c r="AT976" s="94">
        <f>IF('Net zero activities &amp; levers'!$C$12="Off",'Activity data'!BM57*ManureNEF*NtoN2O*kgtoGg,IF('Net zero activities &amp; levers'!$C$12="PB",'Activity data'!BM57*ManureNEF*NtoN2O*kgtoGg,IF('Net zero activities &amp; levers'!$C$12="MS",'Net zero Activity data'!BM57*ManureNEF*NtoN2O*kgtoGg,"ERROR")))</f>
        <v>5.0417725783177193E-2</v>
      </c>
      <c r="AU976" s="94">
        <f>IF('Net zero activities &amp; levers'!$C$12="Off",'Activity data'!BN57*ManureNEF*NtoN2O*kgtoGg,IF('Net zero activities &amp; levers'!$C$12="PB",'Activity data'!BN57*ManureNEF*NtoN2O*kgtoGg,IF('Net zero activities &amp; levers'!$C$12="MS",'Net zero Activity data'!BN57*ManureNEF*NtoN2O*kgtoGg,"ERROR")))</f>
        <v>5.0445459320641074E-2</v>
      </c>
      <c r="AV976" s="94">
        <f>IF('Net zero activities &amp; levers'!$C$12="Off",'Activity data'!BO57*ManureNEF*NtoN2O*kgtoGg,IF('Net zero activities &amp; levers'!$C$12="PB",'Activity data'!BO57*ManureNEF*NtoN2O*kgtoGg,IF('Net zero activities &amp; levers'!$C$12="MS",'Net zero Activity data'!BO57*ManureNEF*NtoN2O*kgtoGg,"ERROR")))</f>
        <v>5.0476354252632014E-2</v>
      </c>
      <c r="AW976" s="94">
        <f>IF('Net zero activities &amp; levers'!$C$12="Off",'Activity data'!BP57*ManureNEF*NtoN2O*kgtoGg,IF('Net zero activities &amp; levers'!$C$12="PB",'Activity data'!BP57*ManureNEF*NtoN2O*kgtoGg,IF('Net zero activities &amp; levers'!$C$12="MS",'Net zero Activity data'!BP57*ManureNEF*NtoN2O*kgtoGg,"ERROR")))</f>
        <v>5.0510092537486409E-2</v>
      </c>
      <c r="AY976" s="79"/>
      <c r="AZ976" s="79"/>
    </row>
    <row r="977" spans="1:52" x14ac:dyDescent="0.2">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7.2140927380493743E-3</v>
      </c>
      <c r="L977" s="22">
        <f t="shared" si="343"/>
        <v>7.2328458969643655E-3</v>
      </c>
      <c r="M977" s="22">
        <f t="shared" si="343"/>
        <v>7.2587152169743185E-3</v>
      </c>
      <c r="N977" s="22">
        <f t="shared" si="343"/>
        <v>7.2902308808567339E-3</v>
      </c>
      <c r="O977" s="22">
        <f t="shared" si="343"/>
        <v>7.3273479389297461E-3</v>
      </c>
      <c r="P977" s="22">
        <f t="shared" si="343"/>
        <v>7.3698404773103405E-3</v>
      </c>
      <c r="Q977" s="22">
        <f t="shared" si="343"/>
        <v>7.4155715935563127E-3</v>
      </c>
      <c r="R977" s="22">
        <f t="shared" si="343"/>
        <v>7.4643602602570466E-3</v>
      </c>
      <c r="S977" s="22">
        <f t="shared" si="343"/>
        <v>7.5091824622274591E-3</v>
      </c>
      <c r="T977" s="22">
        <f t="shared" si="343"/>
        <v>7.5310026575768785E-3</v>
      </c>
      <c r="U977" s="22">
        <f t="shared" si="343"/>
        <v>7.5544556894728667E-3</v>
      </c>
      <c r="V977" s="22">
        <f t="shared" si="343"/>
        <v>7.5798283677162839E-3</v>
      </c>
      <c r="W977" s="22">
        <f t="shared" si="343"/>
        <v>7.6073992773568969E-3</v>
      </c>
      <c r="X977" s="22">
        <f t="shared" si="343"/>
        <v>7.6366778381520258E-3</v>
      </c>
      <c r="Y977" s="22">
        <f t="shared" si="343"/>
        <v>7.6549815598218112E-3</v>
      </c>
      <c r="Z977" s="22">
        <f t="shared" si="343"/>
        <v>7.6747813396639188E-3</v>
      </c>
      <c r="AA977" s="22">
        <f t="shared" ref="L977:AW980" si="344">AA1474</f>
        <v>7.695960726553556E-3</v>
      </c>
      <c r="AB977" s="22">
        <f t="shared" si="344"/>
        <v>7.7189834484336205E-3</v>
      </c>
      <c r="AC977" s="22">
        <f t="shared" si="344"/>
        <v>7.7433191534407569E-3</v>
      </c>
      <c r="AD977" s="22">
        <f t="shared" si="344"/>
        <v>7.7591399700901245E-3</v>
      </c>
      <c r="AE977" s="22">
        <f t="shared" si="344"/>
        <v>7.7765645193301983E-3</v>
      </c>
      <c r="AF977" s="22">
        <f t="shared" si="344"/>
        <v>7.7953233528318755E-3</v>
      </c>
      <c r="AG977" s="22">
        <f t="shared" si="344"/>
        <v>7.8156183452166659E-3</v>
      </c>
      <c r="AH977" s="22">
        <f t="shared" si="344"/>
        <v>7.8362676853213336E-3</v>
      </c>
      <c r="AI977" s="22">
        <f t="shared" si="344"/>
        <v>7.8484908167339423E-3</v>
      </c>
      <c r="AJ977" s="22">
        <f t="shared" si="344"/>
        <v>7.8618680880810435E-3</v>
      </c>
      <c r="AK977" s="22">
        <f t="shared" si="344"/>
        <v>7.8760394561635683E-3</v>
      </c>
      <c r="AL977" s="22">
        <f t="shared" si="344"/>
        <v>7.8911907673676705E-3</v>
      </c>
      <c r="AM977" s="22">
        <f t="shared" si="344"/>
        <v>7.9071774267792192E-3</v>
      </c>
      <c r="AN977" s="22">
        <f t="shared" si="344"/>
        <v>7.9157019513346714E-3</v>
      </c>
      <c r="AO977" s="22">
        <f t="shared" si="344"/>
        <v>7.9248428379220318E-3</v>
      </c>
      <c r="AP977" s="22">
        <f t="shared" si="344"/>
        <v>7.9347410994360257E-3</v>
      </c>
      <c r="AQ977" s="22">
        <f t="shared" si="344"/>
        <v>7.9454149669416808E-3</v>
      </c>
      <c r="AR977" s="22">
        <f t="shared" si="344"/>
        <v>7.9568573935750887E-3</v>
      </c>
      <c r="AS977" s="22">
        <f t="shared" si="344"/>
        <v>7.9607498372215833E-3</v>
      </c>
      <c r="AT977" s="22">
        <f t="shared" si="344"/>
        <v>7.9641286536339551E-3</v>
      </c>
      <c r="AU977" s="22">
        <f t="shared" si="344"/>
        <v>7.9680196395720947E-3</v>
      </c>
      <c r="AV977" s="22">
        <f t="shared" si="344"/>
        <v>7.9725231105734155E-3</v>
      </c>
      <c r="AW977" s="22">
        <f t="shared" si="344"/>
        <v>7.9775693338345506E-3</v>
      </c>
      <c r="AY977" s="79"/>
      <c r="AZ977" s="79"/>
    </row>
    <row r="978" spans="1:52" x14ac:dyDescent="0.2">
      <c r="A978" s="95" t="str">
        <f t="shared" si="326"/>
        <v>DS Organic</v>
      </c>
      <c r="B978" s="95" t="s">
        <v>974</v>
      </c>
      <c r="C978" s="95" t="s">
        <v>1127</v>
      </c>
      <c r="D978" t="s">
        <v>369</v>
      </c>
      <c r="E978" t="s">
        <v>55</v>
      </c>
      <c r="F978" t="s">
        <v>421</v>
      </c>
      <c r="G978" t="s">
        <v>1170</v>
      </c>
      <c r="H978" t="s">
        <v>1171</v>
      </c>
      <c r="I978" t="s">
        <v>139</v>
      </c>
      <c r="J978" t="s">
        <v>287</v>
      </c>
      <c r="K978" s="22">
        <f t="shared" si="343"/>
        <v>8.7045671471293523E-2</v>
      </c>
      <c r="L978" s="22">
        <f t="shared" si="344"/>
        <v>8.7271948200639354E-2</v>
      </c>
      <c r="M978" s="22">
        <f t="shared" si="344"/>
        <v>8.7584088952434122E-2</v>
      </c>
      <c r="N978" s="22">
        <f t="shared" si="344"/>
        <v>8.7964358824768801E-2</v>
      </c>
      <c r="O978" s="22">
        <f t="shared" si="344"/>
        <v>8.8412215452112072E-2</v>
      </c>
      <c r="P978" s="22">
        <f t="shared" si="344"/>
        <v>8.8924932944132923E-2</v>
      </c>
      <c r="Q978" s="22">
        <f t="shared" si="344"/>
        <v>8.9476727309038565E-2</v>
      </c>
      <c r="R978" s="22">
        <f t="shared" si="344"/>
        <v>9.0065414259340087E-2</v>
      </c>
      <c r="S978" s="22">
        <f t="shared" si="344"/>
        <v>9.0606241610610233E-2</v>
      </c>
      <c r="T978" s="22">
        <f t="shared" si="344"/>
        <v>9.0869525383745986E-2</v>
      </c>
      <c r="U978" s="22">
        <f t="shared" si="344"/>
        <v>9.1152511059637925E-2</v>
      </c>
      <c r="V978" s="22">
        <f t="shared" si="344"/>
        <v>9.14586593023788E-2</v>
      </c>
      <c r="W978" s="22">
        <f t="shared" si="344"/>
        <v>9.1791331535726078E-2</v>
      </c>
      <c r="X978" s="22">
        <f t="shared" si="344"/>
        <v>9.2144608389332791E-2</v>
      </c>
      <c r="Y978" s="22">
        <f t="shared" si="344"/>
        <v>9.2365462182182861E-2</v>
      </c>
      <c r="Z978" s="22">
        <f t="shared" si="344"/>
        <v>9.2604367501801177E-2</v>
      </c>
      <c r="AA978" s="22">
        <f t="shared" si="344"/>
        <v>9.2859919241999239E-2</v>
      </c>
      <c r="AB978" s="22">
        <f t="shared" si="344"/>
        <v>9.3137712771680009E-2</v>
      </c>
      <c r="AC978" s="22">
        <f t="shared" si="344"/>
        <v>9.3431348833759018E-2</v>
      </c>
      <c r="AD978" s="22">
        <f t="shared" si="344"/>
        <v>9.3622243747156081E-2</v>
      </c>
      <c r="AE978" s="22">
        <f t="shared" si="344"/>
        <v>9.3832489393249188E-2</v>
      </c>
      <c r="AF978" s="22">
        <f t="shared" si="344"/>
        <v>9.4058834592495047E-2</v>
      </c>
      <c r="AG978" s="22">
        <f t="shared" si="344"/>
        <v>9.4303715176067421E-2</v>
      </c>
      <c r="AH978" s="22">
        <f t="shared" si="344"/>
        <v>9.4552871340274972E-2</v>
      </c>
      <c r="AI978" s="22">
        <f t="shared" si="344"/>
        <v>9.4700356369914307E-2</v>
      </c>
      <c r="AJ978" s="22">
        <f t="shared" si="344"/>
        <v>9.4861767320555526E-2</v>
      </c>
      <c r="AK978" s="22">
        <f t="shared" si="344"/>
        <v>9.5032759889573118E-2</v>
      </c>
      <c r="AL978" s="22">
        <f t="shared" si="344"/>
        <v>9.5215576510501124E-2</v>
      </c>
      <c r="AM978" s="22">
        <f t="shared" si="344"/>
        <v>9.5408472492517202E-2</v>
      </c>
      <c r="AN978" s="22">
        <f t="shared" si="344"/>
        <v>9.5511329912132736E-2</v>
      </c>
      <c r="AO978" s="22">
        <f t="shared" si="344"/>
        <v>9.5621624392635218E-2</v>
      </c>
      <c r="AP978" s="22">
        <f t="shared" si="344"/>
        <v>9.5741057403988084E-2</v>
      </c>
      <c r="AQ978" s="22">
        <f t="shared" si="344"/>
        <v>9.5869848923304843E-2</v>
      </c>
      <c r="AR978" s="22">
        <f t="shared" si="344"/>
        <v>9.6007913922706994E-2</v>
      </c>
      <c r="AS978" s="22">
        <f t="shared" si="344"/>
        <v>9.6054880378944288E-2</v>
      </c>
      <c r="AT978" s="22">
        <f t="shared" si="344"/>
        <v>9.6095649378466819E-2</v>
      </c>
      <c r="AU978" s="22">
        <f t="shared" si="344"/>
        <v>9.6142598245908498E-2</v>
      </c>
      <c r="AV978" s="22">
        <f t="shared" si="344"/>
        <v>9.6196937394502191E-2</v>
      </c>
      <c r="AW978" s="22">
        <f t="shared" si="344"/>
        <v>9.6257825424100524E-2</v>
      </c>
      <c r="AY978" s="79"/>
      <c r="AZ978" s="79"/>
    </row>
    <row r="979" spans="1:52" x14ac:dyDescent="0.2">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2">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2">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0.12395129293471778</v>
      </c>
      <c r="M981" s="94">
        <f>IF('Net zero activities &amp; levers'!$C$12="Off",'Activity data'!AF62*ManureNEF*NtoN2O*kgtoGg,IF('Net zero activities &amp; levers'!$C$12="PB",'Activity data'!AF62*ManureNEF*NtoN2O*kgtoGg,IF('Net zero activities &amp; levers'!$C$12="MS",'Net zero Activity data'!AF62*ManureNEF*NtoN2O*kgtoGg,"ERROR")))</f>
        <v>0.12400689511310996</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0.12100901910045005</v>
      </c>
      <c r="P981" s="94">
        <f>IF('Net zero activities &amp; levers'!$C$12="Off",'Activity data'!AI62*ManureNEF*NtoN2O*kgtoGg,IF('Net zero activities &amp; levers'!$C$12="PB",'Activity data'!AI62*ManureNEF*NtoN2O*kgtoGg,IF('Net zero activities &amp; levers'!$C$12="MS",'Net zero Activity data'!AI62*ManureNEF*NtoN2O*kgtoGg,"ERROR")))</f>
        <v>0.11845842648899832</v>
      </c>
      <c r="Q981" s="94">
        <f>IF('Net zero activities &amp; levers'!$C$12="Off",'Activity data'!AJ62*ManureNEF*NtoN2O*kgtoGg,IF('Net zero activities &amp; levers'!$C$12="PB",'Activity data'!AJ62*ManureNEF*NtoN2O*kgtoGg,IF('Net zero activities &amp; levers'!$C$12="MS",'Net zero Activity data'!AJ62*ManureNEF*NtoN2O*kgtoGg,"ERROR")))</f>
        <v>0.11660641339960408</v>
      </c>
      <c r="R981" s="94">
        <f>IF('Net zero activities &amp; levers'!$C$12="Off",'Activity data'!AK62*ManureNEF*NtoN2O*kgtoGg,IF('Net zero activities &amp; levers'!$C$12="PB",'Activity data'!AK62*ManureNEF*NtoN2O*kgtoGg,IF('Net zero activities &amp; levers'!$C$12="MS",'Net zero Activity data'!AK62*ManureNEF*NtoN2O*kgtoGg,"ERROR")))</f>
        <v>0.11491827863139022</v>
      </c>
      <c r="S981" s="94">
        <f>IF('Net zero activities &amp; levers'!$C$12="Off",'Activity data'!AL62*ManureNEF*NtoN2O*kgtoGg,IF('Net zero activities &amp; levers'!$C$12="PB",'Activity data'!AL62*ManureNEF*NtoN2O*kgtoGg,IF('Net zero activities &amp; levers'!$C$12="MS",'Net zero Activity data'!AL62*ManureNEF*NtoN2O*kgtoGg,"ERROR")))</f>
        <v>0.10239148734853588</v>
      </c>
      <c r="T981" s="94">
        <f>IF('Net zero activities &amp; levers'!$C$12="Off",'Activity data'!AM62*ManureNEF*NtoN2O*kgtoGg,IF('Net zero activities &amp; levers'!$C$12="PB",'Activity data'!AM62*ManureNEF*NtoN2O*kgtoGg,IF('Net zero activities &amp; levers'!$C$12="MS",'Net zero Activity data'!AM62*ManureNEF*NtoN2O*kgtoGg,"ERROR")))</f>
        <v>0.10399015001119098</v>
      </c>
      <c r="U981" s="94">
        <f>IF('Net zero activities &amp; levers'!$C$12="Off",'Activity data'!AN62*ManureNEF*NtoN2O*kgtoGg,IF('Net zero activities &amp; levers'!$C$12="PB",'Activity data'!AN62*ManureNEF*NtoN2O*kgtoGg,IF('Net zero activities &amp; levers'!$C$12="MS",'Net zero Activity data'!AN62*ManureNEF*NtoN2O*kgtoGg,"ERROR")))</f>
        <v>0.10466911672478917</v>
      </c>
      <c r="V981" s="94">
        <f>IF('Net zero activities &amp; levers'!$C$12="Off",'Activity data'!AO62*ManureNEF*NtoN2O*kgtoGg,IF('Net zero activities &amp; levers'!$C$12="PB",'Activity data'!AO62*ManureNEF*NtoN2O*kgtoGg,IF('Net zero activities &amp; levers'!$C$12="MS",'Net zero Activity data'!AO62*ManureNEF*NtoN2O*kgtoGg,"ERROR")))</f>
        <v>0.10511626718572097</v>
      </c>
      <c r="W981" s="94">
        <f>IF('Net zero activities &amp; levers'!$C$12="Off",'Activity data'!AP62*ManureNEF*NtoN2O*kgtoGg,IF('Net zero activities &amp; levers'!$C$12="PB",'Activity data'!AP62*ManureNEF*NtoN2O*kgtoGg,IF('Net zero activities &amp; levers'!$C$12="MS",'Net zero Activity data'!AP62*ManureNEF*NtoN2O*kgtoGg,"ERROR")))</f>
        <v>0.10594424528482288</v>
      </c>
      <c r="X981" s="94">
        <f>IF('Net zero activities &amp; levers'!$C$12="Off",'Activity data'!AQ62*ManureNEF*NtoN2O*kgtoGg,IF('Net zero activities &amp; levers'!$C$12="PB",'Activity data'!AQ62*ManureNEF*NtoN2O*kgtoGg,IF('Net zero activities &amp; levers'!$C$12="MS",'Net zero Activity data'!AQ62*ManureNEF*NtoN2O*kgtoGg,"ERROR")))</f>
        <v>0.10656092894002199</v>
      </c>
      <c r="Y981" s="94">
        <f>IF('Net zero activities &amp; levers'!$C$12="Off",'Activity data'!AR62*ManureNEF*NtoN2O*kgtoGg,IF('Net zero activities &amp; levers'!$C$12="PB",'Activity data'!AR62*ManureNEF*NtoN2O*kgtoGg,IF('Net zero activities &amp; levers'!$C$12="MS",'Net zero Activity data'!AR62*ManureNEF*NtoN2O*kgtoGg,"ERROR")))</f>
        <v>0.10688440239408244</v>
      </c>
      <c r="Z981" s="94">
        <f>IF('Net zero activities &amp; levers'!$C$12="Off",'Activity data'!AS62*ManureNEF*NtoN2O*kgtoGg,IF('Net zero activities &amp; levers'!$C$12="PB",'Activity data'!AS62*ManureNEF*NtoN2O*kgtoGg,IF('Net zero activities &amp; levers'!$C$12="MS",'Net zero Activity data'!AS62*ManureNEF*NtoN2O*kgtoGg,"ERROR")))</f>
        <v>0.10708259276512562</v>
      </c>
      <c r="AA981" s="94">
        <f>IF('Net zero activities &amp; levers'!$C$12="Off",'Activity data'!AT62*ManureNEF*NtoN2O*kgtoGg,IF('Net zero activities &amp; levers'!$C$12="PB",'Activity data'!AT62*ManureNEF*NtoN2O*kgtoGg,IF('Net zero activities &amp; levers'!$C$12="MS",'Net zero Activity data'!AT62*ManureNEF*NtoN2O*kgtoGg,"ERROR")))</f>
        <v>0.10710947754337903</v>
      </c>
      <c r="AB981" s="94">
        <f>IF('Net zero activities &amp; levers'!$C$12="Off",'Activity data'!AU62*ManureNEF*NtoN2O*kgtoGg,IF('Net zero activities &amp; levers'!$C$12="PB",'Activity data'!AU62*ManureNEF*NtoN2O*kgtoGg,IF('Net zero activities &amp; levers'!$C$12="MS",'Net zero Activity data'!AU62*ManureNEF*NtoN2O*kgtoGg,"ERROR")))</f>
        <v>0.1077314601885206</v>
      </c>
      <c r="AC981" s="94">
        <f>IF('Net zero activities &amp; levers'!$C$12="Off",'Activity data'!AV62*ManureNEF*NtoN2O*kgtoGg,IF('Net zero activities &amp; levers'!$C$12="PB",'Activity data'!AV62*ManureNEF*NtoN2O*kgtoGg,IF('Net zero activities &amp; levers'!$C$12="MS",'Net zero Activity data'!AV62*ManureNEF*NtoN2O*kgtoGg,"ERROR")))</f>
        <v>0.10827475819020069</v>
      </c>
      <c r="AD981" s="94">
        <f>IF('Net zero activities &amp; levers'!$C$12="Off",'Activity data'!AW62*ManureNEF*NtoN2O*kgtoGg,IF('Net zero activities &amp; levers'!$C$12="PB",'Activity data'!AW62*ManureNEF*NtoN2O*kgtoGg,IF('Net zero activities &amp; levers'!$C$12="MS",'Net zero Activity data'!AW62*ManureNEF*NtoN2O*kgtoGg,"ERROR")))</f>
        <v>0.1090564650607147</v>
      </c>
      <c r="AE981" s="94">
        <f>IF('Net zero activities &amp; levers'!$C$12="Off",'Activity data'!AX62*ManureNEF*NtoN2O*kgtoGg,IF('Net zero activities &amp; levers'!$C$12="PB",'Activity data'!AX62*ManureNEF*NtoN2O*kgtoGg,IF('Net zero activities &amp; levers'!$C$12="MS",'Net zero Activity data'!AX62*ManureNEF*NtoN2O*kgtoGg,"ERROR")))</f>
        <v>0.11037691569913123</v>
      </c>
      <c r="AF981" s="94">
        <f>IF('Net zero activities &amp; levers'!$C$12="Off",'Activity data'!AY62*ManureNEF*NtoN2O*kgtoGg,IF('Net zero activities &amp; levers'!$C$12="PB",'Activity data'!AY62*ManureNEF*NtoN2O*kgtoGg,IF('Net zero activities &amp; levers'!$C$12="MS",'Net zero Activity data'!AY62*ManureNEF*NtoN2O*kgtoGg,"ERROR")))</f>
        <v>0.11192323685515045</v>
      </c>
      <c r="AG981" s="94">
        <f>IF('Net zero activities &amp; levers'!$C$12="Off",'Activity data'!AZ62*ManureNEF*NtoN2O*kgtoGg,IF('Net zero activities &amp; levers'!$C$12="PB",'Activity data'!AZ62*ManureNEF*NtoN2O*kgtoGg,IF('Net zero activities &amp; levers'!$C$12="MS",'Net zero Activity data'!AZ62*ManureNEF*NtoN2O*kgtoGg,"ERROR")))</f>
        <v>0.1140168304907534</v>
      </c>
      <c r="AH981" s="94">
        <f>IF('Net zero activities &amp; levers'!$C$12="Off",'Activity data'!BA62*ManureNEF*NtoN2O*kgtoGg,IF('Net zero activities &amp; levers'!$C$12="PB",'Activity data'!BA62*ManureNEF*NtoN2O*kgtoGg,IF('Net zero activities &amp; levers'!$C$12="MS",'Net zero Activity data'!BA62*ManureNEF*NtoN2O*kgtoGg,"ERROR")))</f>
        <v>0.11514704328773583</v>
      </c>
      <c r="AI981" s="94">
        <f>IF('Net zero activities &amp; levers'!$C$12="Off",'Activity data'!BB62*ManureNEF*NtoN2O*kgtoGg,IF('Net zero activities &amp; levers'!$C$12="PB",'Activity data'!BB62*ManureNEF*NtoN2O*kgtoGg,IF('Net zero activities &amp; levers'!$C$12="MS",'Net zero Activity data'!BB62*ManureNEF*NtoN2O*kgtoGg,"ERROR")))</f>
        <v>0.11613416972234052</v>
      </c>
      <c r="AJ981" s="94">
        <f>IF('Net zero activities &amp; levers'!$C$12="Off",'Activity data'!BC62*ManureNEF*NtoN2O*kgtoGg,IF('Net zero activities &amp; levers'!$C$12="PB",'Activity data'!BC62*ManureNEF*NtoN2O*kgtoGg,IF('Net zero activities &amp; levers'!$C$12="MS",'Net zero Activity data'!BC62*ManureNEF*NtoN2O*kgtoGg,"ERROR")))</f>
        <v>0.1173747047819844</v>
      </c>
      <c r="AK981" s="94">
        <f>IF('Net zero activities &amp; levers'!$C$12="Off",'Activity data'!BD62*ManureNEF*NtoN2O*kgtoGg,IF('Net zero activities &amp; levers'!$C$12="PB",'Activity data'!BD62*ManureNEF*NtoN2O*kgtoGg,IF('Net zero activities &amp; levers'!$C$12="MS",'Net zero Activity data'!BD62*ManureNEF*NtoN2O*kgtoGg,"ERROR")))</f>
        <v>0.11845175629546961</v>
      </c>
      <c r="AL981" s="94">
        <f>IF('Net zero activities &amp; levers'!$C$12="Off",'Activity data'!BE62*ManureNEF*NtoN2O*kgtoGg,IF('Net zero activities &amp; levers'!$C$12="PB",'Activity data'!BE62*ManureNEF*NtoN2O*kgtoGg,IF('Net zero activities &amp; levers'!$C$12="MS",'Net zero Activity data'!BE62*ManureNEF*NtoN2O*kgtoGg,"ERROR")))</f>
        <v>0.11964350265273288</v>
      </c>
      <c r="AM981" s="94">
        <f>IF('Net zero activities &amp; levers'!$C$12="Off",'Activity data'!BF62*ManureNEF*NtoN2O*kgtoGg,IF('Net zero activities &amp; levers'!$C$12="PB",'Activity data'!BF62*ManureNEF*NtoN2O*kgtoGg,IF('Net zero activities &amp; levers'!$C$12="MS",'Net zero Activity data'!BF62*ManureNEF*NtoN2O*kgtoGg,"ERROR")))</f>
        <v>0.12080595767564568</v>
      </c>
      <c r="AN981" s="94">
        <f>IF('Net zero activities &amp; levers'!$C$12="Off",'Activity data'!BG62*ManureNEF*NtoN2O*kgtoGg,IF('Net zero activities &amp; levers'!$C$12="PB",'Activity data'!BG62*ManureNEF*NtoN2O*kgtoGg,IF('Net zero activities &amp; levers'!$C$12="MS",'Net zero Activity data'!BG62*ManureNEF*NtoN2O*kgtoGg,"ERROR")))</f>
        <v>0.12237101221025357</v>
      </c>
      <c r="AO981" s="94">
        <f>IF('Net zero activities &amp; levers'!$C$12="Off",'Activity data'!BH62*ManureNEF*NtoN2O*kgtoGg,IF('Net zero activities &amp; levers'!$C$12="PB",'Activity data'!BH62*ManureNEF*NtoN2O*kgtoGg,IF('Net zero activities &amp; levers'!$C$12="MS",'Net zero Activity data'!BH62*ManureNEF*NtoN2O*kgtoGg,"ERROR")))</f>
        <v>0.12373005325826542</v>
      </c>
      <c r="AP981" s="94">
        <f>IF('Net zero activities &amp; levers'!$C$12="Off",'Activity data'!BI62*ManureNEF*NtoN2O*kgtoGg,IF('Net zero activities &amp; levers'!$C$12="PB",'Activity data'!BI62*ManureNEF*NtoN2O*kgtoGg,IF('Net zero activities &amp; levers'!$C$12="MS",'Net zero Activity data'!BI62*ManureNEF*NtoN2O*kgtoGg,"ERROR")))</f>
        <v>0.12508788651498504</v>
      </c>
      <c r="AQ981" s="94">
        <f>IF('Net zero activities &amp; levers'!$C$12="Off",'Activity data'!BJ62*ManureNEF*NtoN2O*kgtoGg,IF('Net zero activities &amp; levers'!$C$12="PB",'Activity data'!BJ62*ManureNEF*NtoN2O*kgtoGg,IF('Net zero activities &amp; levers'!$C$12="MS",'Net zero Activity data'!BJ62*ManureNEF*NtoN2O*kgtoGg,"ERROR")))</f>
        <v>0.12649394429591121</v>
      </c>
      <c r="AR981" s="94">
        <f>IF('Net zero activities &amp; levers'!$C$12="Off",'Activity data'!BK62*ManureNEF*NtoN2O*kgtoGg,IF('Net zero activities &amp; levers'!$C$12="PB",'Activity data'!BK62*ManureNEF*NtoN2O*kgtoGg,IF('Net zero activities &amp; levers'!$C$12="MS",'Net zero Activity data'!BK62*ManureNEF*NtoN2O*kgtoGg,"ERROR")))</f>
        <v>0.12796403206190518</v>
      </c>
      <c r="AS981" s="94">
        <f>IF('Net zero activities &amp; levers'!$C$12="Off",'Activity data'!BL62*ManureNEF*NtoN2O*kgtoGg,IF('Net zero activities &amp; levers'!$C$12="PB",'Activity data'!BL62*ManureNEF*NtoN2O*kgtoGg,IF('Net zero activities &amp; levers'!$C$12="MS",'Net zero Activity data'!BL62*ManureNEF*NtoN2O*kgtoGg,"ERROR")))</f>
        <v>0.12987984628529636</v>
      </c>
      <c r="AT981" s="94">
        <f>IF('Net zero activities &amp; levers'!$C$12="Off",'Activity data'!BM62*ManureNEF*NtoN2O*kgtoGg,IF('Net zero activities &amp; levers'!$C$12="PB",'Activity data'!BM62*ManureNEF*NtoN2O*kgtoGg,IF('Net zero activities &amp; levers'!$C$12="MS",'Net zero Activity data'!BM62*ManureNEF*NtoN2O*kgtoGg,"ERROR")))</f>
        <v>0.13047315773125404</v>
      </c>
      <c r="AU981" s="94">
        <f>IF('Net zero activities &amp; levers'!$C$12="Off",'Activity data'!BN62*ManureNEF*NtoN2O*kgtoGg,IF('Net zero activities &amp; levers'!$C$12="PB",'Activity data'!BN62*ManureNEF*NtoN2O*kgtoGg,IF('Net zero activities &amp; levers'!$C$12="MS",'Net zero Activity data'!BN62*ManureNEF*NtoN2O*kgtoGg,"ERROR")))</f>
        <v>0.13094704432863591</v>
      </c>
      <c r="AV981" s="94">
        <f>IF('Net zero activities &amp; levers'!$C$12="Off",'Activity data'!BO62*ManureNEF*NtoN2O*kgtoGg,IF('Net zero activities &amp; levers'!$C$12="PB",'Activity data'!BO62*ManureNEF*NtoN2O*kgtoGg,IF('Net zero activities &amp; levers'!$C$12="MS",'Net zero Activity data'!BO62*ManureNEF*NtoN2O*kgtoGg,"ERROR")))</f>
        <v>0.13143575870732388</v>
      </c>
      <c r="AW981" s="94">
        <f>IF('Net zero activities &amp; levers'!$C$12="Off",'Activity data'!BP62*ManureNEF*NtoN2O*kgtoGg,IF('Net zero activities &amp; levers'!$C$12="PB",'Activity data'!BP62*ManureNEF*NtoN2O*kgtoGg,IF('Net zero activities &amp; levers'!$C$12="MS",'Net zero Activity data'!BP62*ManureNEF*NtoN2O*kgtoGg,"ERROR")))</f>
        <v>0.13188303608420418</v>
      </c>
      <c r="AY981" s="79"/>
      <c r="AZ981" s="79"/>
    </row>
    <row r="982" spans="1:52" x14ac:dyDescent="0.2">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3.1446916354757506E-2</v>
      </c>
      <c r="M982" s="94">
        <f>IF('Net zero activities &amp; levers'!$C$12="Off",'Activity data'!AF63*ManureNEF*NtoN2O*kgtoGg,IF('Net zero activities &amp; levers'!$C$12="PB",'Activity data'!AF63*ManureNEF*NtoN2O*kgtoGg,IF('Net zero activities &amp; levers'!$C$12="MS",'Net zero Activity data'!AF63*ManureNEF*NtoN2O*kgtoGg,"ERROR")))</f>
        <v>3.1461022839745632E-2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3.0700450247237842E-2</v>
      </c>
      <c r="P982" s="94">
        <f>IF('Net zero activities &amp; levers'!$C$12="Off",'Activity data'!AI63*ManureNEF*NtoN2O*kgtoGg,IF('Net zero activities &amp; levers'!$C$12="PB",'Activity data'!AI63*ManureNEF*NtoN2O*kgtoGg,IF('Net zero activities &amp; levers'!$C$12="MS",'Net zero Activity data'!AI63*ManureNEF*NtoN2O*kgtoGg,"ERROR")))</f>
        <v>3.0053355161673644E-2</v>
      </c>
      <c r="Q982" s="94">
        <f>IF('Net zero activities &amp; levers'!$C$12="Off",'Activity data'!AJ63*ManureNEF*NtoN2O*kgtoGg,IF('Net zero activities &amp; levers'!$C$12="PB",'Activity data'!AJ63*ManureNEF*NtoN2O*kgtoGg,IF('Net zero activities &amp; levers'!$C$12="MS",'Net zero Activity data'!AJ63*ManureNEF*NtoN2O*kgtoGg,"ERROR")))</f>
        <v>2.9583492368545926E-2</v>
      </c>
      <c r="R982" s="94">
        <f>IF('Net zero activities &amp; levers'!$C$12="Off",'Activity data'!AK63*ManureNEF*NtoN2O*kgtoGg,IF('Net zero activities &amp; levers'!$C$12="PB",'Activity data'!AK63*ManureNEF*NtoN2O*kgtoGg,IF('Net zero activities &amp; levers'!$C$12="MS",'Net zero Activity data'!AK63*ManureNEF*NtoN2O*kgtoGg,"ERROR")))</f>
        <v>2.9155206131309681E-2</v>
      </c>
      <c r="S982" s="94">
        <f>IF('Net zero activities &amp; levers'!$C$12="Off",'Activity data'!AL63*ManureNEF*NtoN2O*kgtoGg,IF('Net zero activities &amp; levers'!$C$12="PB",'Activity data'!AL63*ManureNEF*NtoN2O*kgtoGg,IF('Net zero activities &amp; levers'!$C$12="MS",'Net zero Activity data'!AL63*ManureNEF*NtoN2O*kgtoGg,"ERROR")))</f>
        <v>2.5977111346345238E-2</v>
      </c>
      <c r="T982" s="94">
        <f>IF('Net zero activities &amp; levers'!$C$12="Off",'Activity data'!AM63*ManureNEF*NtoN2O*kgtoGg,IF('Net zero activities &amp; levers'!$C$12="PB",'Activity data'!AM63*ManureNEF*NtoN2O*kgtoGg,IF('Net zero activities &amp; levers'!$C$12="MS",'Net zero Activity data'!AM63*ManureNEF*NtoN2O*kgtoGg,"ERROR")))</f>
        <v>2.6382698168730914E-2</v>
      </c>
      <c r="U982" s="94">
        <f>IF('Net zero activities &amp; levers'!$C$12="Off",'Activity data'!AN63*ManureNEF*NtoN2O*kgtoGg,IF('Net zero activities &amp; levers'!$C$12="PB",'Activity data'!AN63*ManureNEF*NtoN2O*kgtoGg,IF('Net zero activities &amp; levers'!$C$12="MS",'Net zero Activity data'!AN63*ManureNEF*NtoN2O*kgtoGg,"ERROR")))</f>
        <v>2.6554954616765158E-2</v>
      </c>
      <c r="V982" s="94">
        <f>IF('Net zero activities &amp; levers'!$C$12="Off",'Activity data'!AO63*ManureNEF*NtoN2O*kgtoGg,IF('Net zero activities &amp; levers'!$C$12="PB",'Activity data'!AO63*ManureNEF*NtoN2O*kgtoGg,IF('Net zero activities &amp; levers'!$C$12="MS",'Net zero Activity data'!AO63*ManureNEF*NtoN2O*kgtoGg,"ERROR")))</f>
        <v>2.6668398396252971E-2</v>
      </c>
      <c r="W982" s="94">
        <f>IF('Net zero activities &amp; levers'!$C$12="Off",'Activity data'!AP63*ManureNEF*NtoN2O*kgtoGg,IF('Net zero activities &amp; levers'!$C$12="PB",'Activity data'!AP63*ManureNEF*NtoN2O*kgtoGg,IF('Net zero activities &amp; levers'!$C$12="MS",'Net zero Activity data'!AP63*ManureNEF*NtoN2O*kgtoGg,"ERROR")))</f>
        <v>2.6878459601824591E-2</v>
      </c>
      <c r="X982" s="94">
        <f>IF('Net zero activities &amp; levers'!$C$12="Off",'Activity data'!AQ63*ManureNEF*NtoN2O*kgtoGg,IF('Net zero activities &amp; levers'!$C$12="PB",'Activity data'!AQ63*ManureNEF*NtoN2O*kgtoGg,IF('Net zero activities &amp; levers'!$C$12="MS",'Net zero Activity data'!AQ63*ManureNEF*NtoN2O*kgtoGg,"ERROR")))</f>
        <v>2.7034914600100463E-2</v>
      </c>
      <c r="Y982" s="94">
        <f>IF('Net zero activities &amp; levers'!$C$12="Off",'Activity data'!AR63*ManureNEF*NtoN2O*kgtoGg,IF('Net zero activities &amp; levers'!$C$12="PB",'Activity data'!AR63*ManureNEF*NtoN2O*kgtoGg,IF('Net zero activities &amp; levers'!$C$12="MS",'Net zero Activity data'!AR63*ManureNEF*NtoN2O*kgtoGg,"ERROR")))</f>
        <v>2.7116981050655197E-2</v>
      </c>
      <c r="Z982" s="94">
        <f>IF('Net zero activities &amp; levers'!$C$12="Off",'Activity data'!AS63*ManureNEF*NtoN2O*kgtoGg,IF('Net zero activities &amp; levers'!$C$12="PB",'Activity data'!AS63*ManureNEF*NtoN2O*kgtoGg,IF('Net zero activities &amp; levers'!$C$12="MS",'Net zero Activity data'!AS63*ManureNEF*NtoN2O*kgtoGg,"ERROR")))</f>
        <v>2.7167262704625481E-2</v>
      </c>
      <c r="AA982" s="94">
        <f>IF('Net zero activities &amp; levers'!$C$12="Off",'Activity data'!AT63*ManureNEF*NtoN2O*kgtoGg,IF('Net zero activities &amp; levers'!$C$12="PB",'Activity data'!AT63*ManureNEF*NtoN2O*kgtoGg,IF('Net zero activities &amp; levers'!$C$12="MS",'Net zero Activity data'!AT63*ManureNEF*NtoN2O*kgtoGg,"ERROR")))</f>
        <v>2.7174083475534235E-2</v>
      </c>
      <c r="AB982" s="94">
        <f>IF('Net zero activities &amp; levers'!$C$12="Off",'Activity data'!AU63*ManureNEF*NtoN2O*kgtoGg,IF('Net zero activities &amp; levers'!$C$12="PB",'Activity data'!AU63*ManureNEF*NtoN2O*kgtoGg,IF('Net zero activities &amp; levers'!$C$12="MS",'Net zero Activity data'!AU63*ManureNEF*NtoN2O*kgtoGg,"ERROR")))</f>
        <v>2.7331882847793948E-2</v>
      </c>
      <c r="AC982" s="94">
        <f>IF('Net zero activities &amp; levers'!$C$12="Off",'Activity data'!AV63*ManureNEF*NtoN2O*kgtoGg,IF('Net zero activities &amp; levers'!$C$12="PB",'Activity data'!AV63*ManureNEF*NtoN2O*kgtoGg,IF('Net zero activities &amp; levers'!$C$12="MS",'Net zero Activity data'!AV63*ManureNEF*NtoN2O*kgtoGg,"ERROR")))</f>
        <v>2.7469719625531634E-2</v>
      </c>
      <c r="AD982" s="94">
        <f>IF('Net zero activities &amp; levers'!$C$12="Off",'Activity data'!AW63*ManureNEF*NtoN2O*kgtoGg,IF('Net zero activities &amp; levers'!$C$12="PB",'Activity data'!AW63*ManureNEF*NtoN2O*kgtoGg,IF('Net zero activities &amp; levers'!$C$12="MS",'Net zero Activity data'!AW63*ManureNEF*NtoN2O*kgtoGg,"ERROR")))</f>
        <v>2.7668041643712917E-2</v>
      </c>
      <c r="AE982" s="94">
        <f>IF('Net zero activities &amp; levers'!$C$12="Off",'Activity data'!AX63*ManureNEF*NtoN2O*kgtoGg,IF('Net zero activities &amp; levers'!$C$12="PB",'Activity data'!AX63*ManureNEF*NtoN2O*kgtoGg,IF('Net zero activities &amp; levers'!$C$12="MS",'Net zero Activity data'!AX63*ManureNEF*NtoN2O*kgtoGg,"ERROR")))</f>
        <v>2.8003045013131105E-2</v>
      </c>
      <c r="AF982" s="94">
        <f>IF('Net zero activities &amp; levers'!$C$12="Off",'Activity data'!AY63*ManureNEF*NtoN2O*kgtoGg,IF('Net zero activities &amp; levers'!$C$12="PB",'Activity data'!AY63*ManureNEF*NtoN2O*kgtoGg,IF('Net zero activities &amp; levers'!$C$12="MS",'Net zero Activity data'!AY63*ManureNEF*NtoN2O*kgtoGg,"ERROR")))</f>
        <v>2.8395352595404884E-2</v>
      </c>
      <c r="AG982" s="94">
        <f>IF('Net zero activities &amp; levers'!$C$12="Off",'Activity data'!AZ63*ManureNEF*NtoN2O*kgtoGg,IF('Net zero activities &amp; levers'!$C$12="PB",'Activity data'!AZ63*ManureNEF*NtoN2O*kgtoGg,IF('Net zero activities &amp; levers'!$C$12="MS",'Net zero Activity data'!AZ63*ManureNEF*NtoN2O*kgtoGg,"ERROR")))</f>
        <v>2.8926505295637978E-2</v>
      </c>
      <c r="AH982" s="94">
        <f>IF('Net zero activities &amp; levers'!$C$12="Off",'Activity data'!BA63*ManureNEF*NtoN2O*kgtoGg,IF('Net zero activities &amp; levers'!$C$12="PB",'Activity data'!BA63*ManureNEF*NtoN2O*kgtoGg,IF('Net zero activities &amp; levers'!$C$12="MS",'Net zero Activity data'!BA63*ManureNEF*NtoN2O*kgtoGg,"ERROR")))</f>
        <v>2.9213244598216302E-2</v>
      </c>
      <c r="AI982" s="94">
        <f>IF('Net zero activities &amp; levers'!$C$12="Off",'Activity data'!BB63*ManureNEF*NtoN2O*kgtoGg,IF('Net zero activities &amp; levers'!$C$12="PB",'Activity data'!BB63*ManureNEF*NtoN2O*kgtoGg,IF('Net zero activities &amp; levers'!$C$12="MS",'Net zero Activity data'!BB63*ManureNEF*NtoN2O*kgtoGg,"ERROR")))</f>
        <v>2.9463682344250404E-2</v>
      </c>
      <c r="AJ982" s="94">
        <f>IF('Net zero activities &amp; levers'!$C$12="Off",'Activity data'!BC63*ManureNEF*NtoN2O*kgtoGg,IF('Net zero activities &amp; levers'!$C$12="PB",'Activity data'!BC63*ManureNEF*NtoN2O*kgtoGg,IF('Net zero activities &amp; levers'!$C$12="MS",'Net zero Activity data'!BC63*ManureNEF*NtoN2O*kgtoGg,"ERROR")))</f>
        <v>2.9778410826157509E-2</v>
      </c>
      <c r="AK982" s="94">
        <f>IF('Net zero activities &amp; levers'!$C$12="Off",'Activity data'!BD63*ManureNEF*NtoN2O*kgtoGg,IF('Net zero activities &amp; levers'!$C$12="PB",'Activity data'!BD63*ManureNEF*NtoN2O*kgtoGg,IF('Net zero activities &amp; levers'!$C$12="MS",'Net zero Activity data'!BD63*ManureNEF*NtoN2O*kgtoGg,"ERROR")))</f>
        <v>3.0051662908103689E-2</v>
      </c>
      <c r="AL982" s="94">
        <f>IF('Net zero activities &amp; levers'!$C$12="Off",'Activity data'!BE63*ManureNEF*NtoN2O*kgtoGg,IF('Net zero activities &amp; levers'!$C$12="PB",'Activity data'!BE63*ManureNEF*NtoN2O*kgtoGg,IF('Net zero activities &amp; levers'!$C$12="MS",'Net zero Activity data'!BE63*ManureNEF*NtoN2O*kgtoGg,"ERROR")))</f>
        <v>3.0354013509905672E-2</v>
      </c>
      <c r="AM982" s="94">
        <f>IF('Net zero activities &amp; levers'!$C$12="Off",'Activity data'!BF63*ManureNEF*NtoN2O*kgtoGg,IF('Net zero activities &amp; levers'!$C$12="PB",'Activity data'!BF63*ManureNEF*NtoN2O*kgtoGg,IF('Net zero activities &amp; levers'!$C$12="MS",'Net zero Activity data'!BF63*ManureNEF*NtoN2O*kgtoGg,"ERROR")))</f>
        <v>3.0648932788327074E-2</v>
      </c>
      <c r="AN982" s="94">
        <f>IF('Net zero activities &amp; levers'!$C$12="Off",'Activity data'!BG63*ManureNEF*NtoN2O*kgtoGg,IF('Net zero activities &amp; levers'!$C$12="PB",'Activity data'!BG63*ManureNEF*NtoN2O*kgtoGg,IF('Net zero activities &amp; levers'!$C$12="MS",'Net zero Activity data'!BG63*ManureNEF*NtoN2O*kgtoGg,"ERROR")))</f>
        <v>3.1045993100286617E-2</v>
      </c>
      <c r="AO982" s="94">
        <f>IF('Net zero activities &amp; levers'!$C$12="Off",'Activity data'!BH63*ManureNEF*NtoN2O*kgtoGg,IF('Net zero activities &amp; levers'!$C$12="PB",'Activity data'!BH63*ManureNEF*NtoN2O*kgtoGg,IF('Net zero activities &amp; levers'!$C$12="MS",'Net zero Activity data'!BH63*ManureNEF*NtoN2O*kgtoGg,"ERROR")))</f>
        <v>3.1390787003985711E-2</v>
      </c>
      <c r="AP982" s="94">
        <f>IF('Net zero activities &amp; levers'!$C$12="Off",'Activity data'!BI63*ManureNEF*NtoN2O*kgtoGg,IF('Net zero activities &amp; levers'!$C$12="PB",'Activity data'!BI63*ManureNEF*NtoN2O*kgtoGg,IF('Net zero activities &amp; levers'!$C$12="MS",'Net zero Activity data'!BI63*ManureNEF*NtoN2O*kgtoGg,"ERROR")))</f>
        <v>3.1735274486421723E-2</v>
      </c>
      <c r="AQ982" s="94">
        <f>IF('Net zero activities &amp; levers'!$C$12="Off",'Activity data'!BJ63*ManureNEF*NtoN2O*kgtoGg,IF('Net zero activities &amp; levers'!$C$12="PB",'Activity data'!BJ63*ManureNEF*NtoN2O*kgtoGg,IF('Net zero activities &amp; levers'!$C$12="MS",'Net zero Activity data'!BJ63*ManureNEF*NtoN2O*kgtoGg,"ERROR")))</f>
        <v>3.2091996714805643E-2</v>
      </c>
      <c r="AR982" s="94">
        <f>IF('Net zero activities &amp; levers'!$C$12="Off",'Activity data'!BK63*ManureNEF*NtoN2O*kgtoGg,IF('Net zero activities &amp; levers'!$C$12="PB",'Activity data'!BK63*ManureNEF*NtoN2O*kgtoGg,IF('Net zero activities &amp; levers'!$C$12="MS",'Net zero Activity data'!BK63*ManureNEF*NtoN2O*kgtoGg,"ERROR")))</f>
        <v>3.2464963594914874E-2</v>
      </c>
      <c r="AS982" s="94">
        <f>IF('Net zero activities &amp; levers'!$C$12="Off",'Activity data'!BL63*ManureNEF*NtoN2O*kgtoGg,IF('Net zero activities &amp; levers'!$C$12="PB",'Activity data'!BL63*ManureNEF*NtoN2O*kgtoGg,IF('Net zero activities &amp; levers'!$C$12="MS",'Net zero Activity data'!BL63*ManureNEF*NtoN2O*kgtoGg,"ERROR")))</f>
        <v>3.2951012979377248E-2</v>
      </c>
      <c r="AT982" s="94">
        <f>IF('Net zero activities &amp; levers'!$C$12="Off",'Activity data'!BM63*ManureNEF*NtoN2O*kgtoGg,IF('Net zero activities &amp; levers'!$C$12="PB",'Activity data'!BM63*ManureNEF*NtoN2O*kgtoGg,IF('Net zero activities &amp; levers'!$C$12="MS",'Net zero Activity data'!BM63*ManureNEF*NtoN2O*kgtoGg,"ERROR")))</f>
        <v>3.3101538358916271E-2</v>
      </c>
      <c r="AU982" s="94">
        <f>IF('Net zero activities &amp; levers'!$C$12="Off",'Activity data'!BN63*ManureNEF*NtoN2O*kgtoGg,IF('Net zero activities &amp; levers'!$C$12="PB",'Activity data'!BN63*ManureNEF*NtoN2O*kgtoGg,IF('Net zero activities &amp; levers'!$C$12="MS",'Net zero Activity data'!BN63*ManureNEF*NtoN2O*kgtoGg,"ERROR")))</f>
        <v>3.3221765198319694E-2</v>
      </c>
      <c r="AV982" s="94">
        <f>IF('Net zero activities &amp; levers'!$C$12="Off",'Activity data'!BO63*ManureNEF*NtoN2O*kgtoGg,IF('Net zero activities &amp; levers'!$C$12="PB",'Activity data'!BO63*ManureNEF*NtoN2O*kgtoGg,IF('Net zero activities &amp; levers'!$C$12="MS",'Net zero Activity data'!BO63*ManureNEF*NtoN2O*kgtoGg,"ERROR")))</f>
        <v>3.3345753902463859E-2</v>
      </c>
      <c r="AW982" s="94">
        <f>IF('Net zero activities &amp; levers'!$C$12="Off",'Activity data'!BP63*ManureNEF*NtoN2O*kgtoGg,IF('Net zero activities &amp; levers'!$C$12="PB",'Activity data'!BP63*ManureNEF*NtoN2O*kgtoGg,IF('Net zero activities &amp; levers'!$C$12="MS",'Net zero Activity data'!BP63*ManureNEF*NtoN2O*kgtoGg,"ERROR")))</f>
        <v>3.3459229881012437E-2</v>
      </c>
      <c r="AY982" s="79"/>
      <c r="AZ982" s="79"/>
    </row>
    <row r="983" spans="1:52" x14ac:dyDescent="0.2">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0.15700744358616764</v>
      </c>
      <c r="L983" s="94">
        <f>IF('Net zero activities &amp; levers'!$C$12="Off",'Activity data'!AE64*ManureNEF*NtoN2O*kgtoGg,IF('Net zero activities &amp; levers'!$C$12="PB",'Activity data'!AE64*ManureNEF*NtoN2O*kgtoGg,IF('Net zero activities &amp; levers'!$C$12="MS",'Net zero Activity data'!AE64*ManureNEF*NtoN2O*kgtoGg,"ERROR")))</f>
        <v>0.16019971617730661</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0.16909558154641688</v>
      </c>
      <c r="P983" s="94">
        <f>IF('Net zero activities &amp; levers'!$C$12="Off",'Activity data'!AI64*ManureNEF*NtoN2O*kgtoGg,IF('Net zero activities &amp; levers'!$C$12="PB",'Activity data'!AI64*ManureNEF*NtoN2O*kgtoGg,IF('Net zero activities &amp; levers'!$C$12="MS",'Net zero Activity data'!AI64*ManureNEF*NtoN2O*kgtoGg,"ERROR")))</f>
        <v>0.1708164974258628</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0.17531753251219051</v>
      </c>
      <c r="S983" s="94">
        <f>IF('Net zero activities &amp; levers'!$C$12="Off",'Activity data'!AL64*ManureNEF*NtoN2O*kgtoGg,IF('Net zero activities &amp; levers'!$C$12="PB",'Activity data'!AL64*ManureNEF*NtoN2O*kgtoGg,IF('Net zero activities &amp; levers'!$C$12="MS",'Net zero Activity data'!AL64*ManureNEF*NtoN2O*kgtoGg,"ERROR")))</f>
        <v>0.16830476873000083</v>
      </c>
      <c r="T983" s="94">
        <f>IF('Net zero activities &amp; levers'!$C$12="Off",'Activity data'!AM64*ManureNEF*NtoN2O*kgtoGg,IF('Net zero activities &amp; levers'!$C$12="PB",'Activity data'!AM64*ManureNEF*NtoN2O*kgtoGg,IF('Net zero activities &amp; levers'!$C$12="MS",'Net zero Activity data'!AM64*ManureNEF*NtoN2O*kgtoGg,"ERROR")))</f>
        <v>0.17276871314198702</v>
      </c>
      <c r="U983" s="94">
        <f>IF('Net zero activities &amp; levers'!$C$12="Off",'Activity data'!AN64*ManureNEF*NtoN2O*kgtoGg,IF('Net zero activities &amp; levers'!$C$12="PB",'Activity data'!AN64*ManureNEF*NtoN2O*kgtoGg,IF('Net zero activities &amp; levers'!$C$12="MS",'Net zero Activity data'!AN64*ManureNEF*NtoN2O*kgtoGg,"ERROR")))</f>
        <v>0.1764934307199863</v>
      </c>
      <c r="V983" s="94">
        <f>IF('Net zero activities &amp; levers'!$C$12="Off",'Activity data'!AO64*ManureNEF*NtoN2O*kgtoGg,IF('Net zero activities &amp; levers'!$C$12="PB",'Activity data'!AO64*ManureNEF*NtoN2O*kgtoGg,IF('Net zero activities &amp; levers'!$C$12="MS",'Net zero Activity data'!AO64*ManureNEF*NtoN2O*kgtoGg,"ERROR")))</f>
        <v>0.18005524898156572</v>
      </c>
      <c r="W983" s="94">
        <f>IF('Net zero activities &amp; levers'!$C$12="Off",'Activity data'!AP64*ManureNEF*NtoN2O*kgtoGg,IF('Net zero activities &amp; levers'!$C$12="PB",'Activity data'!AP64*ManureNEF*NtoN2O*kgtoGg,IF('Net zero activities &amp; levers'!$C$12="MS",'Net zero Activity data'!AP64*ManureNEF*NtoN2O*kgtoGg,"ERROR")))</f>
        <v>0.1840152127784149</v>
      </c>
      <c r="X983" s="94">
        <f>IF('Net zero activities &amp; levers'!$C$12="Off",'Activity data'!AQ64*ManureNEF*NtoN2O*kgtoGg,IF('Net zero activities &amp; levers'!$C$12="PB",'Activity data'!AQ64*ManureNEF*NtoN2O*kgtoGg,IF('Net zero activities &amp; levers'!$C$12="MS",'Net zero Activity data'!AQ64*ManureNEF*NtoN2O*kgtoGg,"ERROR")))</f>
        <v>0.18783261457873554</v>
      </c>
      <c r="Y983" s="94">
        <f>IF('Net zero activities &amp; levers'!$C$12="Off",'Activity data'!AR64*ManureNEF*NtoN2O*kgtoGg,IF('Net zero activities &amp; levers'!$C$12="PB",'Activity data'!AR64*ManureNEF*NtoN2O*kgtoGg,IF('Net zero activities &amp; levers'!$C$12="MS",'Net zero Activity data'!AR64*ManureNEF*NtoN2O*kgtoGg,"ERROR")))</f>
        <v>0.1912601747651877</v>
      </c>
      <c r="Z983" s="94">
        <f>IF('Net zero activities &amp; levers'!$C$12="Off",'Activity data'!AS64*ManureNEF*NtoN2O*kgtoGg,IF('Net zero activities &amp; levers'!$C$12="PB",'Activity data'!AS64*ManureNEF*NtoN2O*kgtoGg,IF('Net zero activities &amp; levers'!$C$12="MS",'Net zero Activity data'!AS64*ManureNEF*NtoN2O*kgtoGg,"ERROR")))</f>
        <v>0.19460208719398481</v>
      </c>
      <c r="AA983" s="94">
        <f>IF('Net zero activities &amp; levers'!$C$12="Off",'Activity data'!AT64*ManureNEF*NtoN2O*kgtoGg,IF('Net zero activities &amp; levers'!$C$12="PB",'Activity data'!AT64*ManureNEF*NtoN2O*kgtoGg,IF('Net zero activities &amp; levers'!$C$12="MS",'Net zero Activity data'!AT64*ManureNEF*NtoN2O*kgtoGg,"ERROR")))</f>
        <v>0.1978054102854529</v>
      </c>
      <c r="AB983" s="94">
        <f>IF('Net zero activities &amp; levers'!$C$12="Off",'Activity data'!AU64*ManureNEF*NtoN2O*kgtoGg,IF('Net zero activities &amp; levers'!$C$12="PB",'Activity data'!AU64*ManureNEF*NtoN2O*kgtoGg,IF('Net zero activities &amp; levers'!$C$12="MS",'Net zero Activity data'!AU64*ManureNEF*NtoN2O*kgtoGg,"ERROR")))</f>
        <v>0.20165714923615963</v>
      </c>
      <c r="AC983" s="94">
        <f>IF('Net zero activities &amp; levers'!$C$12="Off",'Activity data'!AV64*ManureNEF*NtoN2O*kgtoGg,IF('Net zero activities &amp; levers'!$C$12="PB",'Activity data'!AV64*ManureNEF*NtoN2O*kgtoGg,IF('Net zero activities &amp; levers'!$C$12="MS",'Net zero Activity data'!AV64*ManureNEF*NtoN2O*kgtoGg,"ERROR")))</f>
        <v>0.2054824805874291</v>
      </c>
      <c r="AD983" s="94">
        <f>IF('Net zero activities &amp; levers'!$C$12="Off",'Activity data'!AW64*ManureNEF*NtoN2O*kgtoGg,IF('Net zero activities &amp; levers'!$C$12="PB",'Activity data'!AW64*ManureNEF*NtoN2O*kgtoGg,IF('Net zero activities &amp; levers'!$C$12="MS",'Net zero Activity data'!AW64*ManureNEF*NtoN2O*kgtoGg,"ERROR")))</f>
        <v>0.20949194963752207</v>
      </c>
      <c r="AE983" s="94">
        <f>IF('Net zero activities &amp; levers'!$C$12="Off",'Activity data'!AX64*ManureNEF*NtoN2O*kgtoGg,IF('Net zero activities &amp; levers'!$C$12="PB",'Activity data'!AX64*ManureNEF*NtoN2O*kgtoGg,IF('Net zero activities &amp; levers'!$C$12="MS",'Net zero Activity data'!AX64*ManureNEF*NtoN2O*kgtoGg,"ERROR")))</f>
        <v>0.21416106283362638</v>
      </c>
      <c r="AF983" s="94">
        <f>IF('Net zero activities &amp; levers'!$C$12="Off",'Activity data'!AY64*ManureNEF*NtoN2O*kgtoGg,IF('Net zero activities &amp; levers'!$C$12="PB",'Activity data'!AY64*ManureNEF*NtoN2O*kgtoGg,IF('Net zero activities &amp; levers'!$C$12="MS",'Net zero Activity data'!AY64*ManureNEF*NtoN2O*kgtoGg,"ERROR")))</f>
        <v>0.21917521895804776</v>
      </c>
      <c r="AG983" s="94">
        <f>IF('Net zero activities &amp; levers'!$C$12="Off",'Activity data'!AZ64*ManureNEF*NtoN2O*kgtoGg,IF('Net zero activities &amp; levers'!$C$12="PB",'Activity data'!AZ64*ManureNEF*NtoN2O*kgtoGg,IF('Net zero activities &amp; levers'!$C$12="MS",'Net zero Activity data'!AZ64*ManureNEF*NtoN2O*kgtoGg,"ERROR")))</f>
        <v>0.2249205996408121</v>
      </c>
      <c r="AH983" s="94">
        <f>IF('Net zero activities &amp; levers'!$C$12="Off",'Activity data'!BA64*ManureNEF*NtoN2O*kgtoGg,IF('Net zero activities &amp; levers'!$C$12="PB",'Activity data'!BA64*ManureNEF*NtoN2O*kgtoGg,IF('Net zero activities &amp; levers'!$C$12="MS",'Net zero Activity data'!BA64*ManureNEF*NtoN2O*kgtoGg,"ERROR")))</f>
        <v>0.22966975525024821</v>
      </c>
      <c r="AI983" s="94">
        <f>IF('Net zero activities &amp; levers'!$C$12="Off",'Activity data'!BB64*ManureNEF*NtoN2O*kgtoGg,IF('Net zero activities &amp; levers'!$C$12="PB",'Activity data'!BB64*ManureNEF*NtoN2O*kgtoGg,IF('Net zero activities &amp; levers'!$C$12="MS",'Net zero Activity data'!BB64*ManureNEF*NtoN2O*kgtoGg,"ERROR")))</f>
        <v>0.23421374773731693</v>
      </c>
      <c r="AJ983" s="94">
        <f>IF('Net zero activities &amp; levers'!$C$12="Off",'Activity data'!BC64*ManureNEF*NtoN2O*kgtoGg,IF('Net zero activities &amp; levers'!$C$12="PB",'Activity data'!BC64*ManureNEF*NtoN2O*kgtoGg,IF('Net zero activities &amp; levers'!$C$12="MS",'Net zero Activity data'!BC64*ManureNEF*NtoN2O*kgtoGg,"ERROR")))</f>
        <v>0.23914977762419984</v>
      </c>
      <c r="AK983" s="94">
        <f>IF('Net zero activities &amp; levers'!$C$12="Off",'Activity data'!BD64*ManureNEF*NtoN2O*kgtoGg,IF('Net zero activities &amp; levers'!$C$12="PB",'Activity data'!BD64*ManureNEF*NtoN2O*kgtoGg,IF('Net zero activities &amp; levers'!$C$12="MS",'Net zero Activity data'!BD64*ManureNEF*NtoN2O*kgtoGg,"ERROR")))</f>
        <v>0.24398161276357982</v>
      </c>
      <c r="AL983" s="94">
        <f>IF('Net zero activities &amp; levers'!$C$12="Off",'Activity data'!BE64*ManureNEF*NtoN2O*kgtoGg,IF('Net zero activities &amp; levers'!$C$12="PB",'Activity data'!BE64*ManureNEF*NtoN2O*kgtoGg,IF('Net zero activities &amp; levers'!$C$12="MS",'Net zero Activity data'!BE64*ManureNEF*NtoN2O*kgtoGg,"ERROR")))</f>
        <v>0.24905154645514979</v>
      </c>
      <c r="AM983" s="94">
        <f>IF('Net zero activities &amp; levers'!$C$12="Off",'Activity data'!BF64*ManureNEF*NtoN2O*kgtoGg,IF('Net zero activities &amp; levers'!$C$12="PB",'Activity data'!BF64*ManureNEF*NtoN2O*kgtoGg,IF('Net zero activities &amp; levers'!$C$12="MS",'Net zero Activity data'!BF64*ManureNEF*NtoN2O*kgtoGg,"ERROR")))</f>
        <v>0.25418530178524701</v>
      </c>
      <c r="AN983" s="94">
        <f>IF('Net zero activities &amp; levers'!$C$12="Off",'Activity data'!BG64*ManureNEF*NtoN2O*kgtoGg,IF('Net zero activities &amp; levers'!$C$12="PB",'Activity data'!BG64*ManureNEF*NtoN2O*kgtoGg,IF('Net zero activities &amp; levers'!$C$12="MS",'Net zero Activity data'!BG64*ManureNEF*NtoN2O*kgtoGg,"ERROR")))</f>
        <v>0.25983124395687562</v>
      </c>
      <c r="AO983" s="94">
        <f>IF('Net zero activities &amp; levers'!$C$12="Off",'Activity data'!BH64*ManureNEF*NtoN2O*kgtoGg,IF('Net zero activities &amp; levers'!$C$12="PB",'Activity data'!BH64*ManureNEF*NtoN2O*kgtoGg,IF('Net zero activities &amp; levers'!$C$12="MS",'Net zero Activity data'!BH64*ManureNEF*NtoN2O*kgtoGg,"ERROR")))</f>
        <v>0.26532627660152752</v>
      </c>
      <c r="AP983" s="94">
        <f>IF('Net zero activities &amp; levers'!$C$12="Off",'Activity data'!BI64*ManureNEF*NtoN2O*kgtoGg,IF('Net zero activities &amp; levers'!$C$12="PB",'Activity data'!BI64*ManureNEF*NtoN2O*kgtoGg,IF('Net zero activities &amp; levers'!$C$12="MS",'Net zero Activity data'!BI64*ManureNEF*NtoN2O*kgtoGg,"ERROR")))</f>
        <v>0.27093697485535539</v>
      </c>
      <c r="AQ983" s="94">
        <f>IF('Net zero activities &amp; levers'!$C$12="Off",'Activity data'!BJ64*ManureNEF*NtoN2O*kgtoGg,IF('Net zero activities &amp; levers'!$C$12="PB",'Activity data'!BJ64*ManureNEF*NtoN2O*kgtoGg,IF('Net zero activities &amp; levers'!$C$12="MS",'Net zero Activity data'!BJ64*ManureNEF*NtoN2O*kgtoGg,"ERROR")))</f>
        <v>0.27673510691469561</v>
      </c>
      <c r="AR983" s="94">
        <f>IF('Net zero activities &amp; levers'!$C$12="Off",'Activity data'!BK64*ManureNEF*NtoN2O*kgtoGg,IF('Net zero activities &amp; levers'!$C$12="PB",'Activity data'!BK64*ManureNEF*NtoN2O*kgtoGg,IF('Net zero activities &amp; levers'!$C$12="MS",'Net zero Activity data'!BK64*ManureNEF*NtoN2O*kgtoGg,"ERROR")))</f>
        <v>0.28275020857350047</v>
      </c>
      <c r="AS983" s="94">
        <f>IF('Net zero activities &amp; levers'!$C$12="Off",'Activity data'!BL64*ManureNEF*NtoN2O*kgtoGg,IF('Net zero activities &amp; levers'!$C$12="PB",'Activity data'!BL64*ManureNEF*NtoN2O*kgtoGg,IF('Net zero activities &amp; levers'!$C$12="MS",'Net zero Activity data'!BL64*ManureNEF*NtoN2O*kgtoGg,"ERROR")))</f>
        <v>0.28941803313014858</v>
      </c>
      <c r="AT983" s="94">
        <f>IF('Net zero activities &amp; levers'!$C$12="Off",'Activity data'!BM64*ManureNEF*NtoN2O*kgtoGg,IF('Net zero activities &amp; levers'!$C$12="PB",'Activity data'!BM64*ManureNEF*NtoN2O*kgtoGg,IF('Net zero activities &amp; levers'!$C$12="MS",'Net zero Activity data'!BM64*ManureNEF*NtoN2O*kgtoGg,"ERROR")))</f>
        <v>0.29430967875904612</v>
      </c>
      <c r="AU983" s="94">
        <f>IF('Net zero activities &amp; levers'!$C$12="Off",'Activity data'!BN64*ManureNEF*NtoN2O*kgtoGg,IF('Net zero activities &amp; levers'!$C$12="PB",'Activity data'!BN64*ManureNEF*NtoN2O*kgtoGg,IF('Net zero activities &amp; levers'!$C$12="MS",'Net zero Activity data'!BN64*ManureNEF*NtoN2O*kgtoGg,"ERROR")))</f>
        <v>0.29911626555567689</v>
      </c>
      <c r="AV983" s="94">
        <f>IF('Net zero activities &amp; levers'!$C$12="Off",'Activity data'!BO64*ManureNEF*NtoN2O*kgtoGg,IF('Net zero activities &amp; levers'!$C$12="PB",'Activity data'!BO64*ManureNEF*NtoN2O*kgtoGg,IF('Net zero activities &amp; levers'!$C$12="MS",'Net zero Activity data'!BO64*ManureNEF*NtoN2O*kgtoGg,"ERROR")))</f>
        <v>0.30403482357185191</v>
      </c>
      <c r="AW983" s="94">
        <f>IF('Net zero activities &amp; levers'!$C$12="Off",'Activity data'!BP64*ManureNEF*NtoN2O*kgtoGg,IF('Net zero activities &amp; levers'!$C$12="PB",'Activity data'!BP64*ManureNEF*NtoN2O*kgtoGg,IF('Net zero activities &amp; levers'!$C$12="MS",'Net zero Activity data'!BP64*ManureNEF*NtoN2O*kgtoGg,"ERROR")))</f>
        <v>0.30898254148510845</v>
      </c>
      <c r="AY983" s="79"/>
      <c r="AZ983" s="79"/>
    </row>
    <row r="984" spans="1:52" x14ac:dyDescent="0.2">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0.78620275218739033</v>
      </c>
      <c r="L984" s="94">
        <f>IF('Net zero activities &amp; levers'!$C$12="Off",'Activity data'!AE65*ManureNEF*NtoN2O*kgtoGg,IF('Net zero activities &amp; levers'!$C$12="PB",'Activity data'!AE65*ManureNEF*NtoN2O*kgtoGg,IF('Net zero activities &amp; levers'!$C$12="MS",'Net zero Activity data'!AE65*ManureNEF*NtoN2O*kgtoGg,"ERROR")))</f>
        <v>0.7965556372017637</v>
      </c>
      <c r="M984" s="94">
        <f>IF('Net zero activities &amp; levers'!$C$12="Off",'Activity data'!AF65*ManureNEF*NtoN2O*kgtoGg,IF('Net zero activities &amp; levers'!$C$12="PB",'Activity data'!AF65*ManureNEF*NtoN2O*kgtoGg,IF('Net zero activities &amp; levers'!$C$12="MS",'Net zero Activity data'!AF65*ManureNEF*NtoN2O*kgtoGg,"ERROR")))</f>
        <v>0.8131853402467214</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0.79997057217510736</v>
      </c>
      <c r="R984" s="94">
        <f>IF('Net zero activities &amp; levers'!$C$12="Off",'Activity data'!AK65*ManureNEF*NtoN2O*kgtoGg,IF('Net zero activities &amp; levers'!$C$12="PB",'Activity data'!AK65*ManureNEF*NtoN2O*kgtoGg,IF('Net zero activities &amp; levers'!$C$12="MS",'Net zero Activity data'!AK65*ManureNEF*NtoN2O*kgtoGg,"ERROR")))</f>
        <v>0.79652072541357799</v>
      </c>
      <c r="S984" s="94">
        <f>IF('Net zero activities &amp; levers'!$C$12="Off",'Activity data'!AL65*ManureNEF*NtoN2O*kgtoGg,IF('Net zero activities &amp; levers'!$C$12="PB",'Activity data'!AL65*ManureNEF*NtoN2O*kgtoGg,IF('Net zero activities &amp; levers'!$C$12="MS",'Net zero Activity data'!AL65*ManureNEF*NtoN2O*kgtoGg,"ERROR")))</f>
        <v>0.68093953459407419</v>
      </c>
      <c r="T984" s="94">
        <f>IF('Net zero activities &amp; levers'!$C$12="Off",'Activity data'!AM65*ManureNEF*NtoN2O*kgtoGg,IF('Net zero activities &amp; levers'!$C$12="PB",'Activity data'!AM65*ManureNEF*NtoN2O*kgtoGg,IF('Net zero activities &amp; levers'!$C$12="MS",'Net zero Activity data'!AM65*ManureNEF*NtoN2O*kgtoGg,"ERROR")))</f>
        <v>0.71095217743742134</v>
      </c>
      <c r="U984" s="94">
        <f>IF('Net zero activities &amp; levers'!$C$12="Off",'Activity data'!AN65*ManureNEF*NtoN2O*kgtoGg,IF('Net zero activities &amp; levers'!$C$12="PB",'Activity data'!AN65*ManureNEF*NtoN2O*kgtoGg,IF('Net zero activities &amp; levers'!$C$12="MS",'Net zero Activity data'!AN65*ManureNEF*NtoN2O*kgtoGg,"ERROR")))</f>
        <v>0.73163451860770856</v>
      </c>
      <c r="V984" s="94">
        <f>IF('Net zero activities &amp; levers'!$C$12="Off",'Activity data'!AO65*ManureNEF*NtoN2O*kgtoGg,IF('Net zero activities &amp; levers'!$C$12="PB",'Activity data'!AO65*ManureNEF*NtoN2O*kgtoGg,IF('Net zero activities &amp; levers'!$C$12="MS",'Net zero Activity data'!AO65*ManureNEF*NtoN2O*kgtoGg,"ERROR")))</f>
        <v>0.74998966017271962</v>
      </c>
      <c r="W984" s="94">
        <f>IF('Net zero activities &amp; levers'!$C$12="Off",'Activity data'!AP65*ManureNEF*NtoN2O*kgtoGg,IF('Net zero activities &amp; levers'!$C$12="PB",'Activity data'!AP65*ManureNEF*NtoN2O*kgtoGg,IF('Net zero activities &amp; levers'!$C$12="MS",'Net zero Activity data'!AP65*ManureNEF*NtoN2O*kgtoGg,"ERROR")))</f>
        <v>0.77258910732812447</v>
      </c>
      <c r="X984" s="94">
        <f>IF('Net zero activities &amp; levers'!$C$12="Off",'Activity data'!AQ65*ManureNEF*NtoN2O*kgtoGg,IF('Net zero activities &amp; levers'!$C$12="PB",'Activity data'!AQ65*ManureNEF*NtoN2O*kgtoGg,IF('Net zero activities &amp; levers'!$C$12="MS",'Net zero Activity data'!AQ65*ManureNEF*NtoN2O*kgtoGg,"ERROR")))</f>
        <v>0.79310210321227914</v>
      </c>
      <c r="Y984" s="94">
        <f>IF('Net zero activities &amp; levers'!$C$12="Off",'Activity data'!AR65*ManureNEF*NtoN2O*kgtoGg,IF('Net zero activities &amp; levers'!$C$12="PB",'Activity data'!AR65*ManureNEF*NtoN2O*kgtoGg,IF('Net zero activities &amp; levers'!$C$12="MS",'Net zero Activity data'!AR65*ManureNEF*NtoN2O*kgtoGg,"ERROR")))</f>
        <v>0.81120771116014501</v>
      </c>
      <c r="Z984" s="94">
        <f>IF('Net zero activities &amp; levers'!$C$12="Off",'Activity data'!AS65*ManureNEF*NtoN2O*kgtoGg,IF('Net zero activities &amp; levers'!$C$12="PB",'Activity data'!AS65*ManureNEF*NtoN2O*kgtoGg,IF('Net zero activities &amp; levers'!$C$12="MS",'Net zero Activity data'!AS65*ManureNEF*NtoN2O*kgtoGg,"ERROR")))</f>
        <v>0.82802988036578451</v>
      </c>
      <c r="AA984" s="94">
        <f>IF('Net zero activities &amp; levers'!$C$12="Off",'Activity data'!AT65*ManureNEF*NtoN2O*kgtoGg,IF('Net zero activities &amp; levers'!$C$12="PB",'Activity data'!AT65*ManureNEF*NtoN2O*kgtoGg,IF('Net zero activities &amp; levers'!$C$12="MS",'Net zero Activity data'!AT65*ManureNEF*NtoN2O*kgtoGg,"ERROR")))</f>
        <v>0.84300341806804124</v>
      </c>
      <c r="AB984" s="94">
        <f>IF('Net zero activities &amp; levers'!$C$12="Off",'Activity data'!AU65*ManureNEF*NtoN2O*kgtoGg,IF('Net zero activities &amp; levers'!$C$12="PB",'Activity data'!AU65*ManureNEF*NtoN2O*kgtoGg,IF('Net zero activities &amp; levers'!$C$12="MS",'Net zero Activity data'!AU65*ManureNEF*NtoN2O*kgtoGg,"ERROR")))</f>
        <v>0.86494223642860679</v>
      </c>
      <c r="AC984" s="94">
        <f>IF('Net zero activities &amp; levers'!$C$12="Off",'Activity data'!AV65*ManureNEF*NtoN2O*kgtoGg,IF('Net zero activities &amp; levers'!$C$12="PB",'Activity data'!AV65*ManureNEF*NtoN2O*kgtoGg,IF('Net zero activities &amp; levers'!$C$12="MS",'Net zero Activity data'!AV65*ManureNEF*NtoN2O*kgtoGg,"ERROR")))</f>
        <v>0.88622290534488479</v>
      </c>
      <c r="AD984" s="94">
        <f>IF('Net zero activities &amp; levers'!$C$12="Off",'Activity data'!AW65*ManureNEF*NtoN2O*kgtoGg,IF('Net zero activities &amp; levers'!$C$12="PB",'Activity data'!AW65*ManureNEF*NtoN2O*kgtoGg,IF('Net zero activities &amp; levers'!$C$12="MS",'Net zero Activity data'!AW65*ManureNEF*NtoN2O*kgtoGg,"ERROR")))</f>
        <v>0.91112086440699802</v>
      </c>
      <c r="AE984" s="94">
        <f>IF('Net zero activities &amp; levers'!$C$12="Off",'Activity data'!AX65*ManureNEF*NtoN2O*kgtoGg,IF('Net zero activities &amp; levers'!$C$12="PB",'Activity data'!AX65*ManureNEF*NtoN2O*kgtoGg,IF('Net zero activities &amp; levers'!$C$12="MS",'Net zero Activity data'!AX65*ManureNEF*NtoN2O*kgtoGg,"ERROR")))</f>
        <v>0.94284673608655079</v>
      </c>
      <c r="AF984" s="94">
        <f>IF('Net zero activities &amp; levers'!$C$12="Off",'Activity data'!AY65*ManureNEF*NtoN2O*kgtoGg,IF('Net zero activities &amp; levers'!$C$12="PB",'Activity data'!AY65*ManureNEF*NtoN2O*kgtoGg,IF('Net zero activities &amp; levers'!$C$12="MS",'Net zero Activity data'!AY65*ManureNEF*NtoN2O*kgtoGg,"ERROR")))</f>
        <v>0.97785291166286403</v>
      </c>
      <c r="AG984" s="94">
        <f>IF('Net zero activities &amp; levers'!$C$12="Off",'Activity data'!AZ65*ManureNEF*NtoN2O*kgtoGg,IF('Net zero activities &amp; levers'!$C$12="PB",'Activity data'!AZ65*ManureNEF*NtoN2O*kgtoGg,IF('Net zero activities &amp; levers'!$C$12="MS",'Net zero Activity data'!AZ65*ManureNEF*NtoN2O*kgtoGg,"ERROR")))</f>
        <v>1.0202297421822766</v>
      </c>
      <c r="AH984" s="94">
        <f>IF('Net zero activities &amp; levers'!$C$12="Off",'Activity data'!BA65*ManureNEF*NtoN2O*kgtoGg,IF('Net zero activities &amp; levers'!$C$12="PB",'Activity data'!BA65*ManureNEF*NtoN2O*kgtoGg,IF('Net zero activities &amp; levers'!$C$12="MS",'Net zero Activity data'!BA65*ManureNEF*NtoN2O*kgtoGg,"ERROR")))</f>
        <v>1.0513780855146408</v>
      </c>
      <c r="AI984" s="94">
        <f>IF('Net zero activities &amp; levers'!$C$12="Off",'Activity data'!BB65*ManureNEF*NtoN2O*kgtoGg,IF('Net zero activities &amp; levers'!$C$12="PB",'Activity data'!BB65*ManureNEF*NtoN2O*kgtoGg,IF('Net zero activities &amp; levers'!$C$12="MS",'Net zero Activity data'!BB65*ManureNEF*NtoN2O*kgtoGg,"ERROR")))</f>
        <v>1.0817366322153388</v>
      </c>
      <c r="AJ984" s="94">
        <f>IF('Net zero activities &amp; levers'!$C$12="Off",'Activity data'!BC65*ManureNEF*NtoN2O*kgtoGg,IF('Net zero activities &amp; levers'!$C$12="PB",'Activity data'!BC65*ManureNEF*NtoN2O*kgtoGg,IF('Net zero activities &amp; levers'!$C$12="MS",'Net zero Activity data'!BC65*ManureNEF*NtoN2O*kgtoGg,"ERROR")))</f>
        <v>1.1158458345440128</v>
      </c>
      <c r="AK984" s="94">
        <f>IF('Net zero activities &amp; levers'!$C$12="Off",'Activity data'!BD65*ManureNEF*NtoN2O*kgtoGg,IF('Net zero activities &amp; levers'!$C$12="PB",'Activity data'!BD65*ManureNEF*NtoN2O*kgtoGg,IF('Net zero activities &amp; levers'!$C$12="MS",'Net zero Activity data'!BD65*ManureNEF*NtoN2O*kgtoGg,"ERROR")))</f>
        <v>1.1484374065317347</v>
      </c>
      <c r="AL984" s="94">
        <f>IF('Net zero activities &amp; levers'!$C$12="Off",'Activity data'!BE65*ManureNEF*NtoN2O*kgtoGg,IF('Net zero activities &amp; levers'!$C$12="PB",'Activity data'!BE65*ManureNEF*NtoN2O*kgtoGg,IF('Net zero activities &amp; levers'!$C$12="MS",'Net zero Activity data'!BE65*ManureNEF*NtoN2O*kgtoGg,"ERROR")))</f>
        <v>1.1831076882134564</v>
      </c>
      <c r="AM984" s="94">
        <f>IF('Net zero activities &amp; levers'!$C$12="Off",'Activity data'!BF65*ManureNEF*NtoN2O*kgtoGg,IF('Net zero activities &amp; levers'!$C$12="PB",'Activity data'!BF65*ManureNEF*NtoN2O*kgtoGg,IF('Net zero activities &amp; levers'!$C$12="MS",'Net zero Activity data'!BF65*ManureNEF*NtoN2O*kgtoGg,"ERROR")))</f>
        <v>1.2180177066709783</v>
      </c>
      <c r="AN984" s="94">
        <f>IF('Net zero activities &amp; levers'!$C$12="Off",'Activity data'!BG65*ManureNEF*NtoN2O*kgtoGg,IF('Net zero activities &amp; levers'!$C$12="PB",'Activity data'!BG65*ManureNEF*NtoN2O*kgtoGg,IF('Net zero activities &amp; levers'!$C$12="MS",'Net zero Activity data'!BG65*ManureNEF*NtoN2O*kgtoGg,"ERROR")))</f>
        <v>1.2594503323832682</v>
      </c>
      <c r="AO984" s="94">
        <f>IF('Net zero activities &amp; levers'!$C$12="Off",'Activity data'!BH65*ManureNEF*NtoN2O*kgtoGg,IF('Net zero activities &amp; levers'!$C$12="PB",'Activity data'!BH65*ManureNEF*NtoN2O*kgtoGg,IF('Net zero activities &amp; levers'!$C$12="MS",'Net zero Activity data'!BH65*ManureNEF*NtoN2O*kgtoGg,"ERROR")))</f>
        <v>1.298872537028497</v>
      </c>
      <c r="AP984" s="94">
        <f>IF('Net zero activities &amp; levers'!$C$12="Off",'Activity data'!BI65*ManureNEF*NtoN2O*kgtoGg,IF('Net zero activities &amp; levers'!$C$12="PB",'Activity data'!BI65*ManureNEF*NtoN2O*kgtoGg,IF('Net zero activities &amp; levers'!$C$12="MS",'Net zero Activity data'!BI65*ManureNEF*NtoN2O*kgtoGg,"ERROR")))</f>
        <v>1.3390342962428967</v>
      </c>
      <c r="AQ984" s="94">
        <f>IF('Net zero activities &amp; levers'!$C$12="Off",'Activity data'!BJ65*ManureNEF*NtoN2O*kgtoGg,IF('Net zero activities &amp; levers'!$C$12="PB",'Activity data'!BJ65*ManureNEF*NtoN2O*kgtoGg,IF('Net zero activities &amp; levers'!$C$12="MS",'Net zero Activity data'!BJ65*ManureNEF*NtoN2O*kgtoGg,"ERROR")))</f>
        <v>1.3806522745115721</v>
      </c>
      <c r="AR984" s="94">
        <f>IF('Net zero activities &amp; levers'!$C$12="Off",'Activity data'!BK65*ManureNEF*NtoN2O*kgtoGg,IF('Net zero activities &amp; levers'!$C$12="PB",'Activity data'!BK65*ManureNEF*NtoN2O*kgtoGg,IF('Net zero activities &amp; levers'!$C$12="MS",'Net zero Activity data'!BK65*ManureNEF*NtoN2O*kgtoGg,"ERROR")))</f>
        <v>1.4240025047133247</v>
      </c>
      <c r="AS984" s="94">
        <f>IF('Net zero activities &amp; levers'!$C$12="Off",'Activity data'!BL65*ManureNEF*NtoN2O*kgtoGg,IF('Net zero activities &amp; levers'!$C$12="PB",'Activity data'!BL65*ManureNEF*NtoN2O*kgtoGg,IF('Net zero activities &amp; levers'!$C$12="MS",'Net zero Activity data'!BL65*ManureNEF*NtoN2O*kgtoGg,"ERROR")))</f>
        <v>1.4750856789053959</v>
      </c>
      <c r="AT984" s="94">
        <f>IF('Net zero activities &amp; levers'!$C$12="Off",'Activity data'!BM65*ManureNEF*NtoN2O*kgtoGg,IF('Net zero activities &amp; levers'!$C$12="PB",'Activity data'!BM65*ManureNEF*NtoN2O*kgtoGg,IF('Net zero activities &amp; levers'!$C$12="MS",'Net zero Activity data'!BM65*ManureNEF*NtoN2O*kgtoGg,"ERROR")))</f>
        <v>1.5079842325146011</v>
      </c>
      <c r="AU984" s="94">
        <f>IF('Net zero activities &amp; levers'!$C$12="Off",'Activity data'!BN65*ManureNEF*NtoN2O*kgtoGg,IF('Net zero activities &amp; levers'!$C$12="PB",'Activity data'!BN65*ManureNEF*NtoN2O*kgtoGg,IF('Net zero activities &amp; levers'!$C$12="MS",'Net zero Activity data'!BN65*ManureNEF*NtoN2O*kgtoGg,"ERROR")))</f>
        <v>1.5397226946349756</v>
      </c>
      <c r="AV984" s="94">
        <f>IF('Net zero activities &amp; levers'!$C$12="Off",'Activity data'!BO65*ManureNEF*NtoN2O*kgtoGg,IF('Net zero activities &amp; levers'!$C$12="PB",'Activity data'!BO65*ManureNEF*NtoN2O*kgtoGg,IF('Net zero activities &amp; levers'!$C$12="MS",'Net zero Activity data'!BO65*ManureNEF*NtoN2O*kgtoGg,"ERROR")))</f>
        <v>1.5722599858562425</v>
      </c>
      <c r="AW984" s="94">
        <f>IF('Net zero activities &amp; levers'!$C$12="Off",'Activity data'!BP65*ManureNEF*NtoN2O*kgtoGg,IF('Net zero activities &amp; levers'!$C$12="PB",'Activity data'!BP65*ManureNEF*NtoN2O*kgtoGg,IF('Net zero activities &amp; levers'!$C$12="MS",'Net zero Activity data'!BP65*ManureNEF*NtoN2O*kgtoGg,"ERROR")))</f>
        <v>1.6047748091186307</v>
      </c>
      <c r="AY984" s="79"/>
      <c r="AZ984" s="79"/>
    </row>
    <row r="985" spans="1:52" x14ac:dyDescent="0.2">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2">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1.0836040032789309</v>
      </c>
      <c r="M986" s="22">
        <f t="shared" si="347"/>
        <v>1.0921513426512339</v>
      </c>
      <c r="N986" s="22">
        <f t="shared" si="347"/>
        <v>1.0976439186771809</v>
      </c>
      <c r="O986" s="22">
        <f t="shared" si="347"/>
        <v>1.1012937605673541</v>
      </c>
      <c r="P986" s="22">
        <f t="shared" si="347"/>
        <v>1.1030649457277464</v>
      </c>
      <c r="Q986" s="22">
        <f t="shared" si="347"/>
        <v>1.1069781529146336</v>
      </c>
      <c r="R986" s="22">
        <f t="shared" si="347"/>
        <v>1.1114672588381171</v>
      </c>
      <c r="S986" s="22">
        <f t="shared" si="347"/>
        <v>1.0810406006779549</v>
      </c>
      <c r="T986" s="22">
        <f t="shared" si="347"/>
        <v>1.0934641088719885</v>
      </c>
      <c r="U986" s="22">
        <f t="shared" si="347"/>
        <v>1.1031992381450169</v>
      </c>
      <c r="V986" s="22">
        <f t="shared" si="347"/>
        <v>1.1124222034300566</v>
      </c>
      <c r="W986" s="22">
        <f t="shared" si="347"/>
        <v>1.123204750861388</v>
      </c>
      <c r="X986" s="22">
        <f t="shared" si="347"/>
        <v>1.1335309064238068</v>
      </c>
      <c r="Y986" s="22">
        <f t="shared" si="347"/>
        <v>1.1421913822066523</v>
      </c>
      <c r="Z986" s="22">
        <f t="shared" si="347"/>
        <v>1.1506113165744176</v>
      </c>
      <c r="AA986" s="22">
        <f t="shared" si="346"/>
        <v>1.1585977369609775</v>
      </c>
      <c r="AB986" s="22">
        <f t="shared" si="346"/>
        <v>1.1689866502425044</v>
      </c>
      <c r="AC986" s="22">
        <f t="shared" si="346"/>
        <v>1.179322142127879</v>
      </c>
      <c r="AD986" s="22">
        <f t="shared" si="346"/>
        <v>1.1901050491082561</v>
      </c>
      <c r="AE986" s="22">
        <f t="shared" si="346"/>
        <v>1.2032599534885204</v>
      </c>
      <c r="AF986" s="22">
        <f t="shared" si="346"/>
        <v>1.2176412709045177</v>
      </c>
      <c r="AG986" s="22">
        <f t="shared" si="346"/>
        <v>1.2345938865918005</v>
      </c>
      <c r="AH986" s="22">
        <f t="shared" si="346"/>
        <v>1.2480204008779516</v>
      </c>
      <c r="AI986" s="22">
        <f t="shared" si="346"/>
        <v>1.2604934871451285</v>
      </c>
      <c r="AJ986" s="22">
        <f t="shared" si="346"/>
        <v>1.2743340482246315</v>
      </c>
      <c r="AK986" s="22">
        <f t="shared" si="346"/>
        <v>1.2878029781490608</v>
      </c>
      <c r="AL986" s="22">
        <f t="shared" si="346"/>
        <v>1.302087430895273</v>
      </c>
      <c r="AM986" s="22">
        <f t="shared" si="346"/>
        <v>1.3165772246053524</v>
      </c>
      <c r="AN986" s="22">
        <f t="shared" si="346"/>
        <v>1.3325905811769112</v>
      </c>
      <c r="AO986" s="22">
        <f t="shared" si="346"/>
        <v>1.3480569944390275</v>
      </c>
      <c r="AP986" s="22">
        <f t="shared" si="346"/>
        <v>1.3638910811882956</v>
      </c>
      <c r="AQ986" s="22">
        <f t="shared" si="346"/>
        <v>1.3803329285303612</v>
      </c>
      <c r="AR986" s="22">
        <f t="shared" si="346"/>
        <v>1.3974765343324473</v>
      </c>
      <c r="AS986" s="22">
        <f t="shared" si="346"/>
        <v>1.4165658117844762</v>
      </c>
      <c r="AT986" s="22">
        <f t="shared" si="346"/>
        <v>1.4296216900778926</v>
      </c>
      <c r="AU986" s="22">
        <f t="shared" si="346"/>
        <v>1.4423773000489271</v>
      </c>
      <c r="AV986" s="22">
        <f t="shared" si="346"/>
        <v>1.4554943578736881</v>
      </c>
      <c r="AW986" s="22">
        <f t="shared" si="346"/>
        <v>1.468692881818767</v>
      </c>
      <c r="AY986" s="79"/>
      <c r="AZ986" s="79"/>
    </row>
    <row r="987" spans="1:52" x14ac:dyDescent="0.2">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0.73794174034663862</v>
      </c>
      <c r="M987" s="22">
        <f t="shared" si="346"/>
        <v>0.74376253694082328</v>
      </c>
      <c r="N987" s="22">
        <f t="shared" si="346"/>
        <v>0.74750301879518044</v>
      </c>
      <c r="O987" s="22">
        <f t="shared" si="346"/>
        <v>0.74998858609492669</v>
      </c>
      <c r="P987" s="22">
        <f t="shared" si="346"/>
        <v>0.75119477530775824</v>
      </c>
      <c r="Q987" s="22">
        <f t="shared" si="346"/>
        <v>0.7538596961765357</v>
      </c>
      <c r="R987" s="22">
        <f t="shared" si="346"/>
        <v>0.75691680802528427</v>
      </c>
      <c r="S987" s="22">
        <f t="shared" si="346"/>
        <v>0.73619604563634833</v>
      </c>
      <c r="T987" s="22">
        <f t="shared" si="346"/>
        <v>0.74465653971921864</v>
      </c>
      <c r="U987" s="22">
        <f t="shared" si="346"/>
        <v>0.75128622936275991</v>
      </c>
      <c r="V987" s="22">
        <f t="shared" si="346"/>
        <v>0.75756713182620983</v>
      </c>
      <c r="W987" s="22">
        <f t="shared" si="346"/>
        <v>0.76491012040208251</v>
      </c>
      <c r="X987" s="22">
        <f t="shared" si="346"/>
        <v>0.77194230299255218</v>
      </c>
      <c r="Y987" s="22">
        <f t="shared" si="346"/>
        <v>0.77784014625640541</v>
      </c>
      <c r="Z987" s="22">
        <f t="shared" si="346"/>
        <v>0.78357417917078342</v>
      </c>
      <c r="AA987" s="22">
        <f t="shared" si="346"/>
        <v>0.78901298609781978</v>
      </c>
      <c r="AB987" s="22">
        <f t="shared" si="346"/>
        <v>0.79608790712439581</v>
      </c>
      <c r="AC987" s="22">
        <f t="shared" si="346"/>
        <v>0.80312644781467857</v>
      </c>
      <c r="AD987" s="22">
        <f t="shared" si="346"/>
        <v>0.81046968124591112</v>
      </c>
      <c r="AE987" s="22">
        <f t="shared" si="346"/>
        <v>0.81942826113588163</v>
      </c>
      <c r="AF987" s="22">
        <f t="shared" si="346"/>
        <v>0.8292220366944113</v>
      </c>
      <c r="AG987" s="22">
        <f t="shared" si="346"/>
        <v>0.84076688396873545</v>
      </c>
      <c r="AH987" s="22">
        <f t="shared" si="346"/>
        <v>0.84991043206299322</v>
      </c>
      <c r="AI987" s="22">
        <f t="shared" si="346"/>
        <v>0.85840468915289159</v>
      </c>
      <c r="AJ987" s="22">
        <f t="shared" si="346"/>
        <v>0.86783020594636673</v>
      </c>
      <c r="AK987" s="22">
        <f t="shared" si="346"/>
        <v>0.87700263938050371</v>
      </c>
      <c r="AL987" s="22">
        <f t="shared" si="346"/>
        <v>0.8867304494361532</v>
      </c>
      <c r="AM987" s="22">
        <f t="shared" si="346"/>
        <v>0.89659809809315782</v>
      </c>
      <c r="AN987" s="22">
        <f t="shared" si="346"/>
        <v>0.90750330348317998</v>
      </c>
      <c r="AO987" s="22">
        <f t="shared" si="346"/>
        <v>0.91803603673723821</v>
      </c>
      <c r="AP987" s="22">
        <f t="shared" si="346"/>
        <v>0.92881915815170113</v>
      </c>
      <c r="AQ987" s="22">
        <f t="shared" si="346"/>
        <v>0.94001616868821003</v>
      </c>
      <c r="AR987" s="22">
        <f t="shared" si="346"/>
        <v>0.95169108153748594</v>
      </c>
      <c r="AS987" s="22">
        <f t="shared" si="346"/>
        <v>0.9646910100928292</v>
      </c>
      <c r="AT987" s="22">
        <f t="shared" si="346"/>
        <v>0.97358215254011127</v>
      </c>
      <c r="AU987" s="22">
        <f t="shared" si="346"/>
        <v>0.98226881020538814</v>
      </c>
      <c r="AV987" s="22">
        <f t="shared" si="346"/>
        <v>0.99120161633211146</v>
      </c>
      <c r="AW987" s="22">
        <f t="shared" si="346"/>
        <v>1.0001899014441695</v>
      </c>
      <c r="AY987" s="79"/>
      <c r="AZ987" s="79"/>
    </row>
    <row r="988" spans="1:52" x14ac:dyDescent="0.2">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15.353527292296844</v>
      </c>
      <c r="L988" s="94">
        <f>IF('Net zero activities &amp; levers'!$C$12="Off",'Activity data'!AE69*UDCPPEF*NtoN2O*kgtoGg,'Net zero Activity data'!AE69*UDCPPEF*NtoN2O*kgtoGg)</f>
        <v>15.220371053361493</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14.673074129931962</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12.169037780121926</v>
      </c>
      <c r="T988" s="94">
        <f>IF('Net zero activities &amp; levers'!$C$12="Off",'Activity data'!AM69*UDCPPEF*NtoN2O*kgtoGg,'Net zero Activity data'!AM69*UDCPPEF*NtoN2O*kgtoGg)</f>
        <v>12.401807134203059</v>
      </c>
      <c r="U988" s="94">
        <f>IF('Net zero activities &amp; levers'!$C$12="Off",'Activity data'!AN69*UDCPPEF*NtoN2O*kgtoGg,'Net zero Activity data'!AN69*UDCPPEF*NtoN2O*kgtoGg)</f>
        <v>12.526260010284002</v>
      </c>
      <c r="V988" s="94">
        <f>IF('Net zero activities &amp; levers'!$C$12="Off",'Activity data'!AO69*UDCPPEF*NtoN2O*kgtoGg,'Net zero Activity data'!AO69*UDCPPEF*NtoN2O*kgtoGg)</f>
        <v>12.622062683352066</v>
      </c>
      <c r="W988" s="94">
        <f>IF('Net zero activities &amp; levers'!$C$12="Off",'Activity data'!AP69*UDCPPEF*NtoN2O*kgtoGg,'Net zero Activity data'!AP69*UDCPPEF*NtoN2O*kgtoGg)</f>
        <v>12.760674268300837</v>
      </c>
      <c r="X988" s="94">
        <f>IF('Net zero activities &amp; levers'!$C$12="Off",'Activity data'!AQ69*UDCPPEF*NtoN2O*kgtoGg,'Net zero Activity data'!AQ69*UDCPPEF*NtoN2O*kgtoGg)</f>
        <v>12.873164971451276</v>
      </c>
      <c r="Y988" s="94">
        <f>IF('Net zero activities &amp; levers'!$C$12="Off",'Activity data'!AR69*UDCPPEF*NtoN2O*kgtoGg,'Net zero Activity data'!AR69*UDCPPEF*NtoN2O*kgtoGg)</f>
        <v>12.945682732607438</v>
      </c>
      <c r="Z988" s="94">
        <f>IF('Net zero activities &amp; levers'!$C$12="Off",'Activity data'!AS69*UDCPPEF*NtoN2O*kgtoGg,'Net zero Activity data'!AS69*UDCPPEF*NtoN2O*kgtoGg)</f>
        <v>13.002132383564884</v>
      </c>
      <c r="AA988" s="94">
        <f>IF('Net zero activities &amp; levers'!$C$12="Off",'Activity data'!AT69*UDCPPEF*NtoN2O*kgtoGg,'Net zero Activity data'!AT69*UDCPPEF*NtoN2O*kgtoGg)</f>
        <v>13.037118833745307</v>
      </c>
      <c r="AB988" s="94">
        <f>IF('Net zero activities &amp; levers'!$C$12="Off",'Activity data'!AU69*UDCPPEF*NtoN2O*kgtoGg,'Net zero Activity data'!AU69*UDCPPEF*NtoN2O*kgtoGg)</f>
        <v>13.140692477306542</v>
      </c>
      <c r="AC988" s="94">
        <f>IF('Net zero activities &amp; levers'!$C$12="Off",'Activity data'!AV69*UDCPPEF*NtoN2O*kgtoGg,'Net zero Activity data'!AV69*UDCPPEF*NtoN2O*kgtoGg)</f>
        <v>13.233883747502103</v>
      </c>
      <c r="AD988" s="94">
        <f>IF('Net zero activities &amp; levers'!$C$12="Off",'Activity data'!AW69*UDCPPEF*NtoN2O*kgtoGg,'Net zero Activity data'!AW69*UDCPPEF*NtoN2O*kgtoGg)</f>
        <v>13.23869020405356</v>
      </c>
      <c r="AE988" s="94">
        <f>IF('Net zero activities &amp; levers'!$C$12="Off",'Activity data'!AX69*UDCPPEF*NtoN2O*kgtoGg,'Net zero Activity data'!AX69*UDCPPEF*NtoN2O*kgtoGg)</f>
        <v>13.301119774765679</v>
      </c>
      <c r="AF988" s="94">
        <f>IF('Net zero activities &amp; levers'!$C$12="Off",'Activity data'!AY69*UDCPPEF*NtoN2O*kgtoGg,'Net zero Activity data'!AY69*UDCPPEF*NtoN2O*kgtoGg)</f>
        <v>13.383674683163292</v>
      </c>
      <c r="AG988" s="94">
        <f>IF('Net zero activities &amp; levers'!$C$12="Off",'Activity data'!AZ69*UDCPPEF*NtoN2O*kgtoGg,'Net zero Activity data'!AZ69*UDCPPEF*NtoN2O*kgtoGg)</f>
        <v>13.522276087147475</v>
      </c>
      <c r="AH988" s="94">
        <f>IF('Net zero activities &amp; levers'!$C$12="Off",'Activity data'!BA69*UDCPPEF*NtoN2O*kgtoGg,'Net zero Activity data'!BA69*UDCPPEF*NtoN2O*kgtoGg)</f>
        <v>13.544412944106279</v>
      </c>
      <c r="AI988" s="94">
        <f>IF('Net zero activities &amp; levers'!$C$12="Off",'Activity data'!BB69*UDCPPEF*NtoN2O*kgtoGg,'Net zero Activity data'!BB69*UDCPPEF*NtoN2O*kgtoGg)</f>
        <v>13.542089215214004</v>
      </c>
      <c r="AJ988" s="94">
        <f>IF('Net zero activities &amp; levers'!$C$12="Off",'Activity data'!BC69*UDCPPEF*NtoN2O*kgtoGg,'Net zero Activity data'!BC69*UDCPPEF*NtoN2O*kgtoGg)</f>
        <v>13.562424652219031</v>
      </c>
      <c r="AK988" s="94">
        <f>IF('Net zero activities &amp; levers'!$C$12="Off",'Activity data'!BD69*UDCPPEF*NtoN2O*kgtoGg,'Net zero Activity data'!BD69*UDCPPEF*NtoN2O*kgtoGg)</f>
        <v>13.558671299619801</v>
      </c>
      <c r="AL988" s="94">
        <f>IF('Net zero activities &amp; levers'!$C$12="Off",'Activity data'!BE69*UDCPPEF*NtoN2O*kgtoGg,'Net zero Activity data'!BE69*UDCPPEF*NtoN2O*kgtoGg)</f>
        <v>13.561543071773121</v>
      </c>
      <c r="AM988" s="94">
        <f>IF('Net zero activities &amp; levers'!$C$12="Off",'Activity data'!BF69*UDCPPEF*NtoN2O*kgtoGg,'Net zero Activity data'!BF69*UDCPPEF*NtoN2O*kgtoGg)</f>
        <v>13.555025657095664</v>
      </c>
      <c r="AN988" s="94">
        <f>IF('Net zero activities &amp; levers'!$C$12="Off",'Activity data'!BG69*UDCPPEF*NtoN2O*kgtoGg,'Net zero Activity data'!BG69*UDCPPEF*NtoN2O*kgtoGg)</f>
        <v>13.65231474834372</v>
      </c>
      <c r="AO988" s="94">
        <f>IF('Net zero activities &amp; levers'!$C$12="Off",'Activity data'!BH69*UDCPPEF*NtoN2O*kgtoGg,'Net zero Activity data'!BH69*UDCPPEF*NtoN2O*kgtoGg)</f>
        <v>13.72348724176244</v>
      </c>
      <c r="AP988" s="94">
        <f>IF('Net zero activities &amp; levers'!$C$12="Off",'Activity data'!BI69*UDCPPEF*NtoN2O*kgtoGg,'Net zero Activity data'!BI69*UDCPPEF*NtoN2O*kgtoGg)</f>
        <v>13.790553263000465</v>
      </c>
      <c r="AQ988" s="94">
        <f>IF('Net zero activities &amp; levers'!$C$12="Off",'Activity data'!BJ69*UDCPPEF*NtoN2O*kgtoGg,'Net zero Activity data'!BJ69*UDCPPEF*NtoN2O*kgtoGg)</f>
        <v>13.858644184626581</v>
      </c>
      <c r="AR988" s="94">
        <f>IF('Net zero activities &amp; levers'!$C$12="Off",'Activity data'!BK69*UDCPPEF*NtoN2O*kgtoGg,'Net zero Activity data'!BK69*UDCPPEF*NtoN2O*kgtoGg)</f>
        <v>13.929236621781989</v>
      </c>
      <c r="AS988" s="94">
        <f>IF('Net zero activities &amp; levers'!$C$12="Off",'Activity data'!BL69*UDCPPEF*NtoN2O*kgtoGg,'Net zero Activity data'!BL69*UDCPPEF*NtoN2O*kgtoGg)</f>
        <v>14.039863069721484</v>
      </c>
      <c r="AT988" s="94">
        <f>IF('Net zero activities &amp; levers'!$C$12="Off",'Activity data'!BM69*UDCPPEF*NtoN2O*kgtoGg,'Net zero Activity data'!BM69*UDCPPEF*NtoN2O*kgtoGg)</f>
        <v>14.008704095961466</v>
      </c>
      <c r="AU988" s="94">
        <f>IF('Net zero activities &amp; levers'!$C$12="Off",'Activity data'!BN69*UDCPPEF*NtoN2O*kgtoGg,'Net zero Activity data'!BN69*UDCPPEF*NtoN2O*kgtoGg)</f>
        <v>13.961987215392144</v>
      </c>
      <c r="AV988" s="94">
        <f>IF('Net zero activities &amp; levers'!$C$12="Off",'Activity data'!BO69*UDCPPEF*NtoN2O*kgtoGg,'Net zero Activity data'!BO69*UDCPPEF*NtoN2O*kgtoGg)</f>
        <v>13.913601198226885</v>
      </c>
      <c r="AW988" s="94">
        <f>IF('Net zero activities &amp; levers'!$C$12="Off",'Activity data'!BP69*UDCPPEF*NtoN2O*kgtoGg,'Net zero Activity data'!BP69*UDCPPEF*NtoN2O*kgtoGg)</f>
        <v>13.857756490863558</v>
      </c>
      <c r="AY988" s="79"/>
      <c r="AZ988" s="79"/>
    </row>
    <row r="989" spans="1:52" x14ac:dyDescent="0.2">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9.6543103644621464</v>
      </c>
      <c r="L989" s="94">
        <f>IF('Net zero activities &amp; levers'!$C$12="Off",'Activity data'!AE70*UDCPPEF*NtoN2O*kgtoGg,'Net zero Activity data'!AE70*UDCPPEF*NtoN2O*kgtoGg)</f>
        <v>9.5705816138517683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9.22644086627548</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7.6519007866750153</v>
      </c>
      <c r="T989" s="94">
        <f>IF('Net zero activities &amp; levers'!$C$12="Off",'Activity data'!AM70*UDCPPEF*NtoN2O*kgtoGg,'Net zero Activity data'!AM70*UDCPPEF*NtoN2O*kgtoGg)</f>
        <v>7.79826634455969</v>
      </c>
      <c r="U989" s="94">
        <f>IF('Net zero activities &amp; levers'!$C$12="Off",'Activity data'!AN70*UDCPPEF*NtoN2O*kgtoGg,'Net zero Activity data'!AN70*UDCPPEF*NtoN2O*kgtoGg)</f>
        <v>7.8765224135763656</v>
      </c>
      <c r="V989" s="94">
        <f>IF('Net zero activities &amp; levers'!$C$12="Off",'Activity data'!AO70*UDCPPEF*NtoN2O*kgtoGg,'Net zero Activity data'!AO70*UDCPPEF*NtoN2O*kgtoGg)</f>
        <v>7.9367632117940001</v>
      </c>
      <c r="W989" s="94">
        <f>IF('Net zero activities &amp; levers'!$C$12="Off",'Activity data'!AP70*UDCPPEF*NtoN2O*kgtoGg,'Net zero Activity data'!AP70*UDCPPEF*NtoN2O*kgtoGg)</f>
        <v>8.0239222883846164</v>
      </c>
      <c r="X989" s="94">
        <f>IF('Net zero activities &amp; levers'!$C$12="Off",'Activity data'!AQ70*UDCPPEF*NtoN2O*kgtoGg,'Net zero Activity data'!AQ70*UDCPPEF*NtoN2O*kgtoGg)</f>
        <v>8.0946565333991707</v>
      </c>
      <c r="Y989" s="94">
        <f>IF('Net zero activities &amp; levers'!$C$12="Off",'Activity data'!AR70*UDCPPEF*NtoN2O*kgtoGg,'Net zero Activity data'!AR70*UDCPPEF*NtoN2O*kgtoGg)</f>
        <v>8.1402557601963093</v>
      </c>
      <c r="Z989" s="94">
        <f>IF('Net zero activities &amp; levers'!$C$12="Off",'Activity data'!AS70*UDCPPEF*NtoN2O*kgtoGg,'Net zero Activity data'!AS70*UDCPPEF*NtoN2O*kgtoGg)</f>
        <v>8.175751346320169</v>
      </c>
      <c r="AA989" s="94">
        <f>IF('Net zero activities &amp; levers'!$C$12="Off",'Activity data'!AT70*UDCPPEF*NtoN2O*kgtoGg,'Net zero Activity data'!AT70*UDCPPEF*NtoN2O*kgtoGg)</f>
        <v>8.1977508544567819</v>
      </c>
      <c r="AB989" s="94">
        <f>IF('Net zero activities &amp; levers'!$C$12="Off",'Activity data'!AU70*UDCPPEF*NtoN2O*kgtoGg,'Net zero Activity data'!AU70*UDCPPEF*NtoN2O*kgtoGg)</f>
        <v>8.2628780451981587</v>
      </c>
      <c r="AC989" s="94">
        <f>IF('Net zero activities &amp; levers'!$C$12="Off",'Activity data'!AV70*UDCPPEF*NtoN2O*kgtoGg,'Net zero Activity data'!AV70*UDCPPEF*NtoN2O*kgtoGg)</f>
        <v>8.3214767911799861</v>
      </c>
      <c r="AD989" s="94">
        <f>IF('Net zero activities &amp; levers'!$C$12="Off",'Activity data'!AW70*UDCPPEF*NtoN2O*kgtoGg,'Net zero Activity data'!AW70*UDCPPEF*NtoN2O*kgtoGg)</f>
        <v>8.3244990949423538</v>
      </c>
      <c r="AE989" s="94">
        <f>IF('Net zero activities &amp; levers'!$C$12="Off",'Activity data'!AX70*UDCPPEF*NtoN2O*kgtoGg,'Net zero Activity data'!AX70*UDCPPEF*NtoN2O*kgtoGg)</f>
        <v>8.3637548594387177</v>
      </c>
      <c r="AF989" s="94">
        <f>IF('Net zero activities &amp; levers'!$C$12="Off",'Activity data'!AY70*UDCPPEF*NtoN2O*kgtoGg,'Net zero Activity data'!AY70*UDCPPEF*NtoN2O*kgtoGg)</f>
        <v>8.4156654525296073</v>
      </c>
      <c r="AG989" s="94">
        <f>IF('Net zero activities &amp; levers'!$C$12="Off",'Activity data'!AZ70*UDCPPEF*NtoN2O*kgtoGg,'Net zero Activity data'!AZ70*UDCPPEF*NtoN2O*kgtoGg)</f>
        <v>8.5028181273214702</v>
      </c>
      <c r="AH989" s="94">
        <f>IF('Net zero activities &amp; levers'!$C$12="Off",'Activity data'!BA70*UDCPPEF*NtoN2O*kgtoGg,'Net zero Activity data'!BA70*UDCPPEF*NtoN2O*kgtoGg)</f>
        <v>8.5167378008600192</v>
      </c>
      <c r="AI989" s="94">
        <f>IF('Net zero activities &amp; levers'!$C$12="Off",'Activity data'!BB70*UDCPPEF*NtoN2O*kgtoGg,'Net zero Activity data'!BB70*UDCPPEF*NtoN2O*kgtoGg)</f>
        <v>8.515276638255374</v>
      </c>
      <c r="AJ989" s="94">
        <f>IF('Net zero activities &amp; levers'!$C$12="Off",'Activity data'!BC70*UDCPPEF*NtoN2O*kgtoGg,'Net zero Activity data'!BC70*UDCPPEF*NtoN2O*kgtoGg)</f>
        <v>8.5280635774717464</v>
      </c>
      <c r="AK989" s="94">
        <f>IF('Net zero activities &amp; levers'!$C$12="Off",'Activity data'!BD70*UDCPPEF*NtoN2O*kgtoGg,'Net zero Activity data'!BD70*UDCPPEF*NtoN2O*kgtoGg)</f>
        <v>8.5257034663252735</v>
      </c>
      <c r="AL989" s="94">
        <f>IF('Net zero activities &amp; levers'!$C$12="Off",'Activity data'!BE70*UDCPPEF*NtoN2O*kgtoGg,'Net zero Activity data'!BE70*UDCPPEF*NtoN2O*kgtoGg)</f>
        <v>8.5275092389751901</v>
      </c>
      <c r="AM989" s="94">
        <f>IF('Net zero activities &amp; levers'!$C$12="Off",'Activity data'!BF70*UDCPPEF*NtoN2O*kgtoGg,'Net zero Activity data'!BF70*UDCPPEF*NtoN2O*kgtoGg)</f>
        <v>8.5234110833610295</v>
      </c>
      <c r="AN989" s="94">
        <f>IF('Net zero activities &amp; levers'!$C$12="Off",'Activity data'!BG70*UDCPPEF*NtoN2O*kgtoGg,'Net zero Activity data'!BG70*UDCPPEF*NtoN2O*kgtoGg)</f>
        <v>8.5845865425310173</v>
      </c>
      <c r="AO989" s="94">
        <f>IF('Net zero activities &amp; levers'!$C$12="Off",'Activity data'!BH70*UDCPPEF*NtoN2O*kgtoGg,'Net zero Activity data'!BH70*UDCPPEF*NtoN2O*kgtoGg)</f>
        <v>8.6293398638881058</v>
      </c>
      <c r="AP989" s="94">
        <f>IF('Net zero activities &amp; levers'!$C$12="Off",'Activity data'!BI70*UDCPPEF*NtoN2O*kgtoGg,'Net zero Activity data'!BI70*UDCPPEF*NtoN2O*kgtoGg)</f>
        <v>8.6715110322206357</v>
      </c>
      <c r="AQ989" s="94">
        <f>IF('Net zero activities &amp; levers'!$C$12="Off",'Activity data'!BJ70*UDCPPEF*NtoN2O*kgtoGg,'Net zero Activity data'!BJ70*UDCPPEF*NtoN2O*kgtoGg)</f>
        <v>8.7143266587451382</v>
      </c>
      <c r="AR989" s="94">
        <f>IF('Net zero activities &amp; levers'!$C$12="Off",'Activity data'!BK70*UDCPPEF*NtoN2O*kgtoGg,'Net zero Activity data'!BK70*UDCPPEF*NtoN2O*kgtoGg)</f>
        <v>8.7587152402552686</v>
      </c>
      <c r="AS989" s="94">
        <f>IF('Net zero activities &amp; levers'!$C$12="Off",'Activity data'!BL70*UDCPPEF*NtoN2O*kgtoGg,'Net zero Activity data'!BL70*UDCPPEF*NtoN2O*kgtoGg)</f>
        <v>8.8282772400871714</v>
      </c>
      <c r="AT989" s="94">
        <f>IF('Net zero activities &amp; levers'!$C$12="Off",'Activity data'!BM70*UDCPPEF*NtoN2O*kgtoGg,'Net zero Activity data'!BM70*UDCPPEF*NtoN2O*kgtoGg)</f>
        <v>8.8086844522156653</v>
      </c>
      <c r="AU989" s="94">
        <f>IF('Net zero activities &amp; levers'!$C$12="Off",'Activity data'!BN70*UDCPPEF*NtoN2O*kgtoGg,'Net zero Activity data'!BN70*UDCPPEF*NtoN2O*kgtoGg)</f>
        <v>8.7793088399743002</v>
      </c>
      <c r="AV989" s="94">
        <f>IF('Net zero activities &amp; levers'!$C$12="Off",'Activity data'!BO70*UDCPPEF*NtoN2O*kgtoGg,'Net zero Activity data'!BO70*UDCPPEF*NtoN2O*kgtoGg)</f>
        <v>8.7488836732930295</v>
      </c>
      <c r="AW989" s="94">
        <f>IF('Net zero activities &amp; levers'!$C$12="Off",'Activity data'!BP70*UDCPPEF*NtoN2O*kgtoGg,'Net zero Activity data'!BP70*UDCPPEF*NtoN2O*kgtoGg)</f>
        <v>8.7137684761898431</v>
      </c>
      <c r="AY989" s="79"/>
      <c r="AZ989" s="79"/>
    </row>
    <row r="990" spans="1:52" x14ac:dyDescent="0.2">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2">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5.9177410166742819</v>
      </c>
      <c r="T991" s="94">
        <f>IF('Net zero activities &amp; levers'!$C$12="Off",'Activity data'!AM72*UDSOEF*NtoN2O*kgtoGg,IF('Net zero activities &amp; levers'!$C$12="PB",'Activity data'!AM72*UDSOEF*NtoN2O*kgtoGg,IF('Net zero activities &amp; levers'!$C$12="MS",'Net zero Activity data'!AM72*UDSOEF*NtoN2O*kgtoGg,"ERROR")))</f>
        <v>5.9267532558831455</v>
      </c>
      <c r="U991" s="94">
        <f>IF('Net zero activities &amp; levers'!$C$12="Off",'Activity data'!AN72*UDSOEF*NtoN2O*kgtoGg,IF('Net zero activities &amp; levers'!$C$12="PB",'Activity data'!AN72*UDSOEF*NtoN2O*kgtoGg,IF('Net zero activities &amp; levers'!$C$12="MS",'Net zero Activity data'!AN72*UDSOEF*NtoN2O*kgtoGg,"ERROR")))</f>
        <v>5.9369392429781076</v>
      </c>
      <c r="V991" s="94">
        <f>IF('Net zero activities &amp; levers'!$C$12="Off",'Activity data'!AO72*UDSOEF*NtoN2O*kgtoGg,IF('Net zero activities &amp; levers'!$C$12="PB",'Activity data'!AO72*UDSOEF*NtoN2O*kgtoGg,IF('Net zero activities &amp; levers'!$C$12="MS",'Net zero Activity data'!AO72*UDSOEF*NtoN2O*kgtoGg,"ERROR")))</f>
        <v>5.9484299369724756</v>
      </c>
      <c r="W991" s="94">
        <f>IF('Net zero activities &amp; levers'!$C$12="Off",'Activity data'!AP72*UDSOEF*NtoN2O*kgtoGg,IF('Net zero activities &amp; levers'!$C$12="PB",'Activity data'!AP72*UDSOEF*NtoN2O*kgtoGg,IF('Net zero activities &amp; levers'!$C$12="MS",'Net zero Activity data'!AP72*UDSOEF*NtoN2O*kgtoGg,"ERROR")))</f>
        <v>5.9613561230675689</v>
      </c>
      <c r="X991" s="94">
        <f>IF('Net zero activities &amp; levers'!$C$12="Off",'Activity data'!AQ72*UDSOEF*NtoN2O*kgtoGg,IF('Net zero activities &amp; levers'!$C$12="PB",'Activity data'!AQ72*UDSOEF*NtoN2O*kgtoGg,IF('Net zero activities &amp; levers'!$C$12="MS",'Net zero Activity data'!AQ72*UDSOEF*NtoN2O*kgtoGg,"ERROR")))</f>
        <v>5.9754482628979506</v>
      </c>
      <c r="Y991" s="94">
        <f>IF('Net zero activities &amp; levers'!$C$12="Off",'Activity data'!AR72*UDSOEF*NtoN2O*kgtoGg,IF('Net zero activities &amp; levers'!$C$12="PB",'Activity data'!AR72*UDSOEF*NtoN2O*kgtoGg,IF('Net zero activities &amp; levers'!$C$12="MS",'Net zero Activity data'!AR72*UDSOEF*NtoN2O*kgtoGg,"ERROR")))</f>
        <v>5.9840189867940028</v>
      </c>
      <c r="Z991" s="94">
        <f>IF('Net zero activities &amp; levers'!$C$12="Off",'Activity data'!AS72*UDSOEF*NtoN2O*kgtoGg,IF('Net zero activities &amp; levers'!$C$12="PB",'Activity data'!AS72*UDSOEF*NtoN2O*kgtoGg,IF('Net zero activities &amp; levers'!$C$12="MS",'Net zero Activity data'!AS72*UDSOEF*NtoN2O*kgtoGg,"ERROR")))</f>
        <v>5.9935919924924663</v>
      </c>
      <c r="AA991" s="94">
        <f>IF('Net zero activities &amp; levers'!$C$12="Off",'Activity data'!AT72*UDSOEF*NtoN2O*kgtoGg,IF('Net zero activities &amp; levers'!$C$12="PB",'Activity data'!AT72*UDSOEF*NtoN2O*kgtoGg,IF('Net zero activities &amp; levers'!$C$12="MS",'Net zero Activity data'!AT72*UDSOEF*NtoN2O*kgtoGg,"ERROR")))</f>
        <v>6.0040970561873648</v>
      </c>
      <c r="AB991" s="94">
        <f>IF('Net zero activities &amp; levers'!$C$12="Off",'Activity data'!AU72*UDSOEF*NtoN2O*kgtoGg,IF('Net zero activities &amp; levers'!$C$12="PB",'Activity data'!AU72*UDSOEF*NtoN2O*kgtoGg,IF('Net zero activities &amp; levers'!$C$12="MS",'Net zero Activity data'!AU72*UDSOEF*NtoN2O*kgtoGg,"ERROR")))</f>
        <v>6.015772019922915</v>
      </c>
      <c r="AC991" s="94">
        <f>IF('Net zero activities &amp; levers'!$C$12="Off",'Activity data'!AV72*UDSOEF*NtoN2O*kgtoGg,IF('Net zero activities &amp; levers'!$C$12="PB",'Activity data'!AV72*UDSOEF*NtoN2O*kgtoGg,IF('Net zero activities &amp; levers'!$C$12="MS",'Net zero Activity data'!AV72*UDSOEF*NtoN2O*kgtoGg,"ERROR")))</f>
        <v>6.0283300293613564</v>
      </c>
      <c r="AD991" s="94">
        <f>IF('Net zero activities &amp; levers'!$C$12="Off",'Activity data'!AW72*UDSOEF*NtoN2O*kgtoGg,IF('Net zero activities &amp; levers'!$C$12="PB",'Activity data'!AW72*UDSOEF*NtoN2O*kgtoGg,IF('Net zero activities &amp; levers'!$C$12="MS",'Net zero Activity data'!AW72*UDSOEF*NtoN2O*kgtoGg,"ERROR")))</f>
        <v>6.0365358206617943</v>
      </c>
      <c r="AE991" s="94">
        <f>IF('Net zero activities &amp; levers'!$C$12="Off",'Activity data'!AX72*UDSOEF*NtoN2O*kgtoGg,IF('Net zero activities &amp; levers'!$C$12="PB",'Activity data'!AX72*UDSOEF*NtoN2O*kgtoGg,IF('Net zero activities &amp; levers'!$C$12="MS",'Net zero Activity data'!AX72*UDSOEF*NtoN2O*kgtoGg,"ERROR")))</f>
        <v>6.0457468580703022</v>
      </c>
      <c r="AF991" s="94">
        <f>IF('Net zero activities &amp; levers'!$C$12="Off",'Activity data'!AY72*UDSOEF*NtoN2O*kgtoGg,IF('Net zero activities &amp; levers'!$C$12="PB",'Activity data'!AY72*UDSOEF*NtoN2O*kgtoGg,IF('Net zero activities &amp; levers'!$C$12="MS",'Net zero Activity data'!AY72*UDSOEF*NtoN2O*kgtoGg,"ERROR")))</f>
        <v>6.0558159935957239</v>
      </c>
      <c r="AG991" s="94">
        <f>IF('Net zero activities &amp; levers'!$C$12="Off",'Activity data'!AZ72*UDSOEF*NtoN2O*kgtoGg,IF('Net zero activities &amp; levers'!$C$12="PB",'Activity data'!AZ72*UDSOEF*NtoN2O*kgtoGg,IF('Net zero activities &amp; levers'!$C$12="MS",'Net zero Activity data'!AZ72*UDSOEF*NtoN2O*kgtoGg,"ERROR")))</f>
        <v>6.0668477974371191</v>
      </c>
      <c r="AH991" s="94">
        <f>IF('Net zero activities &amp; levers'!$C$12="Off",'Activity data'!BA72*UDSOEF*NtoN2O*kgtoGg,IF('Net zero activities &amp; levers'!$C$12="PB",'Activity data'!BA72*UDSOEF*NtoN2O*kgtoGg,IF('Net zero activities &amp; levers'!$C$12="MS",'Net zero Activity data'!BA72*UDSOEF*NtoN2O*kgtoGg,"ERROR")))</f>
        <v>6.0782061128825768</v>
      </c>
      <c r="AI991" s="94">
        <f>IF('Net zero activities &amp; levers'!$C$12="Off",'Activity data'!BB72*UDSOEF*NtoN2O*kgtoGg,IF('Net zero activities &amp; levers'!$C$12="PB",'Activity data'!BB72*UDSOEF*NtoN2O*kgtoGg,IF('Net zero activities &amp; levers'!$C$12="MS",'Net zero Activity data'!BB72*UDSOEF*NtoN2O*kgtoGg,"ERROR")))</f>
        <v>6.0851673422995747</v>
      </c>
      <c r="AJ991" s="94">
        <f>IF('Net zero activities &amp; levers'!$C$12="Off",'Activity data'!BC72*UDSOEF*NtoN2O*kgtoGg,IF('Net zero activities &amp; levers'!$C$12="PB",'Activity data'!BC72*UDSOEF*NtoN2O*kgtoGg,IF('Net zero activities &amp; levers'!$C$12="MS",'Net zero Activity data'!BC72*UDSOEF*NtoN2O*kgtoGg,"ERROR")))</f>
        <v>6.0928574061867389</v>
      </c>
      <c r="AK991" s="94">
        <f>IF('Net zero activities &amp; levers'!$C$12="Off",'Activity data'!BD72*UDSOEF*NtoN2O*kgtoGg,IF('Net zero activities &amp; levers'!$C$12="PB",'Activity data'!BD72*UDSOEF*NtoN2O*kgtoGg,IF('Net zero activities &amp; levers'!$C$12="MS",'Net zero Activity data'!BD72*UDSOEF*NtoN2O*kgtoGg,"ERROR")))</f>
        <v>6.1010802783379781</v>
      </c>
      <c r="AL991" s="94">
        <f>IF('Net zero activities &amp; levers'!$C$12="Off",'Activity data'!BE72*UDSOEF*NtoN2O*kgtoGg,IF('Net zero activities &amp; levers'!$C$12="PB",'Activity data'!BE72*UDSOEF*NtoN2O*kgtoGg,IF('Net zero activities &amp; levers'!$C$12="MS",'Net zero Activity data'!BE72*UDSOEF*NtoN2O*kgtoGg,"ERROR")))</f>
        <v>6.1099337878320572</v>
      </c>
      <c r="AM991" s="94">
        <f>IF('Net zero activities &amp; levers'!$C$12="Off",'Activity data'!BF72*UDSOEF*NtoN2O*kgtoGg,IF('Net zero activities &amp; levers'!$C$12="PB",'Activity data'!BF72*UDSOEF*NtoN2O*kgtoGg,IF('Net zero activities &amp; levers'!$C$12="MS",'Net zero Activity data'!BF72*UDSOEF*NtoN2O*kgtoGg,"ERROR")))</f>
        <v>6.1193379299301505</v>
      </c>
      <c r="AN991" s="94">
        <f>IF('Net zero activities &amp; levers'!$C$12="Off",'Activity data'!BG72*UDSOEF*NtoN2O*kgtoGg,IF('Net zero activities &amp; levers'!$C$12="PB",'Activity data'!BG72*UDSOEF*NtoN2O*kgtoGg,IF('Net zero activities &amp; levers'!$C$12="MS",'Net zero Activity data'!BG72*UDSOEF*NtoN2O*kgtoGg,"ERROR")))</f>
        <v>6.1247915653472518</v>
      </c>
      <c r="AO991" s="94">
        <f>IF('Net zero activities &amp; levers'!$C$12="Off",'Activity data'!BH72*UDSOEF*NtoN2O*kgtoGg,IF('Net zero activities &amp; levers'!$C$12="PB",'Activity data'!BH72*UDSOEF*NtoN2O*kgtoGg,IF('Net zero activities &amp; levers'!$C$12="MS",'Net zero Activity data'!BH72*UDSOEF*NtoN2O*kgtoGg,"ERROR")))</f>
        <v>6.1306576553625556</v>
      </c>
      <c r="AP991" s="94">
        <f>IF('Net zero activities &amp; levers'!$C$12="Off",'Activity data'!BI72*UDSOEF*NtoN2O*kgtoGg,IF('Net zero activities &amp; levers'!$C$12="PB",'Activity data'!BI72*UDSOEF*NtoN2O*kgtoGg,IF('Net zero activities &amp; levers'!$C$12="MS",'Net zero Activity data'!BI72*UDSOEF*NtoN2O*kgtoGg,"ERROR")))</f>
        <v>6.1370111691436762</v>
      </c>
      <c r="AQ991" s="94">
        <f>IF('Net zero activities &amp; levers'!$C$12="Off",'Activity data'!BJ72*UDSOEF*NtoN2O*kgtoGg,IF('Net zero activities &amp; levers'!$C$12="PB",'Activity data'!BJ72*UDSOEF*NtoN2O*kgtoGg,IF('Net zero activities &amp; levers'!$C$12="MS",'Net zero Activity data'!BJ72*UDSOEF*NtoN2O*kgtoGg,"ERROR")))</f>
        <v>6.1438608776263539</v>
      </c>
      <c r="AR991" s="94">
        <f>IF('Net zero activities &amp; levers'!$C$12="Off",'Activity data'!BK72*UDSOEF*NtoN2O*kgtoGg,IF('Net zero activities &amp; levers'!$C$12="PB",'Activity data'!BK72*UDSOEF*NtoN2O*kgtoGg,IF('Net zero activities &amp; levers'!$C$12="MS",'Net zero Activity data'!BK72*UDSOEF*NtoN2O*kgtoGg,"ERROR")))</f>
        <v>6.1512019925053671</v>
      </c>
      <c r="AS991" s="94">
        <f>IF('Net zero activities &amp; levers'!$C$12="Off",'Activity data'!BL72*UDSOEF*NtoN2O*kgtoGg,IF('Net zero activities &amp; levers'!$C$12="PB",'Activity data'!BL72*UDSOEF*NtoN2O*kgtoGg,IF('Net zero activities &amp; levers'!$C$12="MS",'Net zero Activity data'!BL72*UDSOEF*NtoN2O*kgtoGg,"ERROR")))</f>
        <v>6.1544845731259219</v>
      </c>
      <c r="AT991" s="94">
        <f>IF('Net zero activities &amp; levers'!$C$12="Off",'Activity data'!BM72*UDSOEF*NtoN2O*kgtoGg,IF('Net zero activities &amp; levers'!$C$12="PB",'Activity data'!BM72*UDSOEF*NtoN2O*kgtoGg,IF('Net zero activities &amp; levers'!$C$12="MS",'Net zero Activity data'!BM72*UDSOEF*NtoN2O*kgtoGg,"ERROR")))</f>
        <v>6.1575398722372316</v>
      </c>
      <c r="AU991" s="94">
        <f>IF('Net zero activities &amp; levers'!$C$12="Off",'Activity data'!BN72*UDSOEF*NtoN2O*kgtoGg,IF('Net zero activities &amp; levers'!$C$12="PB",'Activity data'!BN72*UDSOEF*NtoN2O*kgtoGg,IF('Net zero activities &amp; levers'!$C$12="MS",'Net zero Activity data'!BN72*UDSOEF*NtoN2O*kgtoGg,"ERROR")))</f>
        <v>6.1609269818317118</v>
      </c>
      <c r="AV991" s="94">
        <f>IF('Net zero activities &amp; levers'!$C$12="Off",'Activity data'!BO72*UDSOEF*NtoN2O*kgtoGg,IF('Net zero activities &amp; levers'!$C$12="PB",'Activity data'!BO72*UDSOEF*NtoN2O*kgtoGg,IF('Net zero activities &amp; levers'!$C$12="MS",'Net zero Activity data'!BO72*UDSOEF*NtoN2O*kgtoGg,"ERROR")))</f>
        <v>6.1647001939833732</v>
      </c>
      <c r="AW991" s="94">
        <f>IF('Net zero activities &amp; levers'!$C$12="Off",'Activity data'!BP72*UDSOEF*NtoN2O*kgtoGg,IF('Net zero activities &amp; levers'!$C$12="PB",'Activity data'!BP72*UDSOEF*NtoN2O*kgtoGg,IF('Net zero activities &amp; levers'!$C$12="MS",'Net zero Activity data'!BP72*UDSOEF*NtoN2O*kgtoGg,"ERROR")))</f>
        <v>6.1688206661186156</v>
      </c>
      <c r="AY991" s="79"/>
      <c r="AZ991" s="79"/>
    </row>
    <row r="992" spans="1:52" x14ac:dyDescent="0.2">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0.66059463009348052</v>
      </c>
      <c r="T992" s="94">
        <f>IF('Net zero activities &amp; levers'!$C$12="Off",'Activity data'!AM73*UDSOEF*NtoN2O*kgtoGg,IF('Net zero activities &amp; levers'!$C$12="PB",'Activity data'!AM73*UDSOEF*NtoN2O*kgtoGg,IF('Net zero activities &amp; levers'!$C$12="MS",'Net zero Activity data'!AM73*UDSOEF*NtoN2O*kgtoGg,"ERROR")))</f>
        <v>0.66160066209280566</v>
      </c>
      <c r="U992" s="94">
        <f>IF('Net zero activities &amp; levers'!$C$12="Off",'Activity data'!AN73*UDSOEF*NtoN2O*kgtoGg,IF('Net zero activities &amp; levers'!$C$12="PB",'Activity data'!AN73*UDSOEF*NtoN2O*kgtoGg,IF('Net zero activities &amp; levers'!$C$12="MS",'Net zero Activity data'!AN73*UDSOEF*NtoN2O*kgtoGg,"ERROR")))</f>
        <v>0.66273771901337264</v>
      </c>
      <c r="V992" s="94">
        <f>IF('Net zero activities &amp; levers'!$C$12="Off",'Activity data'!AO73*UDSOEF*NtoN2O*kgtoGg,IF('Net zero activities &amp; levers'!$C$12="PB",'Activity data'!AO73*UDSOEF*NtoN2O*kgtoGg,IF('Net zero activities &amp; levers'!$C$12="MS",'Net zero Activity data'!AO73*UDSOEF*NtoN2O*kgtoGg,"ERROR")))</f>
        <v>0.66402041974788251</v>
      </c>
      <c r="W992" s="94">
        <f>IF('Net zero activities &amp; levers'!$C$12="Off",'Activity data'!AP73*UDSOEF*NtoN2O*kgtoGg,IF('Net zero activities &amp; levers'!$C$12="PB",'Activity data'!AP73*UDSOEF*NtoN2O*kgtoGg,IF('Net zero activities &amp; levers'!$C$12="MS",'Net zero Activity data'!AP73*UDSOEF*NtoN2O*kgtoGg,"ERROR")))</f>
        <v>0.66546336378648574</v>
      </c>
      <c r="X992" s="94">
        <f>IF('Net zero activities &amp; levers'!$C$12="Off",'Activity data'!AQ73*UDSOEF*NtoN2O*kgtoGg,IF('Net zero activities &amp; levers'!$C$12="PB",'Activity data'!AQ73*UDSOEF*NtoN2O*kgtoGg,IF('Net zero activities &amp; levers'!$C$12="MS",'Net zero Activity data'!AQ73*UDSOEF*NtoN2O*kgtoGg,"ERROR")))</f>
        <v>0.66703646268896311</v>
      </c>
      <c r="Y992" s="94">
        <f>IF('Net zero activities &amp; levers'!$C$12="Off",'Activity data'!AR73*UDSOEF*NtoN2O*kgtoGg,IF('Net zero activities &amp; levers'!$C$12="PB",'Activity data'!AR73*UDSOEF*NtoN2O*kgtoGg,IF('Net zero activities &amp; levers'!$C$12="MS",'Net zero Activity data'!AR73*UDSOEF*NtoN2O*kgtoGg,"ERROR")))</f>
        <v>0.66799320854279376</v>
      </c>
      <c r="Z992" s="94">
        <f>IF('Net zero activities &amp; levers'!$C$12="Off",'Activity data'!AS73*UDSOEF*NtoN2O*kgtoGg,IF('Net zero activities &amp; levers'!$C$12="PB",'Activity data'!AS73*UDSOEF*NtoN2O*kgtoGg,IF('Net zero activities &amp; levers'!$C$12="MS",'Net zero Activity data'!AS73*UDSOEF*NtoN2O*kgtoGg,"ERROR")))</f>
        <v>0.66906183864006219</v>
      </c>
      <c r="AA992" s="94">
        <f>IF('Net zero activities &amp; levers'!$C$12="Off",'Activity data'!AT73*UDSOEF*NtoN2O*kgtoGg,IF('Net zero activities &amp; levers'!$C$12="PB",'Activity data'!AT73*UDSOEF*NtoN2O*kgtoGg,IF('Net zero activities &amp; levers'!$C$12="MS",'Net zero Activity data'!AT73*UDSOEF*NtoN2O*kgtoGg,"ERROR")))</f>
        <v>0.67023451393053002</v>
      </c>
      <c r="AB992" s="94">
        <f>IF('Net zero activities &amp; levers'!$C$12="Off",'Activity data'!AU73*UDSOEF*NtoN2O*kgtoGg,IF('Net zero activities &amp; levers'!$C$12="PB",'Activity data'!AU73*UDSOEF*NtoN2O*kgtoGg,IF('Net zero activities &amp; levers'!$C$12="MS",'Net zero Activity data'!AU73*UDSOEF*NtoN2O*kgtoGg,"ERROR")))</f>
        <v>0.67153778460907243</v>
      </c>
      <c r="AC992" s="94">
        <f>IF('Net zero activities &amp; levers'!$C$12="Off",'Activity data'!AV73*UDSOEF*NtoN2O*kgtoGg,IF('Net zero activities &amp; levers'!$C$12="PB",'Activity data'!AV73*UDSOEF*NtoN2O*kgtoGg,IF('Net zero activities &amp; levers'!$C$12="MS",'Net zero Activity data'!AV73*UDSOEF*NtoN2O*kgtoGg,"ERROR")))</f>
        <v>0.67293962926167272</v>
      </c>
      <c r="AD992" s="94">
        <f>IF('Net zero activities &amp; levers'!$C$12="Off",'Activity data'!AW73*UDSOEF*NtoN2O*kgtoGg,IF('Net zero activities &amp; levers'!$C$12="PB",'Activity data'!AW73*UDSOEF*NtoN2O*kgtoGg,IF('Net zero activities &amp; levers'!$C$12="MS",'Net zero Activity data'!AW73*UDSOEF*NtoN2O*kgtoGg,"ERROR")))</f>
        <v>0.67385563786249902</v>
      </c>
      <c r="AE992" s="94">
        <f>IF('Net zero activities &amp; levers'!$C$12="Off",'Activity data'!AX73*UDSOEF*NtoN2O*kgtoGg,IF('Net zero activities &amp; levers'!$C$12="PB",'Activity data'!AX73*UDSOEF*NtoN2O*kgtoGg,IF('Net zero activities &amp; levers'!$C$12="MS",'Net zero Activity data'!AX73*UDSOEF*NtoN2O*kgtoGg,"ERROR")))</f>
        <v>0.67488386161080183</v>
      </c>
      <c r="AF992" s="94">
        <f>IF('Net zero activities &amp; levers'!$C$12="Off",'Activity data'!AY73*UDSOEF*NtoN2O*kgtoGg,IF('Net zero activities &amp; levers'!$C$12="PB",'Activity data'!AY73*UDSOEF*NtoN2O*kgtoGg,IF('Net zero activities &amp; levers'!$C$12="MS",'Net zero Activity data'!AY73*UDSOEF*NtoN2O*kgtoGg,"ERROR")))</f>
        <v>0.67600787444594213</v>
      </c>
      <c r="AG992" s="94">
        <f>IF('Net zero activities &amp; levers'!$C$12="Off",'Activity data'!AZ73*UDSOEF*NtoN2O*kgtoGg,IF('Net zero activities &amp; levers'!$C$12="PB",'Activity data'!AZ73*UDSOEF*NtoN2O*kgtoGg,IF('Net zero activities &amp; levers'!$C$12="MS",'Net zero Activity data'!AZ73*UDSOEF*NtoN2O*kgtoGg,"ERROR")))</f>
        <v>0.67723934948976972</v>
      </c>
      <c r="AH992" s="94">
        <f>IF('Net zero activities &amp; levers'!$C$12="Off",'Activity data'!BA73*UDSOEF*NtoN2O*kgtoGg,IF('Net zero activities &amp; levers'!$C$12="PB",'Activity data'!BA73*UDSOEF*NtoN2O*kgtoGg,IF('Net zero activities &amp; levers'!$C$12="MS",'Net zero Activity data'!BA73*UDSOEF*NtoN2O*kgtoGg,"ERROR")))</f>
        <v>0.6785072728694912</v>
      </c>
      <c r="AI992" s="94">
        <f>IF('Net zero activities &amp; levers'!$C$12="Off",'Activity data'!BB73*UDSOEF*NtoN2O*kgtoGg,IF('Net zero activities &amp; levers'!$C$12="PB",'Activity data'!BB73*UDSOEF*NtoN2O*kgtoGg,IF('Net zero activities &amp; levers'!$C$12="MS",'Net zero Activity data'!BB73*UDSOEF*NtoN2O*kgtoGg,"ERROR")))</f>
        <v>0.67928435161605349</v>
      </c>
      <c r="AJ992" s="94">
        <f>IF('Net zero activities &amp; levers'!$C$12="Off",'Activity data'!BC73*UDSOEF*NtoN2O*kgtoGg,IF('Net zero activities &amp; levers'!$C$12="PB",'Activity data'!BC73*UDSOEF*NtoN2O*kgtoGg,IF('Net zero activities &amp; levers'!$C$12="MS",'Net zero Activity data'!BC73*UDSOEF*NtoN2O*kgtoGg,"ERROR")))</f>
        <v>0.68014278980971932</v>
      </c>
      <c r="AK992" s="94">
        <f>IF('Net zero activities &amp; levers'!$C$12="Off",'Activity data'!BD73*UDSOEF*NtoN2O*kgtoGg,IF('Net zero activities &amp; levers'!$C$12="PB",'Activity data'!BD73*UDSOEF*NtoN2O*kgtoGg,IF('Net zero activities &amp; levers'!$C$12="MS",'Net zero Activity data'!BD73*UDSOEF*NtoN2O*kgtoGg,"ERROR")))</f>
        <v>0.68106070513784001</v>
      </c>
      <c r="AL992" s="94">
        <f>IF('Net zero activities &amp; levers'!$C$12="Off",'Activity data'!BE73*UDSOEF*NtoN2O*kgtoGg,IF('Net zero activities &amp; levers'!$C$12="PB",'Activity data'!BE73*UDSOEF*NtoN2O*kgtoGg,IF('Net zero activities &amp; levers'!$C$12="MS",'Net zero Activity data'!BE73*UDSOEF*NtoN2O*kgtoGg,"ERROR")))</f>
        <v>0.68204901821419661</v>
      </c>
      <c r="AM992" s="94">
        <f>IF('Net zero activities &amp; levers'!$C$12="Off",'Activity data'!BF73*UDSOEF*NtoN2O*kgtoGg,IF('Net zero activities &amp; levers'!$C$12="PB",'Activity data'!BF73*UDSOEF*NtoN2O*kgtoGg,IF('Net zero activities &amp; levers'!$C$12="MS",'Net zero Activity data'!BF73*UDSOEF*NtoN2O*kgtoGg,"ERROR")))</f>
        <v>0.68309879814764285</v>
      </c>
      <c r="AN992" s="94">
        <f>IF('Net zero activities &amp; levers'!$C$12="Off",'Activity data'!BG73*UDSOEF*NtoN2O*kgtoGg,IF('Net zero activities &amp; levers'!$C$12="PB",'Activity data'!BG73*UDSOEF*NtoN2O*kgtoGg,IF('Net zero activities &amp; levers'!$C$12="MS",'Net zero Activity data'!BG73*UDSOEF*NtoN2O*kgtoGg,"ERROR")))</f>
        <v>0.68370758488921768</v>
      </c>
      <c r="AO992" s="94">
        <f>IF('Net zero activities &amp; levers'!$C$12="Off",'Activity data'!BH73*UDSOEF*NtoN2O*kgtoGg,IF('Net zero activities &amp; levers'!$C$12="PB",'Activity data'!BH73*UDSOEF*NtoN2O*kgtoGg,IF('Net zero activities &amp; levers'!$C$12="MS",'Net zero Activity data'!BH73*UDSOEF*NtoN2O*kgtoGg,"ERROR")))</f>
        <v>0.68436241374246343</v>
      </c>
      <c r="AP992" s="94">
        <f>IF('Net zero activities &amp; levers'!$C$12="Off",'Activity data'!BI73*UDSOEF*NtoN2O*kgtoGg,IF('Net zero activities &amp; levers'!$C$12="PB",'Activity data'!BI73*UDSOEF*NtoN2O*kgtoGg,IF('Net zero activities &amp; levers'!$C$12="MS",'Net zero Activity data'!BI73*UDSOEF*NtoN2O*kgtoGg,"ERROR")))</f>
        <v>0.68507165348009424</v>
      </c>
      <c r="AQ992" s="94">
        <f>IF('Net zero activities &amp; levers'!$C$12="Off",'Activity data'!BJ73*UDSOEF*NtoN2O*kgtoGg,IF('Net zero activities &amp; levers'!$C$12="PB",'Activity data'!BJ73*UDSOEF*NtoN2O*kgtoGg,IF('Net zero activities &amp; levers'!$C$12="MS",'Net zero Activity data'!BJ73*UDSOEF*NtoN2O*kgtoGg,"ERROR")))</f>
        <v>0.68583628319751733</v>
      </c>
      <c r="AR992" s="94">
        <f>IF('Net zero activities &amp; levers'!$C$12="Off",'Activity data'!BK73*UDSOEF*NtoN2O*kgtoGg,IF('Net zero activities &amp; levers'!$C$12="PB",'Activity data'!BK73*UDSOEF*NtoN2O*kgtoGg,IF('Net zero activities &amp; levers'!$C$12="MS",'Net zero Activity data'!BK73*UDSOEF*NtoN2O*kgtoGg,"ERROR")))</f>
        <v>0.68665576837848608</v>
      </c>
      <c r="AS992" s="94">
        <f>IF('Net zero activities &amp; levers'!$C$12="Off",'Activity data'!BL73*UDSOEF*NtoN2O*kgtoGg,IF('Net zero activities &amp; levers'!$C$12="PB",'Activity data'!BL73*UDSOEF*NtoN2O*kgtoGg,IF('Net zero activities &amp; levers'!$C$12="MS",'Net zero Activity data'!BL73*UDSOEF*NtoN2O*kgtoGg,"ERROR")))</f>
        <v>0.68702220130021696</v>
      </c>
      <c r="AT992" s="94">
        <f>IF('Net zero activities &amp; levers'!$C$12="Off",'Activity data'!BM73*UDSOEF*NtoN2O*kgtoGg,IF('Net zero activities &amp; levers'!$C$12="PB",'Activity data'!BM73*UDSOEF*NtoN2O*kgtoGg,IF('Net zero activities &amp; levers'!$C$12="MS",'Net zero Activity data'!BM73*UDSOEF*NtoN2O*kgtoGg,"ERROR")))</f>
        <v>0.68736326289459471</v>
      </c>
      <c r="AU992" s="94">
        <f>IF('Net zero activities &amp; levers'!$C$12="Off",'Activity data'!BN73*UDSOEF*NtoN2O*kgtoGg,IF('Net zero activities &amp; levers'!$C$12="PB",'Activity data'!BN73*UDSOEF*NtoN2O*kgtoGg,IF('Net zero activities &amp; levers'!$C$12="MS",'Net zero Activity data'!BN73*UDSOEF*NtoN2O*kgtoGg,"ERROR")))</f>
        <v>0.6877413643362339</v>
      </c>
      <c r="AV992" s="94">
        <f>IF('Net zero activities &amp; levers'!$C$12="Off",'Activity data'!BO73*UDSOEF*NtoN2O*kgtoGg,IF('Net zero activities &amp; levers'!$C$12="PB",'Activity data'!BO73*UDSOEF*NtoN2O*kgtoGg,IF('Net zero activities &amp; levers'!$C$12="MS",'Net zero Activity data'!BO73*UDSOEF*NtoN2O*kgtoGg,"ERROR")))</f>
        <v>0.68816256622367178</v>
      </c>
      <c r="AW992" s="94">
        <f>IF('Net zero activities &amp; levers'!$C$12="Off",'Activity data'!BP73*UDSOEF*NtoN2O*kgtoGg,IF('Net zero activities &amp; levers'!$C$12="PB",'Activity data'!BP73*UDSOEF*NtoN2O*kgtoGg,IF('Net zero activities &amp; levers'!$C$12="MS",'Net zero Activity data'!BP73*UDSOEF*NtoN2O*kgtoGg,"ERROR")))</f>
        <v>0.68862253257879269</v>
      </c>
      <c r="AY992" s="79"/>
      <c r="AZ992" s="79"/>
    </row>
    <row r="993" spans="1:52" x14ac:dyDescent="0.2">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0.72463138273575967</v>
      </c>
      <c r="O993" s="22">
        <f t="shared" si="348"/>
        <v>0.72832072886952293</v>
      </c>
      <c r="P993" s="22">
        <f t="shared" si="348"/>
        <v>0.7325443847928953</v>
      </c>
      <c r="Q993" s="22">
        <f t="shared" si="348"/>
        <v>0.73708994755228407</v>
      </c>
      <c r="R993" s="22">
        <f t="shared" si="348"/>
        <v>0.74193942345928476</v>
      </c>
      <c r="S993" s="22">
        <f t="shared" si="348"/>
        <v>0.74639464232983788</v>
      </c>
      <c r="T993" s="22">
        <f t="shared" si="348"/>
        <v>0.74856351716878611</v>
      </c>
      <c r="U993" s="22">
        <f t="shared" si="348"/>
        <v>0.7508946920259173</v>
      </c>
      <c r="V993" s="22">
        <f t="shared" si="348"/>
        <v>0.75341667510432941</v>
      </c>
      <c r="W993" s="22">
        <f t="shared" si="348"/>
        <v>0.75615715708667941</v>
      </c>
      <c r="X993" s="22">
        <f t="shared" si="348"/>
        <v>0.75906737547896641</v>
      </c>
      <c r="Y993" s="22">
        <f t="shared" si="348"/>
        <v>0.76088672130758961</v>
      </c>
      <c r="Z993" s="22">
        <f t="shared" si="348"/>
        <v>0.76285477171358229</v>
      </c>
      <c r="AA993" s="22">
        <f t="shared" ref="L993:AW996" si="349">AA1490</f>
        <v>0.76495995173574494</v>
      </c>
      <c r="AB993" s="22">
        <f t="shared" si="349"/>
        <v>0.76724835481418519</v>
      </c>
      <c r="AC993" s="22">
        <f t="shared" si="349"/>
        <v>0.76966726525164153</v>
      </c>
      <c r="AD993" s="22">
        <f t="shared" si="349"/>
        <v>0.77123981630413885</v>
      </c>
      <c r="AE993" s="22">
        <f t="shared" si="349"/>
        <v>0.7729717745117366</v>
      </c>
      <c r="AF993" s="22">
        <f t="shared" si="349"/>
        <v>0.77483635735979484</v>
      </c>
      <c r="AG993" s="22">
        <f t="shared" si="349"/>
        <v>0.77685363069924696</v>
      </c>
      <c r="AH993" s="22">
        <f t="shared" si="349"/>
        <v>0.7789061253482048</v>
      </c>
      <c r="AI993" s="22">
        <f t="shared" si="349"/>
        <v>0.78012107515728923</v>
      </c>
      <c r="AJ993" s="22">
        <f t="shared" si="349"/>
        <v>0.78145074369480261</v>
      </c>
      <c r="AK993" s="22">
        <f t="shared" si="349"/>
        <v>0.7828593435343304</v>
      </c>
      <c r="AL993" s="22">
        <f t="shared" si="349"/>
        <v>0.78436534735883467</v>
      </c>
      <c r="AM993" s="22">
        <f t="shared" si="349"/>
        <v>0.78595438278227181</v>
      </c>
      <c r="AN993" s="22">
        <f t="shared" si="349"/>
        <v>0.78680169998206073</v>
      </c>
      <c r="AO993" s="22">
        <f t="shared" si="349"/>
        <v>0.78771028208261162</v>
      </c>
      <c r="AP993" s="22">
        <f t="shared" si="349"/>
        <v>0.78869414542587013</v>
      </c>
      <c r="AQ993" s="22">
        <f t="shared" si="349"/>
        <v>0.78975510213576938</v>
      </c>
      <c r="AR993" s="22">
        <f t="shared" si="349"/>
        <v>0.79089245177101786</v>
      </c>
      <c r="AS993" s="22">
        <f t="shared" si="349"/>
        <v>0.79127935129009708</v>
      </c>
      <c r="AT993" s="22">
        <f t="shared" si="349"/>
        <v>0.7916151974997605</v>
      </c>
      <c r="AU993" s="22">
        <f t="shared" si="349"/>
        <v>0.79200195212614188</v>
      </c>
      <c r="AV993" s="22">
        <f t="shared" si="349"/>
        <v>0.79244958629193585</v>
      </c>
      <c r="AW993" s="22">
        <f t="shared" si="349"/>
        <v>0.79295116872451854</v>
      </c>
      <c r="AY993" s="79"/>
      <c r="AZ993" s="79"/>
    </row>
    <row r="994" spans="1:52" x14ac:dyDescent="0.2">
      <c r="A994" s="95" t="str">
        <f t="shared" si="345"/>
        <v>DS U&amp;D</v>
      </c>
      <c r="B994" s="95" t="s">
        <v>974</v>
      </c>
      <c r="C994" s="95" t="s">
        <v>1336</v>
      </c>
      <c r="D994" t="s">
        <v>369</v>
      </c>
      <c r="E994" t="s">
        <v>55</v>
      </c>
      <c r="F994" t="s">
        <v>422</v>
      </c>
      <c r="G994" t="s">
        <v>1170</v>
      </c>
      <c r="H994" t="s">
        <v>1249</v>
      </c>
      <c r="I994" t="s">
        <v>139</v>
      </c>
      <c r="J994" t="s">
        <v>287</v>
      </c>
      <c r="K994" s="22">
        <f t="shared" si="348"/>
        <v>1.1867254191644501</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1.2198688909683482</v>
      </c>
      <c r="R994" s="22">
        <f t="shared" si="349"/>
        <v>1.2278946750888551</v>
      </c>
      <c r="S994" s="22">
        <f t="shared" si="349"/>
        <v>1.2352679718224364</v>
      </c>
      <c r="T994" s="22">
        <f t="shared" si="349"/>
        <v>1.2388574156253576</v>
      </c>
      <c r="U994" s="22">
        <f t="shared" si="349"/>
        <v>1.2427154626616324</v>
      </c>
      <c r="V994" s="22">
        <f t="shared" si="349"/>
        <v>1.2468892934283116</v>
      </c>
      <c r="W994" s="22">
        <f t="shared" si="349"/>
        <v>1.2514247354427215</v>
      </c>
      <c r="X994" s="22">
        <f t="shared" si="349"/>
        <v>1.2562410877677852</v>
      </c>
      <c r="Y994" s="22">
        <f t="shared" si="349"/>
        <v>1.2592520681584702</v>
      </c>
      <c r="Z994" s="22">
        <f t="shared" si="349"/>
        <v>1.2625091516041205</v>
      </c>
      <c r="AA994" s="22">
        <f t="shared" si="349"/>
        <v>1.2659931817790702</v>
      </c>
      <c r="AB994" s="22">
        <f t="shared" si="349"/>
        <v>1.2697804423904187</v>
      </c>
      <c r="AC994" s="22">
        <f t="shared" si="349"/>
        <v>1.2737836900299913</v>
      </c>
      <c r="AD994" s="22">
        <f t="shared" si="349"/>
        <v>1.2763862300792366</v>
      </c>
      <c r="AE994" s="22">
        <f t="shared" si="349"/>
        <v>1.2792525857321959</v>
      </c>
      <c r="AF994" s="22">
        <f t="shared" si="349"/>
        <v>1.2823384324711629</v>
      </c>
      <c r="AG994" s="22">
        <f t="shared" si="349"/>
        <v>1.2856769788718418</v>
      </c>
      <c r="AH994" s="22">
        <f t="shared" si="349"/>
        <v>1.2890738158243156</v>
      </c>
      <c r="AI994" s="22">
        <f t="shared" si="349"/>
        <v>1.2910845330795322</v>
      </c>
      <c r="AJ994" s="22">
        <f t="shared" si="349"/>
        <v>1.2932851075000604</v>
      </c>
      <c r="AK994" s="22">
        <f t="shared" si="349"/>
        <v>1.2956163116221209</v>
      </c>
      <c r="AL994" s="22">
        <f t="shared" si="349"/>
        <v>1.2981087173607861</v>
      </c>
      <c r="AM994" s="22">
        <f t="shared" si="349"/>
        <v>1.3007385387090959</v>
      </c>
      <c r="AN994" s="22">
        <f t="shared" si="349"/>
        <v>1.3021408314635115</v>
      </c>
      <c r="AO994" s="22">
        <f t="shared" si="349"/>
        <v>1.303644516384237</v>
      </c>
      <c r="AP994" s="22">
        <f t="shared" si="349"/>
        <v>1.3052727902324839</v>
      </c>
      <c r="AQ994" s="22">
        <f t="shared" si="349"/>
        <v>1.3070286520365533</v>
      </c>
      <c r="AR994" s="22">
        <f t="shared" si="349"/>
        <v>1.308910942580334</v>
      </c>
      <c r="AS994" s="22">
        <f t="shared" si="349"/>
        <v>1.3095512534254661</v>
      </c>
      <c r="AT994" s="22">
        <f t="shared" si="349"/>
        <v>1.3101070720805417</v>
      </c>
      <c r="AU994" s="22">
        <f t="shared" si="349"/>
        <v>1.310747143131201</v>
      </c>
      <c r="AV994" s="22">
        <f t="shared" si="349"/>
        <v>1.3114879685829661</v>
      </c>
      <c r="AW994" s="22">
        <f t="shared" si="349"/>
        <v>1.312318077320435</v>
      </c>
      <c r="AY994" s="79"/>
      <c r="AZ994" s="79"/>
    </row>
    <row r="995" spans="1:52" x14ac:dyDescent="0.2">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0.19368291106027899</v>
      </c>
      <c r="P995" s="22">
        <f t="shared" si="349"/>
        <v>0.19253602379697463</v>
      </c>
      <c r="Q995" s="22">
        <f t="shared" si="349"/>
        <v>0.19190012409058904</v>
      </c>
      <c r="R995" s="22">
        <f t="shared" si="349"/>
        <v>0.19132863754616405</v>
      </c>
      <c r="S995" s="22">
        <f t="shared" si="349"/>
        <v>0.18119977029128689</v>
      </c>
      <c r="T995" s="22">
        <f t="shared" si="349"/>
        <v>0.18372263045933149</v>
      </c>
      <c r="U995" s="22">
        <f t="shared" si="349"/>
        <v>0.18542569851972082</v>
      </c>
      <c r="V995" s="22">
        <f t="shared" si="349"/>
        <v>0.18690586811212617</v>
      </c>
      <c r="W995" s="22">
        <f t="shared" si="349"/>
        <v>0.18871846813186952</v>
      </c>
      <c r="X995" s="22">
        <f t="shared" si="349"/>
        <v>0.19032856308746704</v>
      </c>
      <c r="Y995" s="22">
        <f t="shared" si="349"/>
        <v>0.19181155412665482</v>
      </c>
      <c r="Z995" s="22">
        <f t="shared" si="349"/>
        <v>0.19316694252651395</v>
      </c>
      <c r="AA995" s="22">
        <f t="shared" si="349"/>
        <v>0.19434817692528195</v>
      </c>
      <c r="AB995" s="22">
        <f t="shared" si="349"/>
        <v>0.19609130445368728</v>
      </c>
      <c r="AC995" s="22">
        <f t="shared" si="349"/>
        <v>0.19775823400143536</v>
      </c>
      <c r="AD995" s="22">
        <f t="shared" si="349"/>
        <v>0.19979376823512379</v>
      </c>
      <c r="AE995" s="22">
        <f t="shared" si="349"/>
        <v>0.2023779928594536</v>
      </c>
      <c r="AF995" s="22">
        <f t="shared" si="349"/>
        <v>0.20521413875451175</v>
      </c>
      <c r="AG995" s="22">
        <f t="shared" si="349"/>
        <v>0.20863865671050874</v>
      </c>
      <c r="AH995" s="22">
        <f t="shared" si="349"/>
        <v>0.21111219620408483</v>
      </c>
      <c r="AI995" s="22">
        <f t="shared" si="349"/>
        <v>0.21359919528074695</v>
      </c>
      <c r="AJ995" s="22">
        <f t="shared" si="349"/>
        <v>0.21637994777249434</v>
      </c>
      <c r="AK995" s="22">
        <f t="shared" si="349"/>
        <v>0.21901936705190489</v>
      </c>
      <c r="AL995" s="22">
        <f t="shared" si="349"/>
        <v>0.22181322909338433</v>
      </c>
      <c r="AM995" s="22">
        <f t="shared" si="349"/>
        <v>0.22460946011468219</v>
      </c>
      <c r="AN995" s="22">
        <f t="shared" si="349"/>
        <v>0.22803030127957039</v>
      </c>
      <c r="AO995" s="22">
        <f t="shared" si="349"/>
        <v>0.23127378160095582</v>
      </c>
      <c r="AP995" s="22">
        <f t="shared" si="349"/>
        <v>0.23456525375289961</v>
      </c>
      <c r="AQ995" s="22">
        <f t="shared" si="349"/>
        <v>0.23796293573474386</v>
      </c>
      <c r="AR995" s="22">
        <f t="shared" si="349"/>
        <v>0.24148877503172564</v>
      </c>
      <c r="AS995" s="22">
        <f t="shared" si="349"/>
        <v>0.24576012405635958</v>
      </c>
      <c r="AT995" s="22">
        <f t="shared" si="349"/>
        <v>0.24853256796744563</v>
      </c>
      <c r="AU995" s="22">
        <f t="shared" si="349"/>
        <v>0.25120157665253162</v>
      </c>
      <c r="AV995" s="22">
        <f t="shared" si="349"/>
        <v>0.25392762754999298</v>
      </c>
      <c r="AW995" s="22">
        <f t="shared" si="349"/>
        <v>0.25664306300563272</v>
      </c>
      <c r="AY995" s="79"/>
      <c r="AZ995" s="79"/>
    </row>
    <row r="996" spans="1:52" x14ac:dyDescent="0.2">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2">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2">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2">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2">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2">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2">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2">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2">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2">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2">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2">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2">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2">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2">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2">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2">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2">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0.66038869625937391</v>
      </c>
      <c r="U1013" s="22">
        <f t="shared" si="353"/>
        <v>0.66020342469478921</v>
      </c>
      <c r="V1013" s="22">
        <f t="shared" si="353"/>
        <v>0.66005840725031206</v>
      </c>
      <c r="W1013" s="22">
        <f t="shared" si="353"/>
        <v>0.65992416571177226</v>
      </c>
      <c r="X1013" s="22">
        <f t="shared" si="353"/>
        <v>0.65977411232427086</v>
      </c>
      <c r="Y1013" s="22">
        <f t="shared" si="353"/>
        <v>0.65963380636148372</v>
      </c>
      <c r="Z1013" s="22">
        <f t="shared" si="353"/>
        <v>0.65950885900535394</v>
      </c>
      <c r="AA1013" s="22">
        <f t="shared" si="353"/>
        <v>0.65938996649107751</v>
      </c>
      <c r="AB1013" s="22">
        <f t="shared" si="353"/>
        <v>0.65927919026350434</v>
      </c>
      <c r="AC1013" s="22">
        <f t="shared" si="353"/>
        <v>0.65914248070564796</v>
      </c>
      <c r="AD1013" s="22">
        <f t="shared" si="353"/>
        <v>0.65900953819081531</v>
      </c>
      <c r="AE1013" s="22">
        <f t="shared" si="353"/>
        <v>0.65886770470789013</v>
      </c>
      <c r="AF1013" s="22">
        <f t="shared" si="353"/>
        <v>0.65870194021035933</v>
      </c>
      <c r="AG1013" s="22">
        <f t="shared" si="353"/>
        <v>0.65852622329414567</v>
      </c>
      <c r="AH1013" s="22">
        <f t="shared" si="353"/>
        <v>0.65832642389355089</v>
      </c>
      <c r="AI1013" s="22">
        <f t="shared" si="353"/>
        <v>0.6581693318477011</v>
      </c>
      <c r="AJ1013" s="22">
        <f t="shared" si="353"/>
        <v>0.65801985919199812</v>
      </c>
      <c r="AK1013" s="22">
        <f t="shared" si="353"/>
        <v>0.65785915117586091</v>
      </c>
      <c r="AL1013" s="22">
        <f t="shared" si="353"/>
        <v>0.65770555695996225</v>
      </c>
      <c r="AM1013" s="22">
        <f t="shared" si="353"/>
        <v>0.65754680730045456</v>
      </c>
      <c r="AN1013" s="22">
        <f t="shared" si="353"/>
        <v>0.65738921443316178</v>
      </c>
      <c r="AO1013" s="22">
        <f t="shared" si="353"/>
        <v>0.65721499435540864</v>
      </c>
      <c r="AP1013" s="22">
        <f t="shared" si="353"/>
        <v>0.65704963238558323</v>
      </c>
      <c r="AQ1013" s="22">
        <f t="shared" si="353"/>
        <v>0.65688413494168396</v>
      </c>
      <c r="AR1013" s="22">
        <f t="shared" si="353"/>
        <v>0.65671634182939487</v>
      </c>
      <c r="AS1013" s="22">
        <f t="shared" si="353"/>
        <v>0.65654557216665388</v>
      </c>
      <c r="AT1013" s="22">
        <f t="shared" si="353"/>
        <v>0.65635649622881898</v>
      </c>
      <c r="AU1013" s="22">
        <f t="shared" si="353"/>
        <v>0.65622389108641888</v>
      </c>
      <c r="AV1013" s="22">
        <f t="shared" si="353"/>
        <v>0.65609603440705455</v>
      </c>
      <c r="AW1013" s="22">
        <f t="shared" si="353"/>
        <v>0.65596714127254918</v>
      </c>
      <c r="AY1013" s="79"/>
      <c r="AZ1013" s="79"/>
    </row>
    <row r="1014" spans="1:52" x14ac:dyDescent="0.2">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8.7171307906237401E-3</v>
      </c>
      <c r="U1014" s="94">
        <f>IF('Net zero activities &amp; levers'!$C$12="Off",'Activity data'!AN48*ttokg*FracGASM*MSVolatEF*NtoN2O*kgtoGg,'Net zero Activity data'!AN48*ttokg*FracGASM*MSVolatEF*NtoN2O*kgtoGg)</f>
        <v>8.714685205971219E-3</v>
      </c>
      <c r="V1014" s="94">
        <f>IF('Net zero activities &amp; levers'!$C$12="Off",'Activity data'!AO48*ttokg*FracGASM*MSVolatEF*NtoN2O*kgtoGg,'Net zero Activity data'!AO48*ttokg*FracGASM*MSVolatEF*NtoN2O*kgtoGg)</f>
        <v>8.7127709757041216E-3</v>
      </c>
      <c r="W1014" s="94">
        <f>IF('Net zero activities &amp; levers'!$C$12="Off",'Activity data'!AP48*ttokg*FracGASM*MSVolatEF*NtoN2O*kgtoGg,'Net zero Activity data'!AP48*ttokg*FracGASM*MSVolatEF*NtoN2O*kgtoGg)</f>
        <v>8.7109989873953957E-3</v>
      </c>
      <c r="X1014" s="94">
        <f>IF('Net zero activities &amp; levers'!$C$12="Off",'Activity data'!AQ48*ttokg*FracGASM*MSVolatEF*NtoN2O*kgtoGg,'Net zero Activity data'!AQ48*ttokg*FracGASM*MSVolatEF*NtoN2O*kgtoGg)</f>
        <v>8.7090182826803763E-3</v>
      </c>
      <c r="Y1014" s="94">
        <f>IF('Net zero activities &amp; levers'!$C$12="Off",'Activity data'!AR48*ttokg*FracGASM*MSVolatEF*NtoN2O*kgtoGg,'Net zero Activity data'!AR48*ttokg*FracGASM*MSVolatEF*NtoN2O*kgtoGg)</f>
        <v>8.7071662439715883E-3</v>
      </c>
      <c r="Z1014" s="94">
        <f>IF('Net zero activities &amp; levers'!$C$12="Off",'Activity data'!AS48*ttokg*FracGASM*MSVolatEF*NtoN2O*kgtoGg,'Net zero Activity data'!AS48*ttokg*FracGASM*MSVolatEF*NtoN2O*kgtoGg)</f>
        <v>8.7055169388706739E-3</v>
      </c>
      <c r="AA1014" s="94">
        <f>IF('Net zero activities &amp; levers'!$C$12="Off",'Activity data'!AT48*ttokg*FracGASM*MSVolatEF*NtoN2O*kgtoGg,'Net zero Activity data'!AT48*ttokg*FracGASM*MSVolatEF*NtoN2O*kgtoGg)</f>
        <v>8.7039475576822217E-3</v>
      </c>
      <c r="AB1014" s="94">
        <f>IF('Net zero activities &amp; levers'!$C$12="Off",'Activity data'!AU48*ttokg*FracGASM*MSVolatEF*NtoN2O*kgtoGg,'Net zero Activity data'!AU48*ttokg*FracGASM*MSVolatEF*NtoN2O*kgtoGg)</f>
        <v>8.7024853114782592E-3</v>
      </c>
      <c r="AC1014" s="94">
        <f>IF('Net zero activities &amp; levers'!$C$12="Off",'Activity data'!AV48*ttokg*FracGASM*MSVolatEF*NtoN2O*kgtoGg,'Net zero Activity data'!AV48*ttokg*FracGASM*MSVolatEF*NtoN2O*kgtoGg)</f>
        <v>8.7006807453145554E-3</v>
      </c>
      <c r="AD1014" s="94">
        <f>IF('Net zero activities &amp; levers'!$C$12="Off",'Activity data'!AW48*ttokg*FracGASM*MSVolatEF*NtoN2O*kgtoGg,'Net zero Activity data'!AW48*ttokg*FracGASM*MSVolatEF*NtoN2O*kgtoGg)</f>
        <v>8.6989259041187622E-3</v>
      </c>
      <c r="AE1014" s="94">
        <f>IF('Net zero activities &amp; levers'!$C$12="Off",'Activity data'!AX48*ttokg*FracGASM*MSVolatEF*NtoN2O*kgtoGg,'Net zero Activity data'!AX48*ttokg*FracGASM*MSVolatEF*NtoN2O*kgtoGg)</f>
        <v>8.6970537021441498E-3</v>
      </c>
      <c r="AF1014" s="94">
        <f>IF('Net zero activities &amp; levers'!$C$12="Off",'Activity data'!AY48*ttokg*FracGASM*MSVolatEF*NtoN2O*kgtoGg,'Net zero Activity data'!AY48*ttokg*FracGASM*MSVolatEF*NtoN2O*kgtoGg)</f>
        <v>8.6948656107767464E-3</v>
      </c>
      <c r="AG1014" s="94">
        <f>IF('Net zero activities &amp; levers'!$C$12="Off",'Activity data'!AZ48*ttokg*FracGASM*MSVolatEF*NtoN2O*kgtoGg,'Net zero Activity data'!AZ48*ttokg*FracGASM*MSVolatEF*NtoN2O*kgtoGg)</f>
        <v>8.6925461474827246E-3</v>
      </c>
      <c r="AH1014" s="94">
        <f>IF('Net zero activities &amp; levers'!$C$12="Off",'Activity data'!BA48*ttokg*FracGASM*MSVolatEF*NtoN2O*kgtoGg,'Net zero Activity data'!BA48*ttokg*FracGASM*MSVolatEF*NtoN2O*kgtoGg)</f>
        <v>8.6899087953948712E-3</v>
      </c>
      <c r="AI1014" s="94">
        <f>IF('Net zero activities &amp; levers'!$C$12="Off",'Activity data'!BB48*ttokg*FracGASM*MSVolatEF*NtoN2O*kgtoGg,'Net zero Activity data'!BB48*ttokg*FracGASM*MSVolatEF*NtoN2O*kgtoGg)</f>
        <v>8.6878351803896525E-3</v>
      </c>
      <c r="AJ1014" s="94">
        <f>IF('Net zero activities &amp; levers'!$C$12="Off",'Activity data'!BC48*ttokg*FracGASM*MSVolatEF*NtoN2O*kgtoGg,'Net zero Activity data'!BC48*ttokg*FracGASM*MSVolatEF*NtoN2O*kgtoGg)</f>
        <v>8.685862141334379E-3</v>
      </c>
      <c r="AK1014" s="94">
        <f>IF('Net zero activities &amp; levers'!$C$12="Off",'Activity data'!BD48*ttokg*FracGASM*MSVolatEF*NtoN2O*kgtoGg,'Net zero Activity data'!BD48*ttokg*FracGASM*MSVolatEF*NtoN2O*kgtoGg)</f>
        <v>8.6837407955213629E-3</v>
      </c>
      <c r="AL1014" s="94">
        <f>IF('Net zero activities &amp; levers'!$C$12="Off",'Activity data'!BE48*ttokg*FracGASM*MSVolatEF*NtoN2O*kgtoGg,'Net zero Activity data'!BE48*ttokg*FracGASM*MSVolatEF*NtoN2O*kgtoGg)</f>
        <v>8.681713351871503E-3</v>
      </c>
      <c r="AM1014" s="94">
        <f>IF('Net zero activities &amp; levers'!$C$12="Off",'Activity data'!BF48*ttokg*FracGASM*MSVolatEF*NtoN2O*kgtoGg,'Net zero Activity data'!BF48*ttokg*FracGASM*MSVolatEF*NtoN2O*kgtoGg)</f>
        <v>8.679617856366003E-3</v>
      </c>
      <c r="AN1014" s="94">
        <f>IF('Net zero activities &amp; levers'!$C$12="Off",'Activity data'!BG48*ttokg*FracGASM*MSVolatEF*NtoN2O*kgtoGg,'Net zero Activity data'!BG48*ttokg*FracGASM*MSVolatEF*NtoN2O*kgtoGg)</f>
        <v>8.677537630517736E-3</v>
      </c>
      <c r="AO1014" s="94">
        <f>IF('Net zero activities &amp; levers'!$C$12="Off",'Activity data'!BH48*ttokg*FracGASM*MSVolatEF*NtoN2O*kgtoGg,'Net zero Activity data'!BH48*ttokg*FracGASM*MSVolatEF*NtoN2O*kgtoGg)</f>
        <v>8.6752379254913976E-3</v>
      </c>
      <c r="AP1014" s="94">
        <f>IF('Net zero activities &amp; levers'!$C$12="Off",'Activity data'!BI48*ttokg*FracGASM*MSVolatEF*NtoN2O*kgtoGg,'Net zero Activity data'!BI48*ttokg*FracGASM*MSVolatEF*NtoN2O*kgtoGg)</f>
        <v>8.6730551474897017E-3</v>
      </c>
      <c r="AQ1014" s="94">
        <f>IF('Net zero activities &amp; levers'!$C$12="Off",'Activity data'!BJ48*ttokg*FracGASM*MSVolatEF*NtoN2O*kgtoGg,'Net zero Activity data'!BJ48*ttokg*FracGASM*MSVolatEF*NtoN2O*kgtoGg)</f>
        <v>8.6708705812302295E-3</v>
      </c>
      <c r="AR1014" s="94">
        <f>IF('Net zero activities &amp; levers'!$C$12="Off",'Activity data'!BK48*ttokg*FracGASM*MSVolatEF*NtoN2O*kgtoGg,'Net zero Activity data'!BK48*ttokg*FracGASM*MSVolatEF*NtoN2O*kgtoGg)</f>
        <v>8.6686557121480167E-3</v>
      </c>
      <c r="AS1014" s="94">
        <f>IF('Net zero activities &amp; levers'!$C$12="Off",'Activity data'!BL48*ttokg*FracGASM*MSVolatEF*NtoN2O*kgtoGg,'Net zero Activity data'!BL48*ttokg*FracGASM*MSVolatEF*NtoN2O*kgtoGg)</f>
        <v>8.6664015525998329E-3</v>
      </c>
      <c r="AT1014" s="94">
        <f>IF('Net zero activities &amp; levers'!$C$12="Off",'Activity data'!BM48*ttokg*FracGASM*MSVolatEF*NtoN2O*kgtoGg,'Net zero Activity data'!BM48*ttokg*FracGASM*MSVolatEF*NtoN2O*kgtoGg)</f>
        <v>8.6639057502204114E-3</v>
      </c>
      <c r="AU1014" s="94">
        <f>IF('Net zero activities &amp; levers'!$C$12="Off",'Activity data'!BN48*ttokg*FracGASM*MSVolatEF*NtoN2O*kgtoGg,'Net zero Activity data'!BN48*ttokg*FracGASM*MSVolatEF*NtoN2O*kgtoGg)</f>
        <v>8.6621553623407298E-3</v>
      </c>
      <c r="AV1014" s="94">
        <f>IF('Net zero activities &amp; levers'!$C$12="Off",'Activity data'!BO48*ttokg*FracGASM*MSVolatEF*NtoN2O*kgtoGg,'Net zero Activity data'!BO48*ttokg*FracGASM*MSVolatEF*NtoN2O*kgtoGg)</f>
        <v>8.66046765417312E-3</v>
      </c>
      <c r="AW1014" s="94">
        <f>IF('Net zero activities &amp; levers'!$C$12="Off",'Activity data'!BP48*ttokg*FracGASM*MSVolatEF*NtoN2O*kgtoGg,'Net zero Activity data'!BP48*ttokg*FracGASM*MSVolatEF*NtoN2O*kgtoGg)</f>
        <v>8.6587662647976526E-3</v>
      </c>
      <c r="AY1014" s="79"/>
      <c r="AZ1014" s="79"/>
    </row>
    <row r="1015" spans="1:52" x14ac:dyDescent="0.2">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1.2019035107607596</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1.1958435838326282</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1.0581466820913914</v>
      </c>
      <c r="T1015" s="94">
        <f>IF('Net zero activities &amp; levers'!$C$12="Off",SUM('Activity data'!AM50:AM65)*FracGASM*MSVolatEF*NtoN2O*kgtoGg,SUM('Net zero Activity data'!AM50:AM65)*FracGASM*MSVolatEF*NtoN2O*kgtoGg)</f>
        <v>1.0811007370653605</v>
      </c>
      <c r="U1015" s="94">
        <f>IF('Net zero activities &amp; levers'!$C$12="Off",SUM('Activity data'!AN50:AN65)*FracGASM*MSVolatEF*NtoN2O*kgtoGg,SUM('Net zero Activity data'!AN50:AN65)*FracGASM*MSVolatEF*NtoN2O*kgtoGg)</f>
        <v>1.0962373736212656</v>
      </c>
      <c r="V1015" s="94">
        <f>IF('Net zero activities &amp; levers'!$C$12="Off",SUM('Activity data'!AO50:AO65)*FracGASM*MSVolatEF*NtoN2O*kgtoGg,SUM('Net zero Activity data'!AO50:AO65)*FracGASM*MSVolatEF*NtoN2O*kgtoGg)</f>
        <v>1.1094295908986627</v>
      </c>
      <c r="W1015" s="94">
        <f>IF('Net zero activities &amp; levers'!$C$12="Off",SUM('Activity data'!AP50:AP65)*FracGASM*MSVolatEF*NtoN2O*kgtoGg,SUM('Net zero Activity data'!AP50:AP65)*FracGASM*MSVolatEF*NtoN2O*kgtoGg)</f>
        <v>1.1260819451253103</v>
      </c>
      <c r="X1015" s="94">
        <f>IF('Net zero activities &amp; levers'!$C$12="Off",SUM('Activity data'!AQ50:AQ65)*FracGASM*MSVolatEF*NtoN2O*kgtoGg,SUM('Net zero Activity data'!AQ50:AQ65)*FracGASM*MSVolatEF*NtoN2O*kgtoGg)</f>
        <v>1.1409777774824073</v>
      </c>
      <c r="Y1015" s="94">
        <f>IF('Net zero activities &amp; levers'!$C$12="Off",SUM('Activity data'!AR50:AR65)*FracGASM*MSVolatEF*NtoN2O*kgtoGg,SUM('Net zero Activity data'!AR50:AR65)*FracGASM*MSVolatEF*NtoN2O*kgtoGg)</f>
        <v>1.1529726027889684</v>
      </c>
      <c r="Z1015" s="94">
        <f>IF('Net zero activities &amp; levers'!$C$12="Off",SUM('Activity data'!AS50:AS65)*FracGASM*MSVolatEF*NtoN2O*kgtoGg,SUM('Net zero Activity data'!AS50:AS65)*FracGASM*MSVolatEF*NtoN2O*kgtoGg)</f>
        <v>1.1639042106537316</v>
      </c>
      <c r="AA1015" s="94">
        <f>IF('Net zero activities &amp; levers'!$C$12="Off",SUM('Activity data'!AT50:AT65)*FracGASM*MSVolatEF*NtoN2O*kgtoGg,SUM('Net zero Activity data'!AT50:AT65)*FracGASM*MSVolatEF*NtoN2O*kgtoGg)</f>
        <v>1.1733291691179792</v>
      </c>
      <c r="AB1015" s="94">
        <f>IF('Net zero activities &amp; levers'!$C$12="Off",SUM('Activity data'!AU50:AU65)*FracGASM*MSVolatEF*NtoN2O*kgtoGg,SUM('Net zero Activity data'!AU50:AU65)*FracGASM*MSVolatEF*NtoN2O*kgtoGg)</f>
        <v>1.1883113875074136</v>
      </c>
      <c r="AC1015" s="94">
        <f>IF('Net zero activities &amp; levers'!$C$12="Off",SUM('Activity data'!AV50:AV65)*FracGASM*MSVolatEF*NtoN2O*kgtoGg,SUM('Net zero Activity data'!AV50:AV65)*FracGASM*MSVolatEF*NtoN2O*kgtoGg)</f>
        <v>1.2027019182394856</v>
      </c>
      <c r="AD1015" s="94">
        <f>IF('Net zero activities &amp; levers'!$C$12="Off",SUM('Activity data'!AW50:AW65)*FracGASM*MSVolatEF*NtoN2O*kgtoGg,SUM('Net zero Activity data'!AW50:AW65)*FracGASM*MSVolatEF*NtoN2O*kgtoGg)</f>
        <v>1.2149899149490335</v>
      </c>
      <c r="AE1015" s="94">
        <f>IF('Net zero activities &amp; levers'!$C$12="Off",SUM('Activity data'!AX50:AX65)*FracGASM*MSVolatEF*NtoN2O*kgtoGg,SUM('Net zero Activity data'!AX50:AX65)*FracGASM*MSVolatEF*NtoN2O*kgtoGg)</f>
        <v>1.2323877476985694</v>
      </c>
      <c r="AF1015" s="94">
        <f>IF('Net zero activities &amp; levers'!$C$12="Off",SUM('Activity data'!AY50:AY65)*FracGASM*MSVolatEF*NtoN2O*kgtoGg,SUM('Net zero Activity data'!AY50:AY65)*FracGASM*MSVolatEF*NtoN2O*kgtoGg)</f>
        <v>1.2520054927946573</v>
      </c>
      <c r="AG1015" s="94">
        <f>IF('Net zero activities &amp; levers'!$C$12="Off",SUM('Activity data'!AZ50:AZ65)*FracGASM*MSVolatEF*NtoN2O*kgtoGg,SUM('Net zero Activity data'!AZ50:AZ65)*FracGASM*MSVolatEF*NtoN2O*kgtoGg)</f>
        <v>1.2769207481959246</v>
      </c>
      <c r="AH1015" s="94">
        <f>IF('Net zero activities &amp; levers'!$C$12="Off",SUM('Activity data'!BA50:BA65)*FracGASM*MSVolatEF*NtoN2O*kgtoGg,SUM('Net zero Activity data'!BA50:BA65)*FracGASM*MSVolatEF*NtoN2O*kgtoGg)</f>
        <v>1.2928179151571899</v>
      </c>
      <c r="AI1015" s="94">
        <f>IF('Net zero activities &amp; levers'!$C$12="Off",SUM('Activity data'!BB50:BB65)*FracGASM*MSVolatEF*NtoN2O*kgtoGg,SUM('Net zero Activity data'!BB50:BB65)*FracGASM*MSVolatEF*NtoN2O*kgtoGg)</f>
        <v>1.3071721599558817</v>
      </c>
      <c r="AJ1015" s="94">
        <f>IF('Net zero activities &amp; levers'!$C$12="Off",SUM('Activity data'!BC50:BC65)*FracGASM*MSVolatEF*NtoN2O*kgtoGg,SUM('Net zero Activity data'!BC50:BC65)*FracGASM*MSVolatEF*NtoN2O*kgtoGg)</f>
        <v>1.3240396401072183</v>
      </c>
      <c r="AK1015" s="94">
        <f>IF('Net zero activities &amp; levers'!$C$12="Off",SUM('Activity data'!BD50:BD65)*FracGASM*MSVolatEF*NtoN2O*kgtoGg,SUM('Net zero Activity data'!BD50:BD65)*FracGASM*MSVolatEF*NtoN2O*kgtoGg)</f>
        <v>1.3394377409062461</v>
      </c>
      <c r="AL1015" s="94">
        <f>IF('Net zero activities &amp; levers'!$C$12="Off",SUM('Activity data'!BE50:BE65)*FracGASM*MSVolatEF*NtoN2O*kgtoGg,SUM('Net zero Activity data'!BE50:BE65)*FracGASM*MSVolatEF*NtoN2O*kgtoGg)</f>
        <v>1.3560429960988876</v>
      </c>
      <c r="AM1015" s="94">
        <f>IF('Net zero activities &amp; levers'!$C$12="Off",SUM('Activity data'!BF50:BF65)*FracGASM*MSVolatEF*NtoN2O*kgtoGg,SUM('Net zero Activity data'!BF50:BF65)*FracGASM*MSVolatEF*NtoN2O*kgtoGg)</f>
        <v>1.3724754415260532</v>
      </c>
      <c r="AN1015" s="94">
        <f>IF('Net zero activities &amp; levers'!$C$12="Off",SUM('Activity data'!BG50:BG65)*FracGASM*MSVolatEF*NtoN2O*kgtoGg,SUM('Net zero Activity data'!BG50:BG65)*FracGASM*MSVolatEF*NtoN2O*kgtoGg)</f>
        <v>1.3952859972976908</v>
      </c>
      <c r="AO1015" s="94">
        <f>IF('Net zero activities &amp; levers'!$C$12="Off",SUM('Activity data'!BH50:BH65)*FracGASM*MSVolatEF*NtoN2O*kgtoGg,SUM('Net zero Activity data'!BH50:BH65)*FracGASM*MSVolatEF*NtoN2O*kgtoGg)</f>
        <v>1.4163366526625445</v>
      </c>
      <c r="AP1015" s="94">
        <f>IF('Net zero activities &amp; levers'!$C$12="Off",SUM('Activity data'!BI50:BI65)*FracGASM*MSVolatEF*NtoN2O*kgtoGg,SUM('Net zero Activity data'!BI50:BI65)*FracGASM*MSVolatEF*NtoN2O*kgtoGg)</f>
        <v>1.4376236961609334</v>
      </c>
      <c r="AQ1015" s="94">
        <f>IF('Net zero activities &amp; levers'!$C$12="Off",SUM('Activity data'!BJ50:BJ65)*FracGASM*MSVolatEF*NtoN2O*kgtoGg,SUM('Net zero Activity data'!BJ50:BJ65)*FracGASM*MSVolatEF*NtoN2O*kgtoGg)</f>
        <v>1.4596469584782656</v>
      </c>
      <c r="AR1015" s="94">
        <f>IF('Net zero activities &amp; levers'!$C$12="Off",SUM('Activity data'!BK50:BK65)*FracGASM*MSVolatEF*NtoN2O*kgtoGg,SUM('Net zero Activity data'!BK50:BK65)*FracGASM*MSVolatEF*NtoN2O*kgtoGg)</f>
        <v>1.4825821629092799</v>
      </c>
      <c r="AS1015" s="94">
        <f>IF('Net zero activities &amp; levers'!$C$12="Off",SUM('Activity data'!BL50:BL65)*FracGASM*MSVolatEF*NtoN2O*kgtoGg,SUM('Net zero Activity data'!BL50:BL65)*FracGASM*MSVolatEF*NtoN2O*kgtoGg)</f>
        <v>1.5100637913409878</v>
      </c>
      <c r="AT1015" s="94">
        <f>IF('Net zero activities &amp; levers'!$C$12="Off",SUM('Activity data'!BM50:BM65)*FracGASM*MSVolatEF*NtoN2O*kgtoGg,SUM('Net zero Activity data'!BM50:BM65)*FracGASM*MSVolatEF*NtoN2O*kgtoGg)</f>
        <v>1.5244988187348365</v>
      </c>
      <c r="AU1015" s="94">
        <f>IF('Net zero activities &amp; levers'!$C$12="Off",SUM('Activity data'!BN50:BN65)*FracGASM*MSVolatEF*NtoN2O*kgtoGg,SUM('Net zero Activity data'!BN50:BN65)*FracGASM*MSVolatEF*NtoN2O*kgtoGg)</f>
        <v>1.5379134396371121</v>
      </c>
      <c r="AV1015" s="94">
        <f>IF('Net zero activities &amp; levers'!$C$12="Off",SUM('Activity data'!BO50:BO65)*FracGASM*MSVolatEF*NtoN2O*kgtoGg,SUM('Net zero Activity data'!BO50:BO65)*FracGASM*MSVolatEF*NtoN2O*kgtoGg)</f>
        <v>1.5516700859590873</v>
      </c>
      <c r="AW1015" s="94">
        <f>IF('Net zero activities &amp; levers'!$C$12="Off",SUM('Activity data'!BP50:BP65)*FracGASM*MSVolatEF*NtoN2O*kgtoGg,SUM('Net zero Activity data'!BP50:BP65)*FracGASM*MSVolatEF*NtoN2O*kgtoGg)</f>
        <v>1.5651983516984527</v>
      </c>
      <c r="AY1015" s="79"/>
      <c r="AZ1015" s="79"/>
    </row>
    <row r="1016" spans="1:52" x14ac:dyDescent="0.2">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4.3473821211305586</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3.918985241839104</v>
      </c>
      <c r="T1016" s="94">
        <f>IF('Net zero activities &amp; levers'!$C$12="Off",SUM('Activity data'!AM66:AM81)*FracGASM*MSVolatEF*NtoN2O*kgtoGg,SUM('Net zero Activity data'!AM66:AM81)*FracGASM*MSVolatEF*NtoN2O*kgtoGg)</f>
        <v>3.962647023266995</v>
      </c>
      <c r="U1016" s="94">
        <f>IF('Net zero activities &amp; levers'!$C$12="Off",SUM('Activity data'!AN66:AN81)*FracGASM*MSVolatEF*NtoN2O*kgtoGg,SUM('Net zero Activity data'!AN66:AN81)*FracGASM*MSVolatEF*NtoN2O*kgtoGg)</f>
        <v>3.988397466462279</v>
      </c>
      <c r="V1016" s="94">
        <f>IF('Net zero activities &amp; levers'!$C$12="Off",SUM('Activity data'!AO66:AO81)*FracGASM*MSVolatEF*NtoN2O*kgtoGg,SUM('Net zero Activity data'!AO66:AO81)*FracGASM*MSVolatEF*NtoN2O*kgtoGg)</f>
        <v>4.0097420759989726</v>
      </c>
      <c r="W1016" s="94">
        <f>IF('Net zero activities &amp; levers'!$C$12="Off",SUM('Activity data'!AP66:AP81)*FracGASM*MSVolatEF*NtoN2O*kgtoGg,SUM('Net zero Activity data'!AP66:AP81)*FracGASM*MSVolatEF*NtoN2O*kgtoGg)</f>
        <v>4.0388232265836717</v>
      </c>
      <c r="X1016" s="94">
        <f>IF('Net zero activities &amp; levers'!$C$12="Off",SUM('Activity data'!AQ66:AQ81)*FracGASM*MSVolatEF*NtoN2O*kgtoGg,SUM('Net zero Activity data'!AQ66:AQ81)*FracGASM*MSVolatEF*NtoN2O*kgtoGg)</f>
        <v>4.063881936096621</v>
      </c>
      <c r="Y1016" s="94">
        <f>IF('Net zero activities &amp; levers'!$C$12="Off",SUM('Activity data'!AR66:AR81)*FracGASM*MSVolatEF*NtoN2O*kgtoGg,SUM('Net zero Activity data'!AR66:AR81)*FracGASM*MSVolatEF*NtoN2O*kgtoGg)</f>
        <v>4.0803176241982966</v>
      </c>
      <c r="Z1016" s="94">
        <f>IF('Net zero activities &amp; levers'!$C$12="Off",SUM('Activity data'!AS66:AS81)*FracGASM*MSVolatEF*NtoN2O*kgtoGg,SUM('Net zero Activity data'!AS66:AS81)*FracGASM*MSVolatEF*NtoN2O*kgtoGg)</f>
        <v>4.0943719762440898</v>
      </c>
      <c r="AA1016" s="94">
        <f>IF('Net zero activities &amp; levers'!$C$12="Off",SUM('Activity data'!AT66:AT81)*FracGASM*MSVolatEF*NtoN2O*kgtoGg,SUM('Net zero Activity data'!AT66:AT81)*FracGASM*MSVolatEF*NtoN2O*kgtoGg)</f>
        <v>4.1051027315234014</v>
      </c>
      <c r="AB1016" s="94">
        <f>IF('Net zero activities &amp; levers'!$C$12="Off",SUM('Activity data'!AU66:AU81)*FracGASM*MSVolatEF*NtoN2O*kgtoGg,SUM('Net zero Activity data'!AU66:AU81)*FracGASM*MSVolatEF*NtoN2O*kgtoGg)</f>
        <v>4.1278786035109292</v>
      </c>
      <c r="AC1016" s="94">
        <f>IF('Net zero activities &amp; levers'!$C$12="Off",SUM('Activity data'!AV66:AV81)*FracGASM*MSVolatEF*NtoN2O*kgtoGg,SUM('Net zero Activity data'!AV66:AV81)*FracGASM*MSVolatEF*NtoN2O*kgtoGg)</f>
        <v>4.149204796729399</v>
      </c>
      <c r="AD1016" s="94">
        <f>IF('Net zero activities &amp; levers'!$C$12="Off",SUM('Activity data'!AW66:AW81)*FracGASM*MSVolatEF*NtoN2O*kgtoGg,SUM('Net zero Activity data'!AW66:AW81)*FracGASM*MSVolatEF*NtoN2O*kgtoGg)</f>
        <v>4.1548667718492807</v>
      </c>
      <c r="AE1016" s="94">
        <f>IF('Net zero activities &amp; levers'!$C$12="Off",SUM('Activity data'!AX66:AX81)*FracGASM*MSVolatEF*NtoN2O*kgtoGg,SUM('Net zero Activity data'!AX66:AX81)*FracGASM*MSVolatEF*NtoN2O*kgtoGg)</f>
        <v>4.1707310137254909</v>
      </c>
      <c r="AF1016" s="94">
        <f>IF('Net zero activities &amp; levers'!$C$12="Off",SUM('Activity data'!AY66:AY81)*FracGASM*MSVolatEF*NtoN2O*kgtoGg,SUM('Net zero Activity data'!AY66:AY81)*FracGASM*MSVolatEF*NtoN2O*kgtoGg)</f>
        <v>4.1903910179403239</v>
      </c>
      <c r="AG1016" s="94">
        <f>IF('Net zero activities &amp; levers'!$C$12="Off",SUM('Activity data'!AZ66:AZ81)*FracGASM*MSVolatEF*NtoN2O*kgtoGg,SUM('Net zero Activity data'!AZ66:AZ81)*FracGASM*MSVolatEF*NtoN2O*kgtoGg)</f>
        <v>4.2200248954303605</v>
      </c>
      <c r="AH1016" s="94">
        <f>IF('Net zero activities &amp; levers'!$C$12="Off",SUM('Activity data'!BA66:BA81)*FracGASM*MSVolatEF*NtoN2O*kgtoGg,SUM('Net zero Activity data'!BA66:BA81)*FracGASM*MSVolatEF*NtoN2O*kgtoGg)</f>
        <v>4.2299973767021726</v>
      </c>
      <c r="AI1016" s="94">
        <f>IF('Net zero activities &amp; levers'!$C$12="Off",SUM('Activity data'!BB66:BB81)*FracGASM*MSVolatEF*NtoN2O*kgtoGg,SUM('Net zero Activity data'!BB66:BB81)*FracGASM*MSVolatEF*NtoN2O*kgtoGg)</f>
        <v>4.2344058167490939</v>
      </c>
      <c r="AJ1016" s="94">
        <f>IF('Net zero activities &amp; levers'!$C$12="Off",SUM('Activity data'!BC66:BC81)*FracGASM*MSVolatEF*NtoN2O*kgtoGg,SUM('Net zero Activity data'!BC66:BC81)*FracGASM*MSVolatEF*NtoN2O*kgtoGg)</f>
        <v>4.2430165616646569</v>
      </c>
      <c r="AK1016" s="94">
        <f>IF('Net zero activities &amp; levers'!$C$12="Off",SUM('Activity data'!BD66:BD81)*FracGASM*MSVolatEF*NtoN2O*kgtoGg,SUM('Net zero Activity data'!BD66:BD81)*FracGASM*MSVolatEF*NtoN2O*kgtoGg)</f>
        <v>4.2477733537700137</v>
      </c>
      <c r="AL1016" s="94">
        <f>IF('Net zero activities &amp; levers'!$C$12="Off",SUM('Activity data'!BE66:BE81)*FracGASM*MSVolatEF*NtoN2O*kgtoGg,SUM('Net zero Activity data'!BE66:BE81)*FracGASM*MSVolatEF*NtoN2O*kgtoGg)</f>
        <v>4.2539691533655395</v>
      </c>
      <c r="AM1016" s="94">
        <f>IF('Net zero activities &amp; levers'!$C$12="Off",SUM('Activity data'!BF66:BF81)*FracGASM*MSVolatEF*NtoN2O*kgtoGg,SUM('Net zero Activity data'!BF66:BF81)*FracGASM*MSVolatEF*NtoN2O*kgtoGg)</f>
        <v>4.2588371425380025</v>
      </c>
      <c r="AN1016" s="94">
        <f>IF('Net zero activities &amp; levers'!$C$12="Off",SUM('Activity data'!BG66:BG81)*FracGASM*MSVolatEF*NtoN2O*kgtoGg,SUM('Net zero Activity data'!BG66:BG81)*FracGASM*MSVolatEF*NtoN2O*kgtoGg)</f>
        <v>4.2797220284315198</v>
      </c>
      <c r="AO1016" s="94">
        <f>IF('Net zero activities &amp; levers'!$C$12="Off",SUM('Activity data'!BH66:BH81)*FracGASM*MSVolatEF*NtoN2O*kgtoGg,SUM('Net zero Activity data'!BH66:BH81)*FracGASM*MSVolatEF*NtoN2O*kgtoGg)</f>
        <v>4.2963498578029604</v>
      </c>
      <c r="AP1016" s="94">
        <f>IF('Net zero activities &amp; levers'!$C$12="Off",SUM('Activity data'!BI66:BI81)*FracGASM*MSVolatEF*NtoN2O*kgtoGg,SUM('Net zero Activity data'!BI66:BI81)*FracGASM*MSVolatEF*NtoN2O*kgtoGg)</f>
        <v>4.3125285701488281</v>
      </c>
      <c r="AQ1016" s="94">
        <f>IF('Net zero activities &amp; levers'!$C$12="Off",SUM('Activity data'!BJ66:BJ81)*FracGASM*MSVolatEF*NtoN2O*kgtoGg,SUM('Net zero Activity data'!BJ66:BJ81)*FracGASM*MSVolatEF*NtoN2O*kgtoGg)</f>
        <v>4.3291488784909324</v>
      </c>
      <c r="AR1016" s="94">
        <f>IF('Net zero activities &amp; levers'!$C$12="Off",SUM('Activity data'!BK66:BK81)*FracGASM*MSVolatEF*NtoN2O*kgtoGg,SUM('Net zero Activity data'!BK66:BK81)*FracGASM*MSVolatEF*NtoN2O*kgtoGg)</f>
        <v>4.3464700481298193</v>
      </c>
      <c r="AS1016" s="94">
        <f>IF('Net zero activities &amp; levers'!$C$12="Off",SUM('Activity data'!BL66:BL81)*FracGASM*MSVolatEF*NtoN2O*kgtoGg,SUM('Net zero Activity data'!BL66:BL81)*FracGASM*MSVolatEF*NtoN2O*kgtoGg)</f>
        <v>4.3694873280939213</v>
      </c>
      <c r="AT1016" s="94">
        <f>IF('Net zero activities &amp; levers'!$C$12="Off",SUM('Activity data'!BM66:BM81)*FracGASM*MSVolatEF*NtoN2O*kgtoGg,SUM('Net zero Activity data'!BM66:BM81)*FracGASM*MSVolatEF*NtoN2O*kgtoGg)</f>
        <v>4.3680189479011426</v>
      </c>
      <c r="AU1016" s="94">
        <f>IF('Net zero activities &amp; levers'!$C$12="Off",SUM('Activity data'!BN66:BN81)*FracGASM*MSVolatEF*NtoN2O*kgtoGg,SUM('Net zero Activity data'!BN66:BN81)*FracGASM*MSVolatEF*NtoN2O*kgtoGg)</f>
        <v>4.3640461344633534</v>
      </c>
      <c r="AV1016" s="94">
        <f>IF('Net zero activities &amp; levers'!$C$12="Off",SUM('Activity data'!BO66:BO81)*FracGASM*MSVolatEF*NtoN2O*kgtoGg,SUM('Net zero Activity data'!BO66:BO81)*FracGASM*MSVolatEF*NtoN2O*kgtoGg)</f>
        <v>4.3599917873846739</v>
      </c>
      <c r="AW1016" s="94">
        <f>IF('Net zero activities &amp; levers'!$C$12="Off",SUM('Activity data'!BP66:BP81)*FracGASM*MSVolatEF*NtoN2O*kgtoGg,SUM('Net zero Activity data'!BP66:BP81)*FracGASM*MSVolatEF*NtoN2O*kgtoGg)</f>
        <v>4.3548399908669477</v>
      </c>
      <c r="AY1016" s="79"/>
      <c r="AZ1016" s="79"/>
    </row>
    <row r="1017" spans="1:52" x14ac:dyDescent="0.2">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2.27834100209484E-4</v>
      </c>
      <c r="U1017" s="22">
        <f t="shared" si="355"/>
        <v>2.2777018151970223E-4</v>
      </c>
      <c r="V1017" s="22">
        <f t="shared" si="355"/>
        <v>2.2772015050135763E-4</v>
      </c>
      <c r="W1017" s="22">
        <f t="shared" si="355"/>
        <v>2.276738371705614E-4</v>
      </c>
      <c r="X1017" s="22">
        <f t="shared" si="355"/>
        <v>2.2762206875187344E-4</v>
      </c>
      <c r="Y1017" s="22">
        <f t="shared" si="355"/>
        <v>2.2757366319471181E-4</v>
      </c>
      <c r="Z1017" s="22">
        <f t="shared" si="355"/>
        <v>2.2753055635684708E-4</v>
      </c>
      <c r="AA1017" s="22">
        <f t="shared" si="355"/>
        <v>2.2748953843942165E-4</v>
      </c>
      <c r="AB1017" s="22">
        <f t="shared" si="355"/>
        <v>2.2745132064090905E-4</v>
      </c>
      <c r="AC1017" s="22">
        <f t="shared" si="355"/>
        <v>2.2740415584344853E-4</v>
      </c>
      <c r="AD1017" s="22">
        <f t="shared" si="355"/>
        <v>2.2735829067583124E-4</v>
      </c>
      <c r="AE1017" s="22">
        <f t="shared" si="355"/>
        <v>2.2730935812422204E-4</v>
      </c>
      <c r="AF1017" s="22">
        <f t="shared" si="355"/>
        <v>2.2725216937257396E-4</v>
      </c>
      <c r="AG1017" s="22">
        <f t="shared" si="355"/>
        <v>2.2719154703648017E-4</v>
      </c>
      <c r="AH1017" s="22">
        <f t="shared" si="355"/>
        <v>2.2712261624327501E-4</v>
      </c>
      <c r="AI1017" s="22">
        <f t="shared" si="355"/>
        <v>2.2706841948745679E-4</v>
      </c>
      <c r="AJ1017" s="22">
        <f t="shared" si="355"/>
        <v>2.2701685142123931E-4</v>
      </c>
      <c r="AK1017" s="22">
        <f t="shared" si="355"/>
        <v>2.26961407155672E-4</v>
      </c>
      <c r="AL1017" s="22">
        <f t="shared" si="355"/>
        <v>2.2690841715118691E-4</v>
      </c>
      <c r="AM1017" s="22">
        <f t="shared" si="355"/>
        <v>2.268536485186568E-4</v>
      </c>
      <c r="AN1017" s="22">
        <f t="shared" si="355"/>
        <v>2.267992789794407E-4</v>
      </c>
      <c r="AO1017" s="22">
        <f t="shared" si="355"/>
        <v>2.2673917305261599E-4</v>
      </c>
      <c r="AP1017" s="22">
        <f t="shared" si="355"/>
        <v>2.2668212317302622E-4</v>
      </c>
      <c r="AQ1017" s="22">
        <f t="shared" si="355"/>
        <v>2.2662502655488093E-4</v>
      </c>
      <c r="AR1017" s="22">
        <f t="shared" si="355"/>
        <v>2.2656713793114123E-4</v>
      </c>
      <c r="AS1017" s="22">
        <f t="shared" si="355"/>
        <v>2.2650822239749554E-4</v>
      </c>
      <c r="AT1017" s="22">
        <f t="shared" si="355"/>
        <v>2.2644299119894249E-4</v>
      </c>
      <c r="AU1017" s="22">
        <f t="shared" si="355"/>
        <v>2.2639724242481442E-4</v>
      </c>
      <c r="AV1017" s="22">
        <f t="shared" si="355"/>
        <v>2.2635313187043375E-4</v>
      </c>
      <c r="AW1017" s="22">
        <f t="shared" si="355"/>
        <v>2.2630866373902947E-4</v>
      </c>
      <c r="AY1017" s="79"/>
      <c r="AZ1017" s="79"/>
    </row>
    <row r="1018" spans="1:52" x14ac:dyDescent="0.2">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1.5037050613825948E-6</v>
      </c>
      <c r="U1018" s="94">
        <f>IF('Net zero activities &amp; levers'!$C$12="Off",'Activity data'!AN48*FracLEACH*MSLeachEF*NtoN2O*kgtoGg,'Net zero Activity data'!R48*FracLEACH*MSLeachEF*NtoN2O*kgtoGg)</f>
        <v>1.5032831980300348E-6</v>
      </c>
      <c r="V1018" s="94">
        <f>IF('Net zero activities &amp; levers'!$C$12="Off",'Activity data'!AO48*FracLEACH*MSLeachEF*NtoN2O*kgtoGg,'Net zero Activity data'!S48*FracLEACH*MSLeachEF*NtoN2O*kgtoGg)</f>
        <v>1.5029529933089607E-6</v>
      </c>
      <c r="W1018" s="94">
        <f>IF('Net zero activities &amp; levers'!$C$12="Off",'Activity data'!AP48*FracLEACH*MSLeachEF*NtoN2O*kgtoGg,'Net zero Activity data'!T48*FracLEACH*MSLeachEF*NtoN2O*kgtoGg)</f>
        <v>1.5026473253257052E-6</v>
      </c>
      <c r="X1018" s="94">
        <f>IF('Net zero activities &amp; levers'!$C$12="Off",'Activity data'!AQ48*FracLEACH*MSLeachEF*NtoN2O*kgtoGg,'Net zero Activity data'!U48*FracLEACH*MSLeachEF*NtoN2O*kgtoGg)</f>
        <v>1.5023056537623651E-6</v>
      </c>
      <c r="Y1018" s="94">
        <f>IF('Net zero activities &amp; levers'!$C$12="Off",'Activity data'!AR48*FracLEACH*MSLeachEF*NtoN2O*kgtoGg,'Net zero Activity data'!V48*FracLEACH*MSLeachEF*NtoN2O*kgtoGg)</f>
        <v>1.5019861770850986E-6</v>
      </c>
      <c r="Z1018" s="94">
        <f>IF('Net zero activities &amp; levers'!$C$12="Off",'Activity data'!AS48*FracLEACH*MSLeachEF*NtoN2O*kgtoGg,'Net zero Activity data'!W48*FracLEACH*MSLeachEF*NtoN2O*kgtoGg)</f>
        <v>1.501701671955191E-6</v>
      </c>
      <c r="AA1018" s="94">
        <f>IF('Net zero activities &amp; levers'!$C$12="Off",'Activity data'!AT48*FracLEACH*MSLeachEF*NtoN2O*kgtoGg,'Net zero Activity data'!X48*FracLEACH*MSLeachEF*NtoN2O*kgtoGg)</f>
        <v>1.5014309537001836E-6</v>
      </c>
      <c r="AB1018" s="94">
        <f>IF('Net zero activities &amp; levers'!$C$12="Off",'Activity data'!AU48*FracLEACH*MSLeachEF*NtoN2O*kgtoGg,'Net zero Activity data'!Y48*FracLEACH*MSLeachEF*NtoN2O*kgtoGg)</f>
        <v>1.5011787162299995E-6</v>
      </c>
      <c r="AC1018" s="94">
        <f>IF('Net zero activities &amp; levers'!$C$12="Off",'Activity data'!AV48*FracLEACH*MSLeachEF*NtoN2O*kgtoGg,'Net zero Activity data'!Z48*FracLEACH*MSLeachEF*NtoN2O*kgtoGg)</f>
        <v>1.5008674285667609E-6</v>
      </c>
      <c r="AD1018" s="94">
        <f>IF('Net zero activities &amp; levers'!$C$12="Off",'Activity data'!AW48*FracLEACH*MSLeachEF*NtoN2O*kgtoGg,'Net zero Activity data'!AA48*FracLEACH*MSLeachEF*NtoN2O*kgtoGg)</f>
        <v>1.5005647184604863E-6</v>
      </c>
      <c r="AE1018" s="94">
        <f>IF('Net zero activities &amp; levers'!$C$12="Off",'Activity data'!AX48*FracLEACH*MSLeachEF*NtoN2O*kgtoGg,'Net zero Activity data'!AB48*FracLEACH*MSLeachEF*NtoN2O*kgtoGg)</f>
        <v>1.5002417636198659E-6</v>
      </c>
      <c r="AF1018" s="94">
        <f>IF('Net zero activities &amp; levers'!$C$12="Off",'Activity data'!AY48*FracLEACH*MSLeachEF*NtoN2O*kgtoGg,'Net zero Activity data'!AC48*FracLEACH*MSLeachEF*NtoN2O*kgtoGg)</f>
        <v>1.4998643178589887E-6</v>
      </c>
      <c r="AG1018" s="94">
        <f>IF('Net zero activities &amp; levers'!$C$12="Off",'Activity data'!AZ48*FracLEACH*MSLeachEF*NtoN2O*kgtoGg,'Net zero Activity data'!AD48*FracLEACH*MSLeachEF*NtoN2O*kgtoGg)</f>
        <v>1.4994642104407695E-6</v>
      </c>
      <c r="AH1018" s="94">
        <f>IF('Net zero activities &amp; levers'!$C$12="Off",'Activity data'!BA48*FracLEACH*MSLeachEF*NtoN2O*kgtoGg,'Net zero Activity data'!AE48*FracLEACH*MSLeachEF*NtoN2O*kgtoGg)</f>
        <v>1.4990092672056151E-6</v>
      </c>
      <c r="AI1018" s="94">
        <f>IF('Net zero activities &amp; levers'!$C$12="Off",'Activity data'!BB48*FracLEACH*MSLeachEF*NtoN2O*kgtoGg,'Net zero Activity data'!AF48*FracLEACH*MSLeachEF*NtoN2O*kgtoGg)</f>
        <v>1.4986515686172149E-6</v>
      </c>
      <c r="AJ1018" s="94">
        <f>IF('Net zero activities &amp; levers'!$C$12="Off",'Activity data'!BC48*FracLEACH*MSLeachEF*NtoN2O*kgtoGg,'Net zero Activity data'!AG48*FracLEACH*MSLeachEF*NtoN2O*kgtoGg)</f>
        <v>1.49831121938018E-6</v>
      </c>
      <c r="AK1018" s="94">
        <f>IF('Net zero activities &amp; levers'!$C$12="Off",'Activity data'!BD48*FracLEACH*MSLeachEF*NtoN2O*kgtoGg,'Net zero Activity data'!AH48*FracLEACH*MSLeachEF*NtoN2O*kgtoGg)</f>
        <v>1.4979452872274355E-6</v>
      </c>
      <c r="AL1018" s="94">
        <f>IF('Net zero activities &amp; levers'!$C$12="Off",'Activity data'!BE48*FracLEACH*MSLeachEF*NtoN2O*kgtoGg,'Net zero Activity data'!AI48*FracLEACH*MSLeachEF*NtoN2O*kgtoGg)</f>
        <v>1.497595553197834E-6</v>
      </c>
      <c r="AM1018" s="94">
        <f>IF('Net zero activities &amp; levers'!$C$12="Off",'Activity data'!BF48*FracLEACH*MSLeachEF*NtoN2O*kgtoGg,'Net zero Activity data'!AJ48*FracLEACH*MSLeachEF*NtoN2O*kgtoGg)</f>
        <v>1.4972340802231352E-6</v>
      </c>
      <c r="AN1018" s="94">
        <f>IF('Net zero activities &amp; levers'!$C$12="Off",'Activity data'!BG48*FracLEACH*MSLeachEF*NtoN2O*kgtoGg,'Net zero Activity data'!AK48*FracLEACH*MSLeachEF*NtoN2O*kgtoGg)</f>
        <v>1.4968752412643093E-6</v>
      </c>
      <c r="AO1018" s="94">
        <f>IF('Net zero activities &amp; levers'!$C$12="Off",'Activity data'!BH48*FracLEACH*MSLeachEF*NtoN2O*kgtoGg,'Net zero Activity data'!AL48*FracLEACH*MSLeachEF*NtoN2O*kgtoGg)</f>
        <v>1.4964785421472656E-6</v>
      </c>
      <c r="AP1018" s="94">
        <f>IF('Net zero activities &amp; levers'!$C$12="Off",'Activity data'!BI48*FracLEACH*MSLeachEF*NtoN2O*kgtoGg,'Net zero Activity data'!AM48*FracLEACH*MSLeachEF*NtoN2O*kgtoGg)</f>
        <v>1.4961020129419735E-6</v>
      </c>
      <c r="AQ1018" s="94">
        <f>IF('Net zero activities &amp; levers'!$C$12="Off",'Activity data'!BJ48*FracLEACH*MSLeachEF*NtoN2O*kgtoGg,'Net zero Activity data'!AN48*FracLEACH*MSLeachEF*NtoN2O*kgtoGg)</f>
        <v>1.4957251752622144E-6</v>
      </c>
      <c r="AR1018" s="94">
        <f>IF('Net zero activities &amp; levers'!$C$12="Off",'Activity data'!BK48*FracLEACH*MSLeachEF*NtoN2O*kgtoGg,'Net zero Activity data'!AO48*FracLEACH*MSLeachEF*NtoN2O*kgtoGg)</f>
        <v>1.4953431103455323E-6</v>
      </c>
      <c r="AS1018" s="94">
        <f>IF('Net zero activities &amp; levers'!$C$12="Off",'Activity data'!BL48*FracLEACH*MSLeachEF*NtoN2O*kgtoGg,'Net zero Activity data'!AP48*FracLEACH*MSLeachEF*NtoN2O*kgtoGg)</f>
        <v>1.4949542678234709E-6</v>
      </c>
      <c r="AT1018" s="94">
        <f>IF('Net zero activities &amp; levers'!$C$12="Off",'Activity data'!BM48*FracLEACH*MSLeachEF*NtoN2O*kgtoGg,'Net zero Activity data'!AQ48*FracLEACH*MSLeachEF*NtoN2O*kgtoGg)</f>
        <v>1.4945237419130207E-6</v>
      </c>
      <c r="AU1018" s="94">
        <f>IF('Net zero activities &amp; levers'!$C$12="Off",'Activity data'!BN48*FracLEACH*MSLeachEF*NtoN2O*kgtoGg,'Net zero Activity data'!AR48*FracLEACH*MSLeachEF*NtoN2O*kgtoGg)</f>
        <v>1.4942218000037758E-6</v>
      </c>
      <c r="AV1018" s="94">
        <f>IF('Net zero activities &amp; levers'!$C$12="Off",'Activity data'!BO48*FracLEACH*MSLeachEF*NtoN2O*kgtoGg,'Net zero Activity data'!AS48*FracLEACH*MSLeachEF*NtoN2O*kgtoGg)</f>
        <v>1.4939306703448634E-6</v>
      </c>
      <c r="AW1018" s="94">
        <f>IF('Net zero activities &amp; levers'!$C$12="Off",'Activity data'!BP48*FracLEACH*MSLeachEF*NtoN2O*kgtoGg,'Net zero Activity data'!AT48*FracLEACH*MSLeachEF*NtoN2O*kgtoGg)</f>
        <v>1.4936371806775946E-6</v>
      </c>
      <c r="AY1018" s="79"/>
      <c r="AZ1018" s="79"/>
    </row>
    <row r="1019" spans="1:52" x14ac:dyDescent="0.2">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0.20732835560623103</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0.20628301821112838</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0.182530302660765</v>
      </c>
      <c r="T1019" s="94">
        <f>IF('Net zero activities &amp; levers'!$C$12="Off",SUM('Activity data'!AM50:AM65)*FracLEACH*MSLeachEF*NtoN2O*kgtoGg,SUM('Net zero Activity data'!AM50:AM65)*FracLEACH*MSLeachEF*NtoN2O*kgtoGg)</f>
        <v>0.18648987714377463</v>
      </c>
      <c r="U1019" s="94">
        <f>IF('Net zero activities &amp; levers'!$C$12="Off",SUM('Activity data'!AN50:AN65)*FracLEACH*MSLeachEF*NtoN2O*kgtoGg,SUM('Net zero Activity data'!AN50:AN65)*FracLEACH*MSLeachEF*NtoN2O*kgtoGg)</f>
        <v>0.18910094694966831</v>
      </c>
      <c r="V1019" s="94">
        <f>IF('Net zero activities &amp; levers'!$C$12="Off",SUM('Activity data'!AO50:AO65)*FracLEACH*MSLeachEF*NtoN2O*kgtoGg,SUM('Net zero Activity data'!AO50:AO65)*FracLEACH*MSLeachEF*NtoN2O*kgtoGg)</f>
        <v>0.19137660443001928</v>
      </c>
      <c r="W1019" s="94">
        <f>IF('Net zero activities &amp; levers'!$C$12="Off",SUM('Activity data'!AP50:AP65)*FracLEACH*MSLeachEF*NtoN2O*kgtoGg,SUM('Net zero Activity data'!AP50:AP65)*FracLEACH*MSLeachEF*NtoN2O*kgtoGg)</f>
        <v>0.19424913553411605</v>
      </c>
      <c r="X1019" s="94">
        <f>IF('Net zero activities &amp; levers'!$C$12="Off",SUM('Activity data'!AQ50:AQ65)*FracLEACH*MSLeachEF*NtoN2O*kgtoGg,SUM('Net zero Activity data'!AQ50:AQ65)*FracLEACH*MSLeachEF*NtoN2O*kgtoGg)</f>
        <v>0.19681866661571523</v>
      </c>
      <c r="Y1019" s="94">
        <f>IF('Net zero activities &amp; levers'!$C$12="Off",SUM('Activity data'!AR50:AR65)*FracLEACH*MSLeachEF*NtoN2O*kgtoGg,SUM('Net zero Activity data'!AR50:AR65)*FracLEACH*MSLeachEF*NtoN2O*kgtoGg)</f>
        <v>0.198887773981097</v>
      </c>
      <c r="Z1019" s="94">
        <f>IF('Net zero activities &amp; levers'!$C$12="Off",SUM('Activity data'!AS50:AS65)*FracLEACH*MSLeachEF*NtoN2O*kgtoGg,SUM('Net zero Activity data'!AS50:AS65)*FracLEACH*MSLeachEF*NtoN2O*kgtoGg)</f>
        <v>0.20077347633776868</v>
      </c>
      <c r="AA1019" s="94">
        <f>IF('Net zero activities &amp; levers'!$C$12="Off",SUM('Activity data'!AT50:AT65)*FracLEACH*MSLeachEF*NtoN2O*kgtoGg,SUM('Net zero Activity data'!AT50:AT65)*FracLEACH*MSLeachEF*NtoN2O*kgtoGg)</f>
        <v>0.20239928167285137</v>
      </c>
      <c r="AB1019" s="94">
        <f>IF('Net zero activities &amp; levers'!$C$12="Off",SUM('Activity data'!AU50:AU65)*FracLEACH*MSLeachEF*NtoN2O*kgtoGg,SUM('Net zero Activity data'!AU50:AU65)*FracLEACH*MSLeachEF*NtoN2O*kgtoGg)</f>
        <v>0.20498371434502882</v>
      </c>
      <c r="AC1019" s="94">
        <f>IF('Net zero activities &amp; levers'!$C$12="Off",SUM('Activity data'!AV50:AV65)*FracLEACH*MSLeachEF*NtoN2O*kgtoGg,SUM('Net zero Activity data'!AV50:AV65)*FracLEACH*MSLeachEF*NtoN2O*kgtoGg)</f>
        <v>0.20746608089631127</v>
      </c>
      <c r="AD1019" s="94">
        <f>IF('Net zero activities &amp; levers'!$C$12="Off",SUM('Activity data'!AW50:AW65)*FracLEACH*MSLeachEF*NtoN2O*kgtoGg,SUM('Net zero Activity data'!AW50:AW65)*FracLEACH*MSLeachEF*NtoN2O*kgtoGg)</f>
        <v>0.20958576032870826</v>
      </c>
      <c r="AE1019" s="94">
        <f>IF('Net zero activities &amp; levers'!$C$12="Off",SUM('Activity data'!AX50:AX65)*FracLEACH*MSLeachEF*NtoN2O*kgtoGg,SUM('Net zero Activity data'!AX50:AX65)*FracLEACH*MSLeachEF*NtoN2O*kgtoGg)</f>
        <v>0.2125868864780032</v>
      </c>
      <c r="AF1019" s="94">
        <f>IF('Net zero activities &amp; levers'!$C$12="Off",SUM('Activity data'!AY50:AY65)*FracLEACH*MSLeachEF*NtoN2O*kgtoGg,SUM('Net zero Activity data'!AY50:AY65)*FracLEACH*MSLeachEF*NtoN2O*kgtoGg)</f>
        <v>0.21597094750707838</v>
      </c>
      <c r="AG1019" s="94">
        <f>IF('Net zero activities &amp; levers'!$C$12="Off",SUM('Activity data'!AZ50:AZ65)*FracLEACH*MSLeachEF*NtoN2O*kgtoGg,SUM('Net zero Activity data'!AZ50:AZ65)*FracLEACH*MSLeachEF*NtoN2O*kgtoGg)</f>
        <v>0.22026882906379694</v>
      </c>
      <c r="AH1019" s="94">
        <f>IF('Net zero activities &amp; levers'!$C$12="Off",SUM('Activity data'!BA50:BA65)*FracLEACH*MSLeachEF*NtoN2O*kgtoGg,SUM('Net zero Activity data'!BA50:BA65)*FracLEACH*MSLeachEF*NtoN2O*kgtoGg)</f>
        <v>0.22301109036461528</v>
      </c>
      <c r="AI1019" s="94">
        <f>IF('Net zero activities &amp; levers'!$C$12="Off",SUM('Activity data'!BB50:BB65)*FracLEACH*MSLeachEF*NtoN2O*kgtoGg,SUM('Net zero Activity data'!BB50:BB65)*FracLEACH*MSLeachEF*NtoN2O*kgtoGg)</f>
        <v>0.2254871975923895</v>
      </c>
      <c r="AJ1019" s="94">
        <f>IF('Net zero activities &amp; levers'!$C$12="Off",SUM('Activity data'!BC50:BC65)*FracLEACH*MSLeachEF*NtoN2O*kgtoGg,SUM('Net zero Activity data'!BC50:BC65)*FracLEACH*MSLeachEF*NtoN2O*kgtoGg)</f>
        <v>0.22839683791849513</v>
      </c>
      <c r="AK1019" s="94">
        <f>IF('Net zero activities &amp; levers'!$C$12="Off",SUM('Activity data'!BD50:BD65)*FracLEACH*MSLeachEF*NtoN2O*kgtoGg,SUM('Net zero Activity data'!BD50:BD65)*FracLEACH*MSLeachEF*NtoN2O*kgtoGg)</f>
        <v>0.23105301030632744</v>
      </c>
      <c r="AL1019" s="94">
        <f>IF('Net zero activities &amp; levers'!$C$12="Off",SUM('Activity data'!BE50:BE65)*FracLEACH*MSLeachEF*NtoN2O*kgtoGg,SUM('Net zero Activity data'!BE50:BE65)*FracLEACH*MSLeachEF*NtoN2O*kgtoGg)</f>
        <v>0.23391741682705808</v>
      </c>
      <c r="AM1019" s="94">
        <f>IF('Net zero activities &amp; levers'!$C$12="Off",SUM('Activity data'!BF50:BF65)*FracLEACH*MSLeachEF*NtoN2O*kgtoGg,SUM('Net zero Activity data'!BF50:BF65)*FracLEACH*MSLeachEF*NtoN2O*kgtoGg)</f>
        <v>0.23675201366324419</v>
      </c>
      <c r="AN1019" s="94">
        <f>IF('Net zero activities &amp; levers'!$C$12="Off",SUM('Activity data'!BG50:BG65)*FracLEACH*MSLeachEF*NtoN2O*kgtoGg,SUM('Net zero Activity data'!BG50:BG65)*FracLEACH*MSLeachEF*NtoN2O*kgtoGg)</f>
        <v>0.24068683453385165</v>
      </c>
      <c r="AO1019" s="94">
        <f>IF('Net zero activities &amp; levers'!$C$12="Off",SUM('Activity data'!BH50:BH65)*FracLEACH*MSLeachEF*NtoN2O*kgtoGg,SUM('Net zero Activity data'!BH50:BH65)*FracLEACH*MSLeachEF*NtoN2O*kgtoGg)</f>
        <v>0.24431807258428889</v>
      </c>
      <c r="AP1019" s="94">
        <f>IF('Net zero activities &amp; levers'!$C$12="Off",SUM('Activity data'!BI50:BI65)*FracLEACH*MSLeachEF*NtoN2O*kgtoGg,SUM('Net zero Activity data'!BI50:BI65)*FracLEACH*MSLeachEF*NtoN2O*kgtoGg)</f>
        <v>0.247990087587761</v>
      </c>
      <c r="AQ1019" s="94">
        <f>IF('Net zero activities &amp; levers'!$C$12="Off",SUM('Activity data'!BJ50:BJ65)*FracLEACH*MSLeachEF*NtoN2O*kgtoGg,SUM('Net zero Activity data'!BJ50:BJ65)*FracLEACH*MSLeachEF*NtoN2O*kgtoGg)</f>
        <v>0.25178910033750079</v>
      </c>
      <c r="AR1019" s="94">
        <f>IF('Net zero activities &amp; levers'!$C$12="Off",SUM('Activity data'!BK50:BK65)*FracLEACH*MSLeachEF*NtoN2O*kgtoGg,SUM('Net zero Activity data'!BK50:BK65)*FracLEACH*MSLeachEF*NtoN2O*kgtoGg)</f>
        <v>0.25574542310185078</v>
      </c>
      <c r="AS1019" s="94">
        <f>IF('Net zero activities &amp; levers'!$C$12="Off",SUM('Activity data'!BL50:BL65)*FracLEACH*MSLeachEF*NtoN2O*kgtoGg,SUM('Net zero Activity data'!BL50:BL65)*FracLEACH*MSLeachEF*NtoN2O*kgtoGg)</f>
        <v>0.26048600400632033</v>
      </c>
      <c r="AT1019" s="94">
        <f>IF('Net zero activities &amp; levers'!$C$12="Off",SUM('Activity data'!BM50:BM65)*FracLEACH*MSLeachEF*NtoN2O*kgtoGg,SUM('Net zero Activity data'!BM50:BM65)*FracLEACH*MSLeachEF*NtoN2O*kgtoGg)</f>
        <v>0.2629760462317593</v>
      </c>
      <c r="AU1019" s="94">
        <f>IF('Net zero activities &amp; levers'!$C$12="Off",SUM('Activity data'!BN50:BN65)*FracLEACH*MSLeachEF*NtoN2O*kgtoGg,SUM('Net zero Activity data'!BN50:BN65)*FracLEACH*MSLeachEF*NtoN2O*kgtoGg)</f>
        <v>0.26529006833740182</v>
      </c>
      <c r="AV1019" s="94">
        <f>IF('Net zero activities &amp; levers'!$C$12="Off",SUM('Activity data'!BO50:BO65)*FracLEACH*MSLeachEF*NtoN2O*kgtoGg,SUM('Net zero Activity data'!BO50:BO65)*FracLEACH*MSLeachEF*NtoN2O*kgtoGg)</f>
        <v>0.26766308982794251</v>
      </c>
      <c r="AW1019" s="94">
        <f>IF('Net zero activities &amp; levers'!$C$12="Off",SUM('Activity data'!BP50:BP65)*FracLEACH*MSLeachEF*NtoN2O*kgtoGg,SUM('Net zero Activity data'!BP50:BP65)*FracLEACH*MSLeachEF*NtoN2O*kgtoGg)</f>
        <v>0.26999671566798311</v>
      </c>
      <c r="AY1019" s="79"/>
      <c r="AZ1019" s="79"/>
    </row>
    <row r="1020" spans="1:52" x14ac:dyDescent="0.2">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2">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0.10241934435921343</v>
      </c>
      <c r="U1021" s="22">
        <f t="shared" si="356"/>
        <v>0.10289653491421205</v>
      </c>
      <c r="V1021" s="22">
        <f t="shared" si="356"/>
        <v>0.10327004584650011</v>
      </c>
      <c r="W1021" s="22">
        <f t="shared" si="356"/>
        <v>0.10361580205805489</v>
      </c>
      <c r="X1021" s="22">
        <f t="shared" si="356"/>
        <v>0.10400228370418145</v>
      </c>
      <c r="Y1021" s="22">
        <f t="shared" si="356"/>
        <v>0.10436365961419813</v>
      </c>
      <c r="Z1021" s="22">
        <f t="shared" si="356"/>
        <v>0.10468547747303018</v>
      </c>
      <c r="AA1021" s="22">
        <f t="shared" si="356"/>
        <v>0.10499170031407964</v>
      </c>
      <c r="AB1021" s="22">
        <f t="shared" si="356"/>
        <v>0.10527701862309623</v>
      </c>
      <c r="AC1021" s="22">
        <f t="shared" si="356"/>
        <v>0.1056291315333171</v>
      </c>
      <c r="AD1021" s="22">
        <f t="shared" si="356"/>
        <v>0.10597154194356044</v>
      </c>
      <c r="AE1021" s="22">
        <f t="shared" si="356"/>
        <v>0.10633685217660206</v>
      </c>
      <c r="AF1021" s="22">
        <f t="shared" si="356"/>
        <v>0.10676379979132655</v>
      </c>
      <c r="AG1021" s="22">
        <f t="shared" si="356"/>
        <v>0.10721638113028523</v>
      </c>
      <c r="AH1021" s="22">
        <f t="shared" si="356"/>
        <v>0.10773098998066055</v>
      </c>
      <c r="AI1021" s="22">
        <f t="shared" si="356"/>
        <v>0.10813560058948724</v>
      </c>
      <c r="AJ1021" s="22">
        <f t="shared" si="356"/>
        <v>0.10852058648676627</v>
      </c>
      <c r="AK1021" s="22">
        <f t="shared" si="356"/>
        <v>0.10893451048846137</v>
      </c>
      <c r="AL1021" s="22">
        <f t="shared" si="356"/>
        <v>0.10933011198993048</v>
      </c>
      <c r="AM1021" s="22">
        <f t="shared" si="356"/>
        <v>0.10973899199424218</v>
      </c>
      <c r="AN1021" s="22">
        <f t="shared" si="356"/>
        <v>0.11014489253259981</v>
      </c>
      <c r="AO1021" s="22">
        <f t="shared" si="356"/>
        <v>0.11059361857310758</v>
      </c>
      <c r="AP1021" s="22">
        <f t="shared" si="356"/>
        <v>0.11101952942636521</v>
      </c>
      <c r="AQ1021" s="22">
        <f t="shared" si="356"/>
        <v>0.11144578921038648</v>
      </c>
      <c r="AR1021" s="22">
        <f t="shared" si="356"/>
        <v>0.11187796178126933</v>
      </c>
      <c r="AS1021" s="22">
        <f t="shared" si="356"/>
        <v>0.11231780083764567</v>
      </c>
      <c r="AT1021" s="22">
        <f t="shared" si="356"/>
        <v>0.1128047900413833</v>
      </c>
      <c r="AU1021" s="22">
        <f t="shared" si="356"/>
        <v>0.11314633150587833</v>
      </c>
      <c r="AV1021" s="22">
        <f t="shared" si="356"/>
        <v>0.11347564269792666</v>
      </c>
      <c r="AW1021" s="22">
        <f t="shared" si="356"/>
        <v>0.1138076234124414</v>
      </c>
      <c r="AY1021" s="79"/>
      <c r="AZ1021" s="79"/>
    </row>
    <row r="1022" spans="1:52" x14ac:dyDescent="0.2">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2">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2">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2">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2">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2">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2">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2">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2">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2">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2">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2">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2">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0.39831175345583053</v>
      </c>
      <c r="M1034" s="22">
        <f t="shared" si="360"/>
        <v>0.40145358914715529</v>
      </c>
      <c r="N1034" s="22">
        <f t="shared" si="360"/>
        <v>0.40347255325329029</v>
      </c>
      <c r="O1034" s="22">
        <f t="shared" si="360"/>
        <v>0.40481416413578281</v>
      </c>
      <c r="P1034" s="22">
        <f t="shared" si="360"/>
        <v>0.40546521734783814</v>
      </c>
      <c r="Q1034" s="22">
        <f t="shared" si="360"/>
        <v>0.40690363619044922</v>
      </c>
      <c r="R1034" s="22">
        <f t="shared" si="360"/>
        <v>0.40855374420631185</v>
      </c>
      <c r="S1034" s="22">
        <f t="shared" si="360"/>
        <v>0.39736949652274572</v>
      </c>
      <c r="T1034" s="22">
        <f t="shared" si="360"/>
        <v>0.40193613647411602</v>
      </c>
      <c r="U1034" s="22">
        <f t="shared" si="360"/>
        <v>0.40551458062818502</v>
      </c>
      <c r="V1034" s="22">
        <f t="shared" si="360"/>
        <v>0.40890476326282849</v>
      </c>
      <c r="W1034" s="22">
        <f t="shared" si="360"/>
        <v>0.41286821795762335</v>
      </c>
      <c r="X1034" s="22">
        <f t="shared" si="360"/>
        <v>0.4166639118790918</v>
      </c>
      <c r="Y1034" s="22">
        <f t="shared" si="360"/>
        <v>0.4198473343142145</v>
      </c>
      <c r="Z1034" s="22">
        <f t="shared" si="360"/>
        <v>0.42294233840413964</v>
      </c>
      <c r="AA1034" s="22">
        <f t="shared" si="360"/>
        <v>0.42587799118724151</v>
      </c>
      <c r="AB1034" s="22">
        <f t="shared" si="360"/>
        <v>0.42969675362549747</v>
      </c>
      <c r="AC1034" s="22">
        <f t="shared" si="360"/>
        <v>0.43349587939767537</v>
      </c>
      <c r="AD1034" s="22">
        <f t="shared" si="360"/>
        <v>0.43745946625570531</v>
      </c>
      <c r="AE1034" s="22">
        <f t="shared" si="360"/>
        <v>0.44229495321809359</v>
      </c>
      <c r="AF1034" s="22">
        <f t="shared" si="360"/>
        <v>0.44758124575636155</v>
      </c>
      <c r="AG1034" s="22">
        <f t="shared" si="360"/>
        <v>0.45381269752253439</v>
      </c>
      <c r="AH1034" s="22">
        <f t="shared" si="360"/>
        <v>0.45874802300299961</v>
      </c>
      <c r="AI1034" s="22">
        <f t="shared" si="360"/>
        <v>0.46333288688967006</v>
      </c>
      <c r="AJ1034" s="22">
        <f t="shared" si="360"/>
        <v>0.46842040791737738</v>
      </c>
      <c r="AK1034" s="22">
        <f t="shared" si="360"/>
        <v>0.47337132456140918</v>
      </c>
      <c r="AL1034" s="22">
        <f t="shared" si="360"/>
        <v>0.47862201153126527</v>
      </c>
      <c r="AM1034" s="22">
        <f t="shared" si="360"/>
        <v>0.48394817784516875</v>
      </c>
      <c r="AN1034" s="22">
        <f t="shared" si="360"/>
        <v>0.48983437623076936</v>
      </c>
      <c r="AO1034" s="22">
        <f t="shared" si="360"/>
        <v>0.49551952889490208</v>
      </c>
      <c r="AP1034" s="22">
        <f t="shared" si="360"/>
        <v>0.50133983118096659</v>
      </c>
      <c r="AQ1034" s="22">
        <f t="shared" si="360"/>
        <v>0.50738353443884876</v>
      </c>
      <c r="AR1034" s="22">
        <f t="shared" si="360"/>
        <v>0.51368519045610384</v>
      </c>
      <c r="AS1034" s="22">
        <f t="shared" si="360"/>
        <v>0.52070203752488053</v>
      </c>
      <c r="AT1034" s="22">
        <f t="shared" si="360"/>
        <v>0.52550112442398844</v>
      </c>
      <c r="AU1034" s="22">
        <f t="shared" si="360"/>
        <v>0.53018983852857582</v>
      </c>
      <c r="AV1034" s="22">
        <f t="shared" si="360"/>
        <v>0.53501141383334805</v>
      </c>
      <c r="AW1034" s="22">
        <f t="shared" si="360"/>
        <v>0.53986293449927925</v>
      </c>
      <c r="AY1034" s="79"/>
      <c r="AZ1034" s="79"/>
    </row>
    <row r="1035" spans="1:52" x14ac:dyDescent="0.2">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3.1424516095088999E-2</v>
      </c>
      <c r="M1035" s="22">
        <f t="shared" si="361"/>
        <v>3.1672388936885787E-2</v>
      </c>
      <c r="N1035" s="22">
        <f t="shared" si="361"/>
        <v>3.1831673641638247E-2</v>
      </c>
      <c r="O1035" s="22">
        <f t="shared" si="361"/>
        <v>3.1937519056453263E-2</v>
      </c>
      <c r="P1035" s="22">
        <f t="shared" si="361"/>
        <v>3.198888342610464E-2</v>
      </c>
      <c r="Q1035" s="22">
        <f t="shared" si="361"/>
        <v>3.2102366434524382E-2</v>
      </c>
      <c r="R1035" s="22">
        <f t="shared" si="361"/>
        <v>3.2232550506305392E-2</v>
      </c>
      <c r="S1035" s="22">
        <f t="shared" si="361"/>
        <v>3.1350177419660695E-2</v>
      </c>
      <c r="T1035" s="22">
        <f t="shared" si="361"/>
        <v>3.1710459157287665E-2</v>
      </c>
      <c r="U1035" s="22">
        <f t="shared" si="361"/>
        <v>3.19927779062055E-2</v>
      </c>
      <c r="V1035" s="22">
        <f t="shared" si="361"/>
        <v>3.2260243899471644E-2</v>
      </c>
      <c r="W1035" s="22">
        <f t="shared" si="361"/>
        <v>3.2572937774980257E-2</v>
      </c>
      <c r="X1035" s="22">
        <f t="shared" si="361"/>
        <v>3.2872396286290406E-2</v>
      </c>
      <c r="Y1035" s="22">
        <f t="shared" si="361"/>
        <v>3.3123550083992911E-2</v>
      </c>
      <c r="Z1035" s="22">
        <f t="shared" si="361"/>
        <v>3.336772818065812E-2</v>
      </c>
      <c r="AA1035" s="22">
        <f t="shared" si="361"/>
        <v>3.3599334371868343E-2</v>
      </c>
      <c r="AB1035" s="22">
        <f t="shared" si="361"/>
        <v>3.3900612857032622E-2</v>
      </c>
      <c r="AC1035" s="22">
        <f t="shared" si="361"/>
        <v>3.4200342121708499E-2</v>
      </c>
      <c r="AD1035" s="22">
        <f t="shared" si="361"/>
        <v>3.4513046424139431E-2</v>
      </c>
      <c r="AE1035" s="22">
        <f t="shared" si="361"/>
        <v>3.4894538651167102E-2</v>
      </c>
      <c r="AF1035" s="22">
        <f t="shared" si="361"/>
        <v>3.5311596856231003E-2</v>
      </c>
      <c r="AG1035" s="22">
        <f t="shared" si="361"/>
        <v>3.5803222711162215E-2</v>
      </c>
      <c r="AH1035" s="22">
        <f t="shared" si="361"/>
        <v>3.6192591625460596E-2</v>
      </c>
      <c r="AI1035" s="22">
        <f t="shared" si="361"/>
        <v>3.6554311127208743E-2</v>
      </c>
      <c r="AJ1035" s="22">
        <f t="shared" si="361"/>
        <v>3.6955687398514313E-2</v>
      </c>
      <c r="AK1035" s="22">
        <f t="shared" si="361"/>
        <v>3.7346286366322763E-2</v>
      </c>
      <c r="AL1035" s="22">
        <f t="shared" si="361"/>
        <v>3.7760535495962914E-2</v>
      </c>
      <c r="AM1035" s="22">
        <f t="shared" si="361"/>
        <v>3.8180739513555217E-2</v>
      </c>
      <c r="AN1035" s="22">
        <f t="shared" si="361"/>
        <v>3.8645126854130414E-2</v>
      </c>
      <c r="AO1035" s="22">
        <f t="shared" si="361"/>
        <v>3.9093652838731792E-2</v>
      </c>
      <c r="AP1035" s="22">
        <f t="shared" si="361"/>
        <v>3.9552841354460577E-2</v>
      </c>
      <c r="AQ1035" s="22">
        <f t="shared" si="361"/>
        <v>4.0029654927380476E-2</v>
      </c>
      <c r="AR1035" s="22">
        <f t="shared" si="361"/>
        <v>4.0526819495640978E-2</v>
      </c>
      <c r="AS1035" s="22">
        <f t="shared" si="361"/>
        <v>4.1080408541749817E-2</v>
      </c>
      <c r="AT1035" s="22">
        <f t="shared" si="361"/>
        <v>4.145902901225889E-2</v>
      </c>
      <c r="AU1035" s="22">
        <f t="shared" si="361"/>
        <v>4.1828941701418883E-2</v>
      </c>
      <c r="AV1035" s="22">
        <f t="shared" si="361"/>
        <v>4.2209336378336959E-2</v>
      </c>
      <c r="AW1035" s="22">
        <f t="shared" si="361"/>
        <v>4.2592093572744245E-2</v>
      </c>
      <c r="AY1035" s="79"/>
      <c r="AZ1035" s="79"/>
    </row>
    <row r="1036" spans="1:52" x14ac:dyDescent="0.2">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2.9129279224209421E-4</v>
      </c>
      <c r="M1036" s="22">
        <f t="shared" si="362"/>
        <v>2.9359047510821973E-4</v>
      </c>
      <c r="N1036" s="22">
        <f t="shared" si="362"/>
        <v>2.9506698110336069E-4</v>
      </c>
      <c r="O1036" s="22">
        <f t="shared" si="362"/>
        <v>2.960481260901027E-4</v>
      </c>
      <c r="P1036" s="22">
        <f t="shared" si="362"/>
        <v>2.9652425341095714E-4</v>
      </c>
      <c r="Q1036" s="22">
        <f t="shared" si="362"/>
        <v>2.9757619585915883E-4</v>
      </c>
      <c r="R1036" s="22">
        <f t="shared" si="362"/>
        <v>2.9878295053629647E-4</v>
      </c>
      <c r="S1036" s="22">
        <f t="shared" si="362"/>
        <v>2.906037022248744E-4</v>
      </c>
      <c r="T1036" s="22">
        <f t="shared" si="362"/>
        <v>2.9394337094179688E-4</v>
      </c>
      <c r="U1036" s="22">
        <f t="shared" si="362"/>
        <v>2.9656035369582628E-4</v>
      </c>
      <c r="V1036" s="22">
        <f t="shared" si="362"/>
        <v>2.9903965729981968E-4</v>
      </c>
      <c r="W1036" s="22">
        <f t="shared" si="362"/>
        <v>3.0193820542187468E-4</v>
      </c>
      <c r="X1036" s="22">
        <f t="shared" si="362"/>
        <v>3.0471406697074431E-4</v>
      </c>
      <c r="Y1036" s="22">
        <f t="shared" si="362"/>
        <v>3.0704216299594947E-4</v>
      </c>
      <c r="Z1036" s="22">
        <f t="shared" si="362"/>
        <v>3.093055970410988E-4</v>
      </c>
      <c r="AA1036" s="22">
        <f t="shared" si="362"/>
        <v>3.1145249451229731E-4</v>
      </c>
      <c r="AB1036" s="22">
        <f t="shared" si="362"/>
        <v>3.1424522649647207E-4</v>
      </c>
      <c r="AC1036" s="22">
        <f t="shared" si="362"/>
        <v>3.1702359782158373E-4</v>
      </c>
      <c r="AD1036" s="22">
        <f t="shared" si="362"/>
        <v>3.1992224259707024E-4</v>
      </c>
      <c r="AE1036" s="22">
        <f t="shared" si="362"/>
        <v>3.2345852413258482E-4</v>
      </c>
      <c r="AF1036" s="22">
        <f t="shared" si="362"/>
        <v>3.2732448816884659E-4</v>
      </c>
      <c r="AG1036" s="22">
        <f t="shared" si="362"/>
        <v>3.3188166472450077E-4</v>
      </c>
      <c r="AH1036" s="22">
        <f t="shared" si="362"/>
        <v>3.3549096002486584E-4</v>
      </c>
      <c r="AI1036" s="22">
        <f t="shared" si="362"/>
        <v>3.3884395624456256E-4</v>
      </c>
      <c r="AJ1036" s="22">
        <f t="shared" si="362"/>
        <v>3.4256455497882901E-4</v>
      </c>
      <c r="AK1036" s="22">
        <f t="shared" si="362"/>
        <v>3.4618525238704095E-4</v>
      </c>
      <c r="AL1036" s="22">
        <f t="shared" si="362"/>
        <v>3.5002517740900785E-4</v>
      </c>
      <c r="AM1036" s="22">
        <f t="shared" si="362"/>
        <v>3.539203018788781E-4</v>
      </c>
      <c r="AN1036" s="22">
        <f t="shared" si="362"/>
        <v>3.5822498821704474E-4</v>
      </c>
      <c r="AO1036" s="22">
        <f t="shared" si="362"/>
        <v>3.6238264608048877E-4</v>
      </c>
      <c r="AP1036" s="22">
        <f t="shared" si="362"/>
        <v>3.6663914137567152E-4</v>
      </c>
      <c r="AQ1036" s="22">
        <f t="shared" si="362"/>
        <v>3.7105901395587245E-4</v>
      </c>
      <c r="AR1036" s="22">
        <f t="shared" si="362"/>
        <v>3.756675321858498E-4</v>
      </c>
      <c r="AS1036" s="22">
        <f t="shared" si="362"/>
        <v>3.8079908293137994E-4</v>
      </c>
      <c r="AT1036" s="22">
        <f t="shared" si="362"/>
        <v>3.8430874442372815E-4</v>
      </c>
      <c r="AU1036" s="22">
        <f t="shared" si="362"/>
        <v>3.877376882389691E-4</v>
      </c>
      <c r="AV1036" s="22">
        <f t="shared" si="362"/>
        <v>3.9126379592057032E-4</v>
      </c>
      <c r="AW1036" s="22">
        <f t="shared" si="362"/>
        <v>3.9481180320164583E-4</v>
      </c>
      <c r="AY1036" s="79"/>
      <c r="AZ1036" s="79"/>
    </row>
    <row r="1037" spans="1:52" x14ac:dyDescent="0.2">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3.2323215352203891E-3</v>
      </c>
      <c r="L1037" s="94">
        <f>IF('Net zero activities &amp; levers'!$C$12="Off",Constants!$H66*'Activity data'!AE8*Constants!$H84*EF!$H209*MMVolatEF*NtoN2O*kgtoGg,Constants!$H66*'Net zero Activity data'!AE8*Constants!$H84*EF!$H209*MMVolatEF*NtoN2O*kgtoGg)</f>
        <v>3.2042886428129457E-3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3.0890682378804132E-3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2.561902690551985E-3</v>
      </c>
      <c r="T1037" s="94">
        <f>IF('Net zero activities &amp; levers'!$C$12="Off",Constants!$H66*'Activity data'!AM8*Constants!$H84*EF!$H209*MMVolatEF*NtoN2O*kgtoGg,Constants!$H66*'Net zero Activity data'!AM8*Constants!$H84*EF!$H209*MMVolatEF*NtoN2O*kgtoGg)</f>
        <v>2.6109067650953812E-3</v>
      </c>
      <c r="U1037" s="94">
        <f>IF('Net zero activities &amp; levers'!$C$12="Off",Constants!$H66*'Activity data'!AN8*Constants!$H84*EF!$H209*MMVolatEF*NtoN2O*kgtoGg,Constants!$H66*'Net zero Activity data'!AN8*Constants!$H84*EF!$H209*MMVolatEF*NtoN2O*kgtoGg)</f>
        <v>2.6371073705861066E-3</v>
      </c>
      <c r="V1037" s="94">
        <f>IF('Net zero activities &amp; levers'!$C$12="Off",Constants!$H66*'Activity data'!AO8*Constants!$H84*EF!$H209*MMVolatEF*NtoN2O*kgtoGg,Constants!$H66*'Net zero Activity data'!AO8*Constants!$H84*EF!$H209*MMVolatEF*NtoN2O*kgtoGg)</f>
        <v>2.6572763543899086E-3</v>
      </c>
      <c r="W1037" s="94">
        <f>IF('Net zero activities &amp; levers'!$C$12="Off",Constants!$H66*'Activity data'!AP8*Constants!$H84*EF!$H209*MMVolatEF*NtoN2O*kgtoGg,Constants!$H66*'Net zero Activity data'!AP8*Constants!$H84*EF!$H209*MMVolatEF*NtoN2O*kgtoGg)</f>
        <v>2.6864577406949136E-3</v>
      </c>
      <c r="X1037" s="94">
        <f>IF('Net zero activities &amp; levers'!$C$12="Off",Constants!$H66*'Activity data'!AQ8*Constants!$H84*EF!$H209*MMVolatEF*NtoN2O*kgtoGg,Constants!$H66*'Net zero Activity data'!AQ8*Constants!$H84*EF!$H209*MMVolatEF*NtoN2O*kgtoGg)</f>
        <v>2.7101399939897432E-3</v>
      </c>
      <c r="Y1037" s="94">
        <f>IF('Net zero activities &amp; levers'!$C$12="Off",Constants!$H66*'Activity data'!AR8*Constants!$H84*EF!$H209*MMVolatEF*NtoN2O*kgtoGg,Constants!$H66*'Net zero Activity data'!AR8*Constants!$H84*EF!$H209*MMVolatEF*NtoN2O*kgtoGg)</f>
        <v>2.7254068910752506E-3</v>
      </c>
      <c r="Z1037" s="94">
        <f>IF('Net zero activities &amp; levers'!$C$12="Off",Constants!$H66*'Activity data'!AS8*Constants!$H84*EF!$H209*MMVolatEF*NtoN2O*kgtoGg,Constants!$H66*'Net zero Activity data'!AS8*Constants!$H84*EF!$H209*MMVolatEF*NtoN2O*kgtoGg)</f>
        <v>2.7372910281189241E-3</v>
      </c>
      <c r="AA1037" s="94">
        <f>IF('Net zero activities &amp; levers'!$C$12="Off",Constants!$H66*'Activity data'!AT8*Constants!$H84*EF!$H209*MMVolatEF*NtoN2O*kgtoGg,Constants!$H66*'Net zero Activity data'!AT8*Constants!$H84*EF!$H209*MMVolatEF*NtoN2O*kgtoGg)</f>
        <v>2.7446565965779596E-3</v>
      </c>
      <c r="AB1037" s="94">
        <f>IF('Net zero activities &amp; levers'!$C$12="Off",Constants!$H66*'Activity data'!AU8*Constants!$H84*EF!$H209*MMVolatEF*NtoN2O*kgtoGg,Constants!$H66*'Net zero Activity data'!AU8*Constants!$H84*EF!$H209*MMVolatEF*NtoN2O*kgtoGg)</f>
        <v>2.766461574169799E-3</v>
      </c>
      <c r="AC1037" s="94">
        <f>IF('Net zero activities &amp; levers'!$C$12="Off",Constants!$H66*'Activity data'!AV8*Constants!$H84*EF!$H209*MMVolatEF*NtoN2O*kgtoGg,Constants!$H66*'Net zero Activity data'!AV8*Constants!$H84*EF!$H209*MMVolatEF*NtoN2O*kgtoGg)</f>
        <v>2.7860807889478114E-3</v>
      </c>
      <c r="AD1037" s="94">
        <f>IF('Net zero activities &amp; levers'!$C$12="Off",Constants!$H66*'Activity data'!AW8*Constants!$H84*EF!$H209*MMVolatEF*NtoN2O*kgtoGg,Constants!$H66*'Net zero Activity data'!AW8*Constants!$H84*EF!$H209*MMVolatEF*NtoN2O*kgtoGg)</f>
        <v>2.7870926745375917E-3</v>
      </c>
      <c r="AE1037" s="94">
        <f>IF('Net zero activities &amp; levers'!$C$12="Off",Constants!$H66*'Activity data'!AX8*Constants!$H84*EF!$H209*MMVolatEF*NtoN2O*kgtoGg,Constants!$H66*'Net zero Activity data'!AX8*Constants!$H84*EF!$H209*MMVolatEF*NtoN2O*kgtoGg)</f>
        <v>2.8002357420559331E-3</v>
      </c>
      <c r="AF1037" s="94">
        <f>IF('Net zero activities &amp; levers'!$C$12="Off",Constants!$H66*'Activity data'!AY8*Constants!$H84*EF!$H209*MMVolatEF*NtoN2O*kgtoGg,Constants!$H66*'Net zero Activity data'!AY8*Constants!$H84*EF!$H209*MMVolatEF*NtoN2O*kgtoGg)</f>
        <v>2.8176157227712195E-3</v>
      </c>
      <c r="AG1037" s="94">
        <f>IF('Net zero activities &amp; levers'!$C$12="Off",Constants!$H66*'Activity data'!AZ8*Constants!$H84*EF!$H209*MMVolatEF*NtoN2O*kgtoGg,Constants!$H66*'Net zero Activity data'!AZ8*Constants!$H84*EF!$H209*MMVolatEF*NtoN2O*kgtoGg)</f>
        <v>2.8467949657152583E-3</v>
      </c>
      <c r="AH1037" s="94">
        <f>IF('Net zero activities &amp; levers'!$C$12="Off",Constants!$H66*'Activity data'!BA8*Constants!$H84*EF!$H209*MMVolatEF*NtoN2O*kgtoGg,Constants!$H66*'Net zero Activity data'!BA8*Constants!$H84*EF!$H209*MMVolatEF*NtoN2O*kgtoGg)</f>
        <v>2.8514553566539535E-3</v>
      </c>
      <c r="AI1037" s="94">
        <f>IF('Net zero activities &amp; levers'!$C$12="Off",Constants!$H66*'Activity data'!BB8*Constants!$H84*EF!$H209*MMVolatEF*NtoN2O*kgtoGg,Constants!$H66*'Net zero Activity data'!BB8*Constants!$H84*EF!$H209*MMVolatEF*NtoN2O*kgtoGg)</f>
        <v>2.8509661505713695E-3</v>
      </c>
      <c r="AJ1037" s="94">
        <f>IF('Net zero activities &amp; levers'!$C$12="Off",Constants!$H66*'Activity data'!BC8*Constants!$H84*EF!$H209*MMVolatEF*NtoN2O*kgtoGg,Constants!$H66*'Net zero Activity data'!BC8*Constants!$H84*EF!$H209*MMVolatEF*NtoN2O*kgtoGg)</f>
        <v>2.8552472952040066E-3</v>
      </c>
      <c r="AK1037" s="94">
        <f>IF('Net zero activities &amp; levers'!$C$12="Off",Constants!$H66*'Activity data'!BD8*Constants!$H84*EF!$H209*MMVolatEF*NtoN2O*kgtoGg,Constants!$H66*'Net zero Activity data'!BD8*Constants!$H84*EF!$H209*MMVolatEF*NtoN2O*kgtoGg)</f>
        <v>2.8544571157094324E-3</v>
      </c>
      <c r="AL1037" s="94">
        <f>IF('Net zero activities &amp; levers'!$C$12="Off",Constants!$H66*'Activity data'!BE8*Constants!$H84*EF!$H209*MMVolatEF*NtoN2O*kgtoGg,Constants!$H66*'Net zero Activity data'!BE8*Constants!$H84*EF!$H209*MMVolatEF*NtoN2O*kgtoGg)</f>
        <v>2.8550616993206577E-3</v>
      </c>
      <c r="AM1037" s="94">
        <f>IF('Net zero activities &amp; levers'!$C$12="Off",Constants!$H66*'Activity data'!BF8*Constants!$H84*EF!$H209*MMVolatEF*NtoN2O*kgtoGg,Constants!$H66*'Net zero Activity data'!BF8*Constants!$H84*EF!$H209*MMVolatEF*NtoN2O*kgtoGg)</f>
        <v>2.8536896120201398E-3</v>
      </c>
      <c r="AN1037" s="94">
        <f>IF('Net zero activities &amp; levers'!$C$12="Off",Constants!$H66*'Activity data'!BG8*Constants!$H84*EF!$H209*MMVolatEF*NtoN2O*kgtoGg,Constants!$H66*'Net zero Activity data'!BG8*Constants!$H84*EF!$H209*MMVolatEF*NtoN2O*kgtoGg)</f>
        <v>2.8741715259670993E-3</v>
      </c>
      <c r="AO1037" s="94">
        <f>IF('Net zero activities &amp; levers'!$C$12="Off",Constants!$H66*'Activity data'!BH8*Constants!$H84*EF!$H209*MMVolatEF*NtoN2O*kgtoGg,Constants!$H66*'Net zero Activity data'!BH8*Constants!$H84*EF!$H209*MMVolatEF*NtoN2O*kgtoGg)</f>
        <v>2.8891552087920934E-3</v>
      </c>
      <c r="AP1037" s="94">
        <f>IF('Net zero activities &amp; levers'!$C$12="Off",Constants!$H66*'Activity data'!BI8*Constants!$H84*EF!$H209*MMVolatEF*NtoN2O*kgtoGg,Constants!$H66*'Net zero Activity data'!BI8*Constants!$H84*EF!$H209*MMVolatEF*NtoN2O*kgtoGg)</f>
        <v>2.9032743711579932E-3</v>
      </c>
      <c r="AQ1037" s="94">
        <f>IF('Net zero activities &amp; levers'!$C$12="Off",Constants!$H66*'Activity data'!BJ8*Constants!$H84*EF!$H209*MMVolatEF*NtoN2O*kgtoGg,Constants!$H66*'Net zero Activity data'!BJ8*Constants!$H84*EF!$H209*MMVolatEF*NtoN2O*kgtoGg)</f>
        <v>2.9176093020266492E-3</v>
      </c>
      <c r="AR1037" s="94">
        <f>IF('Net zero activities &amp; levers'!$C$12="Off",Constants!$H66*'Activity data'!BK8*Constants!$H84*EF!$H209*MMVolatEF*NtoN2O*kgtoGg,Constants!$H66*'Net zero Activity data'!BK8*Constants!$H84*EF!$H209*MMVolatEF*NtoN2O*kgtoGg)</f>
        <v>2.9324708677435766E-3</v>
      </c>
      <c r="AS1037" s="94">
        <f>IF('Net zero activities &amp; levers'!$C$12="Off",Constants!$H66*'Activity data'!BL8*Constants!$H84*EF!$H209*MMVolatEF*NtoN2O*kgtoGg,Constants!$H66*'Net zero Activity data'!BL8*Constants!$H84*EF!$H209*MMVolatEF*NtoN2O*kgtoGg)</f>
        <v>2.955760646257155E-3</v>
      </c>
      <c r="AT1037" s="94">
        <f>IF('Net zero activities &amp; levers'!$C$12="Off",Constants!$H66*'Activity data'!BM8*Constants!$H84*EF!$H209*MMVolatEF*NtoN2O*kgtoGg,Constants!$H66*'Net zero Activity data'!BM8*Constants!$H84*EF!$H209*MMVolatEF*NtoN2O*kgtoGg)</f>
        <v>2.949200862307677E-3</v>
      </c>
      <c r="AU1037" s="94">
        <f>IF('Net zero activities &amp; levers'!$C$12="Off",Constants!$H66*'Activity data'!BN8*Constants!$H84*EF!$H209*MMVolatEF*NtoN2O*kgtoGg,Constants!$H66*'Net zero Activity data'!BN8*Constants!$H84*EF!$H209*MMVolatEF*NtoN2O*kgtoGg)</f>
        <v>2.9393657295562411E-3</v>
      </c>
      <c r="AV1037" s="94">
        <f>IF('Net zero activities &amp; levers'!$C$12="Off",Constants!$H66*'Activity data'!BO8*Constants!$H84*EF!$H209*MMVolatEF*NtoN2O*kgtoGg,Constants!$H66*'Net zero Activity data'!BO8*Constants!$H84*EF!$H209*MMVolatEF*NtoN2O*kgtoGg)</f>
        <v>2.9291791996267137E-3</v>
      </c>
      <c r="AW1037" s="94">
        <f>IF('Net zero activities &amp; levers'!$C$12="Off",Constants!$H66*'Activity data'!BP8*Constants!$H84*EF!$H209*MMVolatEF*NtoN2O*kgtoGg,Constants!$H66*'Net zero Activity data'!BP8*Constants!$H84*EF!$H209*MMVolatEF*NtoN2O*kgtoGg)</f>
        <v>2.9174224191291709E-3</v>
      </c>
      <c r="AY1037" s="79"/>
      <c r="AZ1037" s="79"/>
    </row>
    <row r="1038" spans="1:52" x14ac:dyDescent="0.2">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1.6090517274103575E-2</v>
      </c>
      <c r="L1038" s="94">
        <f>IF('Net zero activities &amp; levers'!$C$12="Off",Constants!$H67*'Activity data'!AE9*Constants!$H85*EF!$H210*MMVolatEF*NtoN2O*kgtoGg,Constants!$H67*'Net zero Activity data'!AE9*Constants!$H85*EF!$H210*MMVolatEF*NtoN2O*kgtoGg)</f>
        <v>1.5950969356419611E-2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1.5377401443792467E-2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1.2753167977791692E-2</v>
      </c>
      <c r="T1038" s="94">
        <f>IF('Net zero activities &amp; levers'!$C$12="Off",Constants!$H67*'Activity data'!AM9*Constants!$H85*EF!$H210*MMVolatEF*NtoN2O*kgtoGg,Constants!$H67*'Net zero Activity data'!AM9*Constants!$H85*EF!$H210*MMVolatEF*NtoN2O*kgtoGg)</f>
        <v>1.2997110574266151E-2</v>
      </c>
      <c r="U1038" s="94">
        <f>IF('Net zero activities &amp; levers'!$C$12="Off",Constants!$H67*'Activity data'!AN9*Constants!$H85*EF!$H210*MMVolatEF*NtoN2O*kgtoGg,Constants!$H67*'Net zero Activity data'!AN9*Constants!$H85*EF!$H210*MMVolatEF*NtoN2O*kgtoGg)</f>
        <v>1.312753735596061E-2</v>
      </c>
      <c r="V1038" s="94">
        <f>IF('Net zero activities &amp; levers'!$C$12="Off",Constants!$H67*'Activity data'!AO9*Constants!$H85*EF!$H210*MMVolatEF*NtoN2O*kgtoGg,Constants!$H67*'Net zero Activity data'!AO9*Constants!$H85*EF!$H210*MMVolatEF*NtoN2O*kgtoGg)</f>
        <v>1.3227938686323331E-2</v>
      </c>
      <c r="W1038" s="94">
        <f>IF('Net zero activities &amp; levers'!$C$12="Off",Constants!$H67*'Activity data'!AP9*Constants!$H85*EF!$H210*MMVolatEF*NtoN2O*kgtoGg,Constants!$H67*'Net zero Activity data'!AP9*Constants!$H85*EF!$H210*MMVolatEF*NtoN2O*kgtoGg)</f>
        <v>1.337320381397436E-2</v>
      </c>
      <c r="X1038" s="94">
        <f>IF('Net zero activities &amp; levers'!$C$12="Off",Constants!$H67*'Activity data'!AQ9*Constants!$H85*EF!$H210*MMVolatEF*NtoN2O*kgtoGg,Constants!$H67*'Net zero Activity data'!AQ9*Constants!$H85*EF!$H210*MMVolatEF*NtoN2O*kgtoGg)</f>
        <v>1.349109422233195E-2</v>
      </c>
      <c r="Y1038" s="94">
        <f>IF('Net zero activities &amp; levers'!$C$12="Off",Constants!$H67*'Activity data'!AR9*Constants!$H85*EF!$H210*MMVolatEF*NtoN2O*kgtoGg,Constants!$H67*'Net zero Activity data'!AR9*Constants!$H85*EF!$H210*MMVolatEF*NtoN2O*kgtoGg)</f>
        <v>1.3567092933660515E-2</v>
      </c>
      <c r="Z1038" s="94">
        <f>IF('Net zero activities &amp; levers'!$C$12="Off",Constants!$H67*'Activity data'!AS9*Constants!$H85*EF!$H210*MMVolatEF*NtoN2O*kgtoGg,Constants!$H67*'Net zero Activity data'!AS9*Constants!$H85*EF!$H210*MMVolatEF*NtoN2O*kgtoGg)</f>
        <v>1.3626252243866949E-2</v>
      </c>
      <c r="AA1038" s="94">
        <f>IF('Net zero activities &amp; levers'!$C$12="Off",Constants!$H67*'Activity data'!AT9*Constants!$H85*EF!$H210*MMVolatEF*NtoN2O*kgtoGg,Constants!$H67*'Net zero Activity data'!AT9*Constants!$H85*EF!$H210*MMVolatEF*NtoN2O*kgtoGg)</f>
        <v>1.3662918090761304E-2</v>
      </c>
      <c r="AB1038" s="94">
        <f>IF('Net zero activities &amp; levers'!$C$12="Off",Constants!$H67*'Activity data'!AU9*Constants!$H85*EF!$H210*MMVolatEF*NtoN2O*kgtoGg,Constants!$H67*'Net zero Activity data'!AU9*Constants!$H85*EF!$H210*MMVolatEF*NtoN2O*kgtoGg)</f>
        <v>1.3771463408663595E-2</v>
      </c>
      <c r="AC1038" s="94">
        <f>IF('Net zero activities &amp; levers'!$C$12="Off",Constants!$H67*'Activity data'!AV9*Constants!$H85*EF!$H210*MMVolatEF*NtoN2O*kgtoGg,Constants!$H67*'Net zero Activity data'!AV9*Constants!$H85*EF!$H210*MMVolatEF*NtoN2O*kgtoGg)</f>
        <v>1.3869127985299977E-2</v>
      </c>
      <c r="AD1038" s="94">
        <f>IF('Net zero activities &amp; levers'!$C$12="Off",Constants!$H67*'Activity data'!AW9*Constants!$H85*EF!$H210*MMVolatEF*NtoN2O*kgtoGg,Constants!$H67*'Net zero Activity data'!AW9*Constants!$H85*EF!$H210*MMVolatEF*NtoN2O*kgtoGg)</f>
        <v>1.3874165158237254E-2</v>
      </c>
      <c r="AE1038" s="94">
        <f>IF('Net zero activities &amp; levers'!$C$12="Off",Constants!$H67*'Activity data'!AX9*Constants!$H85*EF!$H210*MMVolatEF*NtoN2O*kgtoGg,Constants!$H67*'Net zero Activity data'!AX9*Constants!$H85*EF!$H210*MMVolatEF*NtoN2O*kgtoGg)</f>
        <v>1.3939591432397862E-2</v>
      </c>
      <c r="AF1038" s="94">
        <f>IF('Net zero activities &amp; levers'!$C$12="Off",Constants!$H67*'Activity data'!AY9*Constants!$H85*EF!$H210*MMVolatEF*NtoN2O*kgtoGg,Constants!$H67*'Net zero Activity data'!AY9*Constants!$H85*EF!$H210*MMVolatEF*NtoN2O*kgtoGg)</f>
        <v>1.4026109087549346E-2</v>
      </c>
      <c r="AG1038" s="94">
        <f>IF('Net zero activities &amp; levers'!$C$12="Off",Constants!$H67*'Activity data'!AZ9*Constants!$H85*EF!$H210*MMVolatEF*NtoN2O*kgtoGg,Constants!$H67*'Net zero Activity data'!AZ9*Constants!$H85*EF!$H210*MMVolatEF*NtoN2O*kgtoGg)</f>
        <v>1.4171363545535784E-2</v>
      </c>
      <c r="AH1038" s="94">
        <f>IF('Net zero activities &amp; levers'!$C$12="Off",Constants!$H67*'Activity data'!BA9*Constants!$H85*EF!$H210*MMVolatEF*NtoN2O*kgtoGg,Constants!$H67*'Net zero Activity data'!BA9*Constants!$H85*EF!$H210*MMVolatEF*NtoN2O*kgtoGg)</f>
        <v>1.4194563001433364E-2</v>
      </c>
      <c r="AI1038" s="94">
        <f>IF('Net zero activities &amp; levers'!$C$12="Off",Constants!$H67*'Activity data'!BB9*Constants!$H85*EF!$H210*MMVolatEF*NtoN2O*kgtoGg,Constants!$H67*'Net zero Activity data'!BB9*Constants!$H85*EF!$H210*MMVolatEF*NtoN2O*kgtoGg)</f>
        <v>1.4192127730425623E-2</v>
      </c>
      <c r="AJ1038" s="94">
        <f>IF('Net zero activities &amp; levers'!$C$12="Off",Constants!$H67*'Activity data'!BC9*Constants!$H85*EF!$H210*MMVolatEF*NtoN2O*kgtoGg,Constants!$H67*'Net zero Activity data'!BC9*Constants!$H85*EF!$H210*MMVolatEF*NtoN2O*kgtoGg)</f>
        <v>1.4213439295786241E-2</v>
      </c>
      <c r="AK1038" s="94">
        <f>IF('Net zero activities &amp; levers'!$C$12="Off",Constants!$H67*'Activity data'!BD9*Constants!$H85*EF!$H210*MMVolatEF*NtoN2O*kgtoGg,Constants!$H67*'Net zero Activity data'!BD9*Constants!$H85*EF!$H210*MMVolatEF*NtoN2O*kgtoGg)</f>
        <v>1.4209505777208791E-2</v>
      </c>
      <c r="AL1038" s="94">
        <f>IF('Net zero activities &amp; levers'!$C$12="Off",Constants!$H67*'Activity data'!BE9*Constants!$H85*EF!$H210*MMVolatEF*NtoN2O*kgtoGg,Constants!$H67*'Net zero Activity data'!BE9*Constants!$H85*EF!$H210*MMVolatEF*NtoN2O*kgtoGg)</f>
        <v>1.4212515398291981E-2</v>
      </c>
      <c r="AM1038" s="94">
        <f>IF('Net zero activities &amp; levers'!$C$12="Off",Constants!$H67*'Activity data'!BF9*Constants!$H85*EF!$H210*MMVolatEF*NtoN2O*kgtoGg,Constants!$H67*'Net zero Activity data'!BF9*Constants!$H85*EF!$H210*MMVolatEF*NtoN2O*kgtoGg)</f>
        <v>1.4205685138935052E-2</v>
      </c>
      <c r="AN1038" s="94">
        <f>IF('Net zero activities &amp; levers'!$C$12="Off",Constants!$H67*'Activity data'!BG9*Constants!$H85*EF!$H210*MMVolatEF*NtoN2O*kgtoGg,Constants!$H67*'Net zero Activity data'!BG9*Constants!$H85*EF!$H210*MMVolatEF*NtoN2O*kgtoGg)</f>
        <v>1.4307644237551697E-2</v>
      </c>
      <c r="AO1038" s="94">
        <f>IF('Net zero activities &amp; levers'!$C$12="Off",Constants!$H67*'Activity data'!BH9*Constants!$H85*EF!$H210*MMVolatEF*NtoN2O*kgtoGg,Constants!$H67*'Net zero Activity data'!BH9*Constants!$H85*EF!$H210*MMVolatEF*NtoN2O*kgtoGg)</f>
        <v>1.4382233106480177E-2</v>
      </c>
      <c r="AP1038" s="94">
        <f>IF('Net zero activities &amp; levers'!$C$12="Off",Constants!$H67*'Activity data'!BI9*Constants!$H85*EF!$H210*MMVolatEF*NtoN2O*kgtoGg,Constants!$H67*'Net zero Activity data'!BI9*Constants!$H85*EF!$H210*MMVolatEF*NtoN2O*kgtoGg)</f>
        <v>1.4452518387034392E-2</v>
      </c>
      <c r="AQ1038" s="94">
        <f>IF('Net zero activities &amp; levers'!$C$12="Off",Constants!$H67*'Activity data'!BJ9*Constants!$H85*EF!$H210*MMVolatEF*NtoN2O*kgtoGg,Constants!$H67*'Net zero Activity data'!BJ9*Constants!$H85*EF!$H210*MMVolatEF*NtoN2O*kgtoGg)</f>
        <v>1.4523877764575229E-2</v>
      </c>
      <c r="AR1038" s="94">
        <f>IF('Net zero activities &amp; levers'!$C$12="Off",Constants!$H67*'Activity data'!BK9*Constants!$H85*EF!$H210*MMVolatEF*NtoN2O*kgtoGg,Constants!$H67*'Net zero Activity data'!BK9*Constants!$H85*EF!$H210*MMVolatEF*NtoN2O*kgtoGg)</f>
        <v>1.4597858733758781E-2</v>
      </c>
      <c r="AS1038" s="94">
        <f>IF('Net zero activities &amp; levers'!$C$12="Off",Constants!$H67*'Activity data'!BL9*Constants!$H85*EF!$H210*MMVolatEF*NtoN2O*kgtoGg,Constants!$H67*'Net zero Activity data'!BL9*Constants!$H85*EF!$H210*MMVolatEF*NtoN2O*kgtoGg)</f>
        <v>1.4713795400145288E-2</v>
      </c>
      <c r="AT1038" s="94">
        <f>IF('Net zero activities &amp; levers'!$C$12="Off",Constants!$H67*'Activity data'!BM9*Constants!$H85*EF!$H210*MMVolatEF*NtoN2O*kgtoGg,Constants!$H67*'Net zero Activity data'!BM9*Constants!$H85*EF!$H210*MMVolatEF*NtoN2O*kgtoGg)</f>
        <v>1.4681140753692774E-2</v>
      </c>
      <c r="AU1038" s="94">
        <f>IF('Net zero activities &amp; levers'!$C$12="Off",Constants!$H67*'Activity data'!BN9*Constants!$H85*EF!$H210*MMVolatEF*NtoN2O*kgtoGg,Constants!$H67*'Net zero Activity data'!BN9*Constants!$H85*EF!$H210*MMVolatEF*NtoN2O*kgtoGg)</f>
        <v>1.4632181399957167E-2</v>
      </c>
      <c r="AV1038" s="94">
        <f>IF('Net zero activities &amp; levers'!$C$12="Off",Constants!$H67*'Activity data'!BO9*Constants!$H85*EF!$H210*MMVolatEF*NtoN2O*kgtoGg,Constants!$H67*'Net zero Activity data'!BO9*Constants!$H85*EF!$H210*MMVolatEF*NtoN2O*kgtoGg)</f>
        <v>1.4581472788821714E-2</v>
      </c>
      <c r="AW1038" s="94">
        <f>IF('Net zero activities &amp; levers'!$C$12="Off",Constants!$H67*'Activity data'!BP9*Constants!$H85*EF!$H210*MMVolatEF*NtoN2O*kgtoGg,Constants!$H67*'Net zero Activity data'!BP9*Constants!$H85*EF!$H210*MMVolatEF*NtoN2O*kgtoGg)</f>
        <v>1.4522947460316408E-2</v>
      </c>
      <c r="AY1038" s="79"/>
      <c r="AZ1038" s="79"/>
    </row>
    <row r="1039" spans="1:52" x14ac:dyDescent="0.2">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0.16370016056893644</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0.17840915017095665</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0.17354626936315642</v>
      </c>
      <c r="T1039" s="94">
        <f>IF('Net zero activities &amp; levers'!$C$12="Off",Constants!$H68*'Activity data'!AM10*Constants!$H86*EF!$H211*MMVolatEF*NtoN2O*kgtoGg,Constants!$H68*'Net zero Activity data'!AM10*Constants!$H86*EF!$H211*MMVolatEF*NtoN2O*kgtoGg)</f>
        <v>0.18112703744691877</v>
      </c>
      <c r="U1039" s="94">
        <f>IF('Net zero activities &amp; levers'!$C$12="Off",Constants!$H68*'Activity data'!AN10*Constants!$H86*EF!$H211*MMVolatEF*NtoN2O*kgtoGg,Constants!$H68*'Net zero Activity data'!AN10*Constants!$H86*EF!$H211*MMVolatEF*NtoN2O*kgtoGg)</f>
        <v>0.18729176246517146</v>
      </c>
      <c r="V1039" s="94">
        <f>IF('Net zero activities &amp; levers'!$C$12="Off",Constants!$H68*'Activity data'!AO10*Constants!$H86*EF!$H211*MMVolatEF*NtoN2O*kgtoGg,Constants!$H68*'Net zero Activity data'!AO10*Constants!$H86*EF!$H211*MMVolatEF*NtoN2O*kgtoGg)</f>
        <v>0.19315163846975197</v>
      </c>
      <c r="W1039" s="94">
        <f>IF('Net zero activities &amp; levers'!$C$12="Off",Constants!$H68*'Activity data'!AP10*Constants!$H86*EF!$H211*MMVolatEF*NtoN2O*kgtoGg,Constants!$H68*'Net zero Activity data'!AP10*Constants!$H86*EF!$H211*MMVolatEF*NtoN2O*kgtoGg)</f>
        <v>0.1997999174777515</v>
      </c>
      <c r="X1039" s="94">
        <f>IF('Net zero activities &amp; levers'!$C$12="Off",Constants!$H68*'Activity data'!AQ10*Constants!$H86*EF!$H211*MMVolatEF*NtoN2O*kgtoGg,Constants!$H68*'Net zero Activity data'!AQ10*Constants!$H86*EF!$H211*MMVolatEF*NtoN2O*kgtoGg)</f>
        <v>0.20618321754826516</v>
      </c>
      <c r="Y1039" s="94">
        <f>IF('Net zero activities &amp; levers'!$C$12="Off",Constants!$H68*'Activity data'!AR10*Constants!$H86*EF!$H211*MMVolatEF*NtoN2O*kgtoGg,Constants!$H68*'Net zero Activity data'!AR10*Constants!$H86*EF!$H211*MMVolatEF*NtoN2O*kgtoGg)</f>
        <v>0.21205125968323466</v>
      </c>
      <c r="Z1039" s="94">
        <f>IF('Net zero activities &amp; levers'!$C$12="Off",Constants!$H68*'Activity data'!AS10*Constants!$H86*EF!$H211*MMVolatEF*NtoN2O*kgtoGg,Constants!$H68*'Net zero Activity data'!AS10*Constants!$H86*EF!$H211*MMVolatEF*NtoN2O*kgtoGg)</f>
        <v>0.21776504311044109</v>
      </c>
      <c r="AA1039" s="94">
        <f>IF('Net zero activities &amp; levers'!$C$12="Off",Constants!$H68*'Activity data'!AT10*Constants!$H86*EF!$H211*MMVolatEF*NtoN2O*kgtoGg,Constants!$H68*'Net zero Activity data'!AT10*Constants!$H86*EF!$H211*MMVolatEF*NtoN2O*kgtoGg)</f>
        <v>0.22321845446592189</v>
      </c>
      <c r="AB1039" s="94">
        <f>IF('Net zero activities &amp; levers'!$C$12="Off",Constants!$H68*'Activity data'!AU10*Constants!$H86*EF!$H211*MMVolatEF*NtoN2O*kgtoGg,Constants!$H68*'Net zero Activity data'!AU10*Constants!$H86*EF!$H211*MMVolatEF*NtoN2O*kgtoGg)</f>
        <v>0.22996706841629874</v>
      </c>
      <c r="AC1039" s="94">
        <f>IF('Net zero activities &amp; levers'!$C$12="Off",Constants!$H68*'Activity data'!AV10*Constants!$H86*EF!$H211*MMVolatEF*NtoN2O*kgtoGg,Constants!$H68*'Net zero Activity data'!AV10*Constants!$H86*EF!$H211*MMVolatEF*NtoN2O*kgtoGg)</f>
        <v>0.23668130693108949</v>
      </c>
      <c r="AD1039" s="94">
        <f>IF('Net zero activities &amp; levers'!$C$12="Off",Constants!$H68*'Activity data'!AW10*Constants!$H86*EF!$H211*MMVolatEF*NtoN2O*kgtoGg,Constants!$H68*'Net zero Activity data'!AW10*Constants!$H86*EF!$H211*MMVolatEF*NtoN2O*kgtoGg)</f>
        <v>0.24461911204797512</v>
      </c>
      <c r="AE1039" s="94">
        <f>IF('Net zero activities &amp; levers'!$C$12="Off",Constants!$H68*'Activity data'!AX10*Constants!$H86*EF!$H211*MMVolatEF*NtoN2O*kgtoGg,Constants!$H68*'Net zero Activity data'!AX10*Constants!$H86*EF!$H211*MMVolatEF*NtoN2O*kgtoGg)</f>
        <v>0.25393877237777696</v>
      </c>
      <c r="AF1039" s="94">
        <f>IF('Net zero activities &amp; levers'!$C$12="Off",Constants!$H68*'Activity data'!AY10*Constants!$H86*EF!$H211*MMVolatEF*NtoN2O*kgtoGg,Constants!$H68*'Net zero Activity data'!AY10*Constants!$H86*EF!$H211*MMVolatEF*NtoN2O*kgtoGg)</f>
        <v>0.26402636464996099</v>
      </c>
      <c r="AG1039" s="94">
        <f>IF('Net zero activities &amp; levers'!$C$12="Off",Constants!$H68*'Activity data'!AZ10*Constants!$H86*EF!$H211*MMVolatEF*NtoN2O*kgtoGg,Constants!$H68*'Net zero Activity data'!AZ10*Constants!$H86*EF!$H211*MMVolatEF*NtoN2O*kgtoGg)</f>
        <v>0.27567496604841074</v>
      </c>
      <c r="AH1039" s="94">
        <f>IF('Net zero activities &amp; levers'!$C$12="Off",Constants!$H68*'Activity data'!BA10*Constants!$H86*EF!$H211*MMVolatEF*NtoN2O*kgtoGg,Constants!$H68*'Net zero Activity data'!BA10*Constants!$H86*EF!$H211*MMVolatEF*NtoN2O*kgtoGg)</f>
        <v>0.28538857228327053</v>
      </c>
      <c r="AI1039" s="94">
        <f>IF('Net zero activities &amp; levers'!$C$12="Off",Constants!$H68*'Activity data'!BB10*Constants!$H86*EF!$H211*MMVolatEF*NtoN2O*kgtoGg,Constants!$H68*'Net zero Activity data'!BB10*Constants!$H86*EF!$H211*MMVolatEF*NtoN2O*kgtoGg)</f>
        <v>0.29495307266242238</v>
      </c>
      <c r="AJ1039" s="94">
        <f>IF('Net zero activities &amp; levers'!$C$12="Off",Constants!$H68*'Activity data'!BC10*Constants!$H86*EF!$H211*MMVolatEF*NtoN2O*kgtoGg,Constants!$H68*'Net zero Activity data'!BC10*Constants!$H86*EF!$H211*MMVolatEF*NtoN2O*kgtoGg)</f>
        <v>0.3053980286161922</v>
      </c>
      <c r="AK1039" s="94">
        <f>IF('Net zero activities &amp; levers'!$C$12="Off",Constants!$H68*'Activity data'!BD10*Constants!$H86*EF!$H211*MMVolatEF*NtoN2O*kgtoGg,Constants!$H68*'Net zero Activity data'!BD10*Constants!$H86*EF!$H211*MMVolatEF*NtoN2O*kgtoGg)</f>
        <v>0.3157092357133186</v>
      </c>
      <c r="AL1039" s="94">
        <f>IF('Net zero activities &amp; levers'!$C$12="Off",Constants!$H68*'Activity data'!BE10*Constants!$H86*EF!$H211*MMVolatEF*NtoN2O*kgtoGg,Constants!$H68*'Net zero Activity data'!BE10*Constants!$H86*EF!$H211*MMVolatEF*NtoN2O*kgtoGg)</f>
        <v>0.32659469477462816</v>
      </c>
      <c r="AM1039" s="94">
        <f>IF('Net zero activities &amp; levers'!$C$12="Off",Constants!$H68*'Activity data'!BF10*Constants!$H86*EF!$H211*MMVolatEF*NtoN2O*kgtoGg,Constants!$H68*'Net zero Activity data'!BF10*Constants!$H86*EF!$H211*MMVolatEF*NtoN2O*kgtoGg)</f>
        <v>0.33769759276940581</v>
      </c>
      <c r="AN1039" s="94">
        <f>IF('Net zero activities &amp; levers'!$C$12="Off",Constants!$H68*'Activity data'!BG10*Constants!$H86*EF!$H211*MMVolatEF*NtoN2O*kgtoGg,Constants!$H68*'Net zero Activity data'!BG10*Constants!$H86*EF!$H211*MMVolatEF*NtoN2O*kgtoGg)</f>
        <v>0.34971796912079089</v>
      </c>
      <c r="AO1039" s="94">
        <f>IF('Net zero activities &amp; levers'!$C$12="Off",Constants!$H68*'Activity data'!BH10*Constants!$H86*EF!$H211*MMVolatEF*NtoN2O*kgtoGg,Constants!$H68*'Net zero Activity data'!BH10*Constants!$H86*EF!$H211*MMVolatEF*NtoN2O*kgtoGg)</f>
        <v>0.36149422928557057</v>
      </c>
      <c r="AP1039" s="94">
        <f>IF('Net zero activities &amp; levers'!$C$12="Off",Constants!$H68*'Activity data'!BI10*Constants!$H86*EF!$H211*MMVolatEF*NtoN2O*kgtoGg,Constants!$H68*'Net zero Activity data'!BI10*Constants!$H86*EF!$H211*MMVolatEF*NtoN2O*kgtoGg)</f>
        <v>0.3735858155993782</v>
      </c>
      <c r="AQ1039" s="94">
        <f>IF('Net zero activities &amp; levers'!$C$12="Off",Constants!$H68*'Activity data'!BJ10*Constants!$H86*EF!$H211*MMVolatEF*NtoN2O*kgtoGg,Constants!$H68*'Net zero Activity data'!BJ10*Constants!$H86*EF!$H211*MMVolatEF*NtoN2O*kgtoGg)</f>
        <v>0.38614747590772142</v>
      </c>
      <c r="AR1039" s="94">
        <f>IF('Net zero activities &amp; levers'!$C$12="Off",Constants!$H68*'Activity data'!BK10*Constants!$H86*EF!$H211*MMVolatEF*NtoN2O*kgtoGg,Constants!$H68*'Net zero Activity data'!BK10*Constants!$H86*EF!$H211*MMVolatEF*NtoN2O*kgtoGg)</f>
        <v>0.3992463303443215</v>
      </c>
      <c r="AS1039" s="94">
        <f>IF('Net zero activities &amp; levers'!$C$12="Off",Constants!$H68*'Activity data'!BL10*Constants!$H86*EF!$H211*MMVolatEF*NtoN2O*kgtoGg,Constants!$H68*'Net zero Activity data'!BL10*Constants!$H86*EF!$H211*MMVolatEF*NtoN2O*kgtoGg)</f>
        <v>0.41401924594323458</v>
      </c>
      <c r="AT1039" s="94">
        <f>IF('Net zero activities &amp; levers'!$C$12="Off",Constants!$H68*'Activity data'!BM10*Constants!$H86*EF!$H211*MMVolatEF*NtoN2O*kgtoGg,Constants!$H68*'Net zero Activity data'!BM10*Constants!$H86*EF!$H211*MMVolatEF*NtoN2O*kgtoGg)</f>
        <v>0.42507748495703629</v>
      </c>
      <c r="AU1039" s="94">
        <f>IF('Net zero activities &amp; levers'!$C$12="Off",Constants!$H68*'Activity data'!BN10*Constants!$H86*EF!$H211*MMVolatEF*NtoN2O*kgtoGg,Constants!$H68*'Net zero Activity data'!BN10*Constants!$H86*EF!$H211*MMVolatEF*NtoN2O*kgtoGg)</f>
        <v>0.43601753921735037</v>
      </c>
      <c r="AV1039" s="94">
        <f>IF('Net zero activities &amp; levers'!$C$12="Off",Constants!$H68*'Activity data'!BO10*Constants!$H86*EF!$H211*MMVolatEF*NtoN2O*kgtoGg,Constants!$H68*'Net zero Activity data'!BO10*Constants!$H86*EF!$H211*MMVolatEF*NtoN2O*kgtoGg)</f>
        <v>0.44726275396189152</v>
      </c>
      <c r="AW1039" s="94">
        <f>IF('Net zero activities &amp; levers'!$C$12="Off",Constants!$H68*'Activity data'!BP10*Constants!$H86*EF!$H211*MMVolatEF*NtoN2O*kgtoGg,Constants!$H68*'Net zero Activity data'!BP10*Constants!$H86*EF!$H211*MMVolatEF*NtoN2O*kgtoGg)</f>
        <v>0.45863622701416706</v>
      </c>
      <c r="AY1039" s="79"/>
      <c r="AZ1039" s="79"/>
    </row>
    <row r="1040" spans="1:52" x14ac:dyDescent="0.2">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1.195503235691774E-4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1.1973238900774034E-4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1.1993816652481025E-4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1.2017030175701969E-4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1.2043143682964787E-4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1.2071612652319093E-4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1.2088927246048491E-4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1.2108266651499932E-4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1.2129489002398719E-4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1.2153074787723059E-4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1.2178444503760319E-4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1.2195021859922819E-4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1.2213630016303642E-4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1.2233971704233787E-4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1.2256258176640642E-4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1.2279204268449652E-4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1.2293267358180957E-4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1.230880284078129E-4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1.2325414703713089E-4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1.2343300581478905E-4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1.2362298848343737E-4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1.2373316293630814E-4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1.2385166980530415E-4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1.2398002361906419E-4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1.2411840156820918E-4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1.2426670691930035E-4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1.2433302167931155E-4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1.2439474489368146E-4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1.2446317135013558E-4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1.2453939785824996E-4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1.24622639719568E-4</v>
      </c>
      <c r="AY1040" s="79"/>
      <c r="AZ1040" s="79"/>
    </row>
    <row r="1041" spans="1:52" x14ac:dyDescent="0.2">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8.2041591156770978E-4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8.216653384055813E-4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8.2307748974241456E-4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8.246705212997898E-4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8.2646256470257108E-4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8.284162520491963E-4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8.2960446867411488E-4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8.3093163831104511E-4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8.323880253653359E-4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8.3400660346610628E-4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8.3574760408304538E-4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8.3688522766794265E-4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8.3816221522631858E-4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8.3955816665060555E-4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8.4108757920503671E-4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8.4266225824114254E-4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8.436273399102601E-4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8.4469346476368369E-4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8.4583345638086619E-4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8.4706087745956699E-4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8.483646364091695E-4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8.4912071026564152E-4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8.4993396545434991E-4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8.5081479545108508E-4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8.5176441622917501E-4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8.5278216395392656E-4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8.5323725000188266E-4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8.5366082649812602E-4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8.5413040409500023E-4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8.546535096648827E-4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8.5522475820269445E-4</v>
      </c>
      <c r="AY1041" s="79"/>
      <c r="AZ1041" s="79"/>
    </row>
    <row r="1042" spans="1:52" x14ac:dyDescent="0.2">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1.4486129996083081E-5</v>
      </c>
      <c r="L1042" s="22">
        <f t="shared" si="363"/>
        <v>1.4523786941695515E-5</v>
      </c>
      <c r="M1042" s="22">
        <f t="shared" si="363"/>
        <v>1.4575733367418309E-5</v>
      </c>
      <c r="N1042" s="22">
        <f t="shared" si="363"/>
        <v>1.4639017833045651E-5</v>
      </c>
      <c r="O1042" s="22">
        <f t="shared" si="363"/>
        <v>1.471355007817218E-5</v>
      </c>
      <c r="P1042" s="22">
        <f t="shared" si="363"/>
        <v>1.4798876460462532E-5</v>
      </c>
      <c r="Q1042" s="22">
        <f t="shared" si="363"/>
        <v>1.4890706011157255E-5</v>
      </c>
      <c r="R1042" s="22">
        <f t="shared" si="363"/>
        <v>1.4988675221399694E-5</v>
      </c>
      <c r="S1042" s="22">
        <f t="shared" si="363"/>
        <v>1.5078679643027028E-5</v>
      </c>
      <c r="T1042" s="22">
        <f t="shared" si="363"/>
        <v>1.5122495296339113E-5</v>
      </c>
      <c r="U1042" s="22">
        <f t="shared" si="363"/>
        <v>1.516958973789732E-5</v>
      </c>
      <c r="V1042" s="22">
        <f t="shared" si="363"/>
        <v>1.5220538890996556E-5</v>
      </c>
      <c r="W1042" s="22">
        <f t="shared" si="363"/>
        <v>1.5275902163367261E-5</v>
      </c>
      <c r="X1042" s="22">
        <f t="shared" si="363"/>
        <v>1.5334694454120534E-5</v>
      </c>
      <c r="Y1042" s="22">
        <f t="shared" si="363"/>
        <v>1.5371448915304841E-5</v>
      </c>
      <c r="Z1042" s="22">
        <f t="shared" si="363"/>
        <v>1.5411207509365297E-5</v>
      </c>
      <c r="AA1042" s="22">
        <f t="shared" ref="L1042:AW1045" si="364">AA1539</f>
        <v>1.5453736398701918E-5</v>
      </c>
      <c r="AB1042" s="22">
        <f t="shared" si="364"/>
        <v>1.5499966763922933E-5</v>
      </c>
      <c r="AC1042" s="22">
        <f t="shared" si="364"/>
        <v>1.5548833641447303E-5</v>
      </c>
      <c r="AD1042" s="22">
        <f t="shared" si="364"/>
        <v>1.5580602349578564E-5</v>
      </c>
      <c r="AE1042" s="22">
        <f t="shared" si="364"/>
        <v>1.5615591404277508E-5</v>
      </c>
      <c r="AF1042" s="22">
        <f t="shared" si="364"/>
        <v>1.5653259744642323E-5</v>
      </c>
      <c r="AG1042" s="22">
        <f t="shared" si="364"/>
        <v>1.5694012741398928E-5</v>
      </c>
      <c r="AH1042" s="22">
        <f t="shared" si="364"/>
        <v>1.5735477279761714E-5</v>
      </c>
      <c r="AI1042" s="22">
        <f t="shared" si="364"/>
        <v>1.5760021720349279E-5</v>
      </c>
      <c r="AJ1042" s="22">
        <f t="shared" si="364"/>
        <v>1.5786883711006113E-5</v>
      </c>
      <c r="AK1042" s="22">
        <f t="shared" si="364"/>
        <v>1.5815340273420816E-5</v>
      </c>
      <c r="AL1042" s="22">
        <f t="shared" si="364"/>
        <v>1.5845764593107772E-5</v>
      </c>
      <c r="AM1042" s="22">
        <f t="shared" si="364"/>
        <v>1.5877866318833775E-5</v>
      </c>
      <c r="AN1042" s="22">
        <f t="shared" si="364"/>
        <v>1.5894983838021428E-5</v>
      </c>
      <c r="AO1042" s="22">
        <f t="shared" si="364"/>
        <v>1.5913339031971955E-5</v>
      </c>
      <c r="AP1042" s="22">
        <f t="shared" si="364"/>
        <v>1.593321505910849E-5</v>
      </c>
      <c r="AQ1042" s="22">
        <f t="shared" si="364"/>
        <v>1.5954648527995344E-5</v>
      </c>
      <c r="AR1042" s="22">
        <f t="shared" si="364"/>
        <v>1.5977625288303394E-5</v>
      </c>
      <c r="AS1042" s="22">
        <f t="shared" si="364"/>
        <v>1.5985441440203981E-5</v>
      </c>
      <c r="AT1042" s="22">
        <f t="shared" si="364"/>
        <v>1.5992226212116376E-5</v>
      </c>
      <c r="AU1042" s="22">
        <f t="shared" si="364"/>
        <v>1.6000039436891757E-5</v>
      </c>
      <c r="AV1042" s="22">
        <f t="shared" si="364"/>
        <v>1.6009082551352237E-5</v>
      </c>
      <c r="AW1042" s="22">
        <f t="shared" si="364"/>
        <v>1.6019215529788255E-5</v>
      </c>
      <c r="AY1042" s="79"/>
      <c r="AZ1042" s="79"/>
    </row>
    <row r="1043" spans="1:52" x14ac:dyDescent="0.2">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1.4738364076719785E-3</v>
      </c>
      <c r="L1043" s="22">
        <f t="shared" si="364"/>
        <v>1.4776676709189833E-3</v>
      </c>
      <c r="M1043" s="22">
        <f t="shared" si="364"/>
        <v>1.4829527631761549E-3</v>
      </c>
      <c r="N1043" s="22">
        <f t="shared" si="364"/>
        <v>1.4893914013429299E-3</v>
      </c>
      <c r="O1043" s="22">
        <f t="shared" si="364"/>
        <v>1.4969744022163664E-3</v>
      </c>
      <c r="P1043" s="22">
        <f t="shared" si="364"/>
        <v>1.5056556116759296E-3</v>
      </c>
      <c r="Q1043" s="22">
        <f t="shared" si="364"/>
        <v>1.5149984613639165E-3</v>
      </c>
      <c r="R1043" s="22">
        <f t="shared" si="364"/>
        <v>1.5249659674490626E-3</v>
      </c>
      <c r="S1043" s="22">
        <f t="shared" si="364"/>
        <v>1.5341231262956069E-3</v>
      </c>
      <c r="T1043" s="22">
        <f t="shared" si="364"/>
        <v>1.5385809839218152E-3</v>
      </c>
      <c r="U1043" s="22">
        <f t="shared" si="364"/>
        <v>1.5433724294346084E-3</v>
      </c>
      <c r="V1043" s="22">
        <f t="shared" si="364"/>
        <v>1.5485560579674195E-3</v>
      </c>
      <c r="W1043" s="22">
        <f t="shared" si="364"/>
        <v>1.5541887843401544E-3</v>
      </c>
      <c r="X1043" s="22">
        <f t="shared" si="364"/>
        <v>1.5601703831954754E-3</v>
      </c>
      <c r="Y1043" s="22">
        <f t="shared" si="364"/>
        <v>1.5639098265839071E-3</v>
      </c>
      <c r="Z1043" s="22">
        <f t="shared" si="364"/>
        <v>1.5679549140889886E-3</v>
      </c>
      <c r="AA1043" s="22">
        <f t="shared" si="364"/>
        <v>1.5722818547901358E-3</v>
      </c>
      <c r="AB1043" s="22">
        <f t="shared" si="364"/>
        <v>1.5769853881300361E-3</v>
      </c>
      <c r="AC1043" s="22">
        <f t="shared" si="364"/>
        <v>1.5819571634243445E-3</v>
      </c>
      <c r="AD1043" s="22">
        <f t="shared" si="364"/>
        <v>1.5851893502596976E-3</v>
      </c>
      <c r="AE1043" s="22">
        <f t="shared" si="364"/>
        <v>1.5887491790545015E-3</v>
      </c>
      <c r="AF1043" s="22">
        <f t="shared" si="364"/>
        <v>1.5925816016174124E-3</v>
      </c>
      <c r="AG1043" s="22">
        <f t="shared" si="364"/>
        <v>1.5967278608569652E-3</v>
      </c>
      <c r="AH1043" s="22">
        <f t="shared" si="364"/>
        <v>1.6009465132011667E-3</v>
      </c>
      <c r="AI1043" s="22">
        <f t="shared" si="364"/>
        <v>1.6034436943084516E-3</v>
      </c>
      <c r="AJ1043" s="22">
        <f t="shared" si="364"/>
        <v>1.6061766657662043E-3</v>
      </c>
      <c r="AK1043" s="22">
        <f t="shared" si="364"/>
        <v>1.6090718708855374E-3</v>
      </c>
      <c r="AL1043" s="22">
        <f t="shared" si="364"/>
        <v>1.6121672780125896E-3</v>
      </c>
      <c r="AM1043" s="22">
        <f t="shared" si="364"/>
        <v>1.6154333464612968E-3</v>
      </c>
      <c r="AN1043" s="22">
        <f t="shared" si="364"/>
        <v>1.6171749035917807E-3</v>
      </c>
      <c r="AO1043" s="22">
        <f t="shared" si="364"/>
        <v>1.6190423832513916E-3</v>
      </c>
      <c r="AP1043" s="22">
        <f t="shared" si="364"/>
        <v>1.6210645943209887E-3</v>
      </c>
      <c r="AQ1043" s="22">
        <f t="shared" si="364"/>
        <v>1.6232452614002358E-3</v>
      </c>
      <c r="AR1043" s="22">
        <f t="shared" si="364"/>
        <v>1.6255829448175118E-3</v>
      </c>
      <c r="AS1043" s="22">
        <f t="shared" si="364"/>
        <v>1.6263781695767885E-3</v>
      </c>
      <c r="AT1043" s="22">
        <f t="shared" si="364"/>
        <v>1.6270684604871241E-3</v>
      </c>
      <c r="AU1043" s="22">
        <f t="shared" si="364"/>
        <v>1.6278633874371373E-3</v>
      </c>
      <c r="AV1043" s="22">
        <f t="shared" si="364"/>
        <v>1.6287834448530387E-3</v>
      </c>
      <c r="AW1043" s="22">
        <f t="shared" si="364"/>
        <v>1.6298143863495728E-3</v>
      </c>
      <c r="AY1043" s="79"/>
      <c r="AZ1043" s="79"/>
    </row>
    <row r="1044" spans="1:52" x14ac:dyDescent="0.2">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2">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2">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0.13004550543955873</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0.13010384136507713</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0.12695857121838477</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0.12428257569245395</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0.12233950618032065</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0.12056837226162823</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0.10742568641023791</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0.1091029492210569</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0.1098152981393777</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0.11028443328369632</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0.11115311990923482</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0.11180012354863146</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0.11213950095917391</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0.11234743559515332</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0.11237564219545433</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0.1130282053559263</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0.11359821524900583</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0.11441835566605747</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0.11580372782809943</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0.11742607569995514</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0.11962260335271972</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0.12080838440395283</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0.12184404408189208</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0.12314557152083414</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0.12427557755093979</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0.1255259175330139</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0.12674552603750175</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0.12838752833674963</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0.12981338825169941</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0.13123798099286382</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0.13271316927423235</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0.13425553565091783</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0.1362655431555625</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0.1368880254632967</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0.13738521125796219</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0.13789795385940914</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0.13836722215964953</v>
      </c>
      <c r="AY1046" s="79"/>
      <c r="AZ1046" s="79"/>
    </row>
    <row r="1047" spans="1:52" x14ac:dyDescent="0.2">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1.2724633182830881E-2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1.2655466337890216E-2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1.266114333794641E-2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1.2355059245839619E-2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1.1905551806853851E-2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1.1733192711380727E-2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1.0454203346699911E-2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1.0617427311806347E-2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1.0686750028698176E-2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1.0732404232638389E-2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1.0816941059270873E-2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1.087990465613799E-2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1.0912931398434408E-2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1.0933166698202938E-2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1.0935911642593046E-2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1.0999416268014638E-2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1.1054887166372485E-2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1.1134699685884465E-2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1.1269518115040561E-2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1.1427397995711722E-2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1.1641154570195772E-2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1.1756549655379731E-2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1.1857335577564188E-2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1.1983994600770704E-2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1.209396190204173E-2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1.2215639583254724E-2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1.2334326609936505E-2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1.2494119174505589E-2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1.2632877696725955E-2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1.2771512903072156E-2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1.2915071848641296E-2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1.3065168276002324E-2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1.3260773516090847E-2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1.3321350802978501E-2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1.3369734774933539E-2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1.3419632668064721E-2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1.3465299830163544E-2</v>
      </c>
      <c r="AY1047" s="79"/>
      <c r="AZ1047" s="79"/>
    </row>
    <row r="1048" spans="1:52" x14ac:dyDescent="0.2">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6.4453339767617107E-2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6.5763803942104557E-2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6.9415657765503513E-2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7.0122113289878343E-2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7.1969839340941838E-2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6.9091020117855437E-2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7.0923520025616846E-2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7.2452558917721649E-2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7.3914725789307509E-2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7.5540335927502686E-2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7.710742274610026E-2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7.8514475152186416E-2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7.9886368180485237E-2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8.1201368710931643E-2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8.2782551319957556E-2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8.4352893309328145E-2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8.5998825916539595E-2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8.791554994164491E-2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8.9973918009766785E-2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9.2332462068458354E-2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9.4282044413809288E-2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9.6147404966029248E-2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9.8173701325843382E-2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0.1001572245577764</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0.10223848995104871</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0.10434595485218236</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0.10666367827206967</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0.10891945161625204</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0.11122270700738313</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0.11360290610560657</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0.11607217368997393</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0.11880939144121157</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0.12081746755875615</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0.12279062605907758</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0.12480975001742217</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0.1268408444448812</v>
      </c>
      <c r="AY1048" s="79"/>
      <c r="AZ1048" s="79"/>
    </row>
    <row r="1049" spans="1:52" x14ac:dyDescent="0.2">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0.31034319165291718</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0.31442985679016988</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0.32099421325528477</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0.31577785743754239</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0.31441607582114922</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0.26879192155029241</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0.28063901740950847</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0.28880309945041127</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0.29604855006817871</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0.30496938447162802</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0.31306661968905752</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0.32021357019479407</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0.32685390014438859</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0.33276450713212152</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0.34142456701129209</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0.34982483105719137</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0.35965297279223607</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0.37217634319205956</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0.3859945703932357</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0.40272226665089866</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0.41501766533472662</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0.42700130219026528</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0.44046546100421546</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0.45333055520989524</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0.46701619271583805</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0.48079646315959662</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0.49715144699339536</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0.51271284356388047</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0.52856616956956437</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0.54499431888614669</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0.56210625186052299</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0.58227066272581418</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0.59525693388734258</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0.60778527419801665</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0.62062894178535877</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0.63346374044156473</v>
      </c>
      <c r="AY1049" s="79"/>
      <c r="AZ1049" s="79"/>
    </row>
    <row r="1050" spans="1:52" x14ac:dyDescent="0.2">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8.9709854381943815E-2</v>
      </c>
      <c r="M1050" s="22">
        <f t="shared" si="365"/>
        <v>9.0417475033143083E-2</v>
      </c>
      <c r="N1050" s="22">
        <f t="shared" si="365"/>
        <v>9.0872196678668984E-2</v>
      </c>
      <c r="O1050" s="22">
        <f t="shared" si="365"/>
        <v>9.1174361291842948E-2</v>
      </c>
      <c r="P1050" s="22">
        <f t="shared" si="365"/>
        <v>9.1320994898161728E-2</v>
      </c>
      <c r="Q1050" s="22">
        <f t="shared" si="365"/>
        <v>9.1644963105957017E-2</v>
      </c>
      <c r="R1050" s="22">
        <f t="shared" si="365"/>
        <v>9.2016609055475651E-2</v>
      </c>
      <c r="S1050" s="22">
        <f t="shared" si="365"/>
        <v>8.9497634351969751E-2</v>
      </c>
      <c r="T1050" s="22">
        <f t="shared" si="365"/>
        <v>9.0526156863539653E-2</v>
      </c>
      <c r="U1050" s="22">
        <f t="shared" si="365"/>
        <v>9.133211275409571E-2</v>
      </c>
      <c r="V1050" s="22">
        <f t="shared" si="365"/>
        <v>9.2095667401537948E-2</v>
      </c>
      <c r="W1050" s="22">
        <f t="shared" si="365"/>
        <v>9.2988337377843094E-2</v>
      </c>
      <c r="X1050" s="22">
        <f t="shared" si="365"/>
        <v>9.3843223396191833E-2</v>
      </c>
      <c r="Y1050" s="22">
        <f t="shared" si="365"/>
        <v>9.4560210431129388E-2</v>
      </c>
      <c r="Z1050" s="22">
        <f t="shared" si="365"/>
        <v>9.5257283424355771E-2</v>
      </c>
      <c r="AA1050" s="22">
        <f t="shared" si="365"/>
        <v>9.5918466483612935E-2</v>
      </c>
      <c r="AB1050" s="22">
        <f t="shared" si="365"/>
        <v>9.6778548113850782E-2</v>
      </c>
      <c r="AC1050" s="22">
        <f t="shared" si="365"/>
        <v>9.7634207071548518E-2</v>
      </c>
      <c r="AD1050" s="22">
        <f t="shared" si="365"/>
        <v>9.8526906814348045E-2</v>
      </c>
      <c r="AE1050" s="22">
        <f t="shared" si="365"/>
        <v>9.9615980454525591E-2</v>
      </c>
      <c r="AF1050" s="22">
        <f t="shared" si="365"/>
        <v>0.1008065868820634</v>
      </c>
      <c r="AG1050" s="22">
        <f t="shared" si="365"/>
        <v>0.10221006700957981</v>
      </c>
      <c r="AH1050" s="22">
        <f t="shared" si="365"/>
        <v>0.10332162680247739</v>
      </c>
      <c r="AI1050" s="22">
        <f t="shared" si="365"/>
        <v>0.10435425380397972</v>
      </c>
      <c r="AJ1050" s="22">
        <f t="shared" si="365"/>
        <v>0.10550009187328319</v>
      </c>
      <c r="AK1050" s="22">
        <f t="shared" si="365"/>
        <v>0.10661516318950658</v>
      </c>
      <c r="AL1050" s="22">
        <f t="shared" si="365"/>
        <v>0.10779775034487957</v>
      </c>
      <c r="AM1050" s="22">
        <f t="shared" si="365"/>
        <v>0.10899733735251546</v>
      </c>
      <c r="AN1050" s="22">
        <f t="shared" si="365"/>
        <v>0.11032305770963274</v>
      </c>
      <c r="AO1050" s="22">
        <f t="shared" si="365"/>
        <v>0.1116034974988518</v>
      </c>
      <c r="AP1050" s="22">
        <f t="shared" si="365"/>
        <v>0.11291437639210956</v>
      </c>
      <c r="AQ1050" s="22">
        <f t="shared" si="365"/>
        <v>0.11427557081956052</v>
      </c>
      <c r="AR1050" s="22">
        <f t="shared" si="365"/>
        <v>0.11569486271533871</v>
      </c>
      <c r="AS1050" s="22">
        <f t="shared" si="365"/>
        <v>0.11727523367677491</v>
      </c>
      <c r="AT1050" s="22">
        <f t="shared" si="365"/>
        <v>0.11835610910450192</v>
      </c>
      <c r="AU1050" s="22">
        <f t="shared" si="365"/>
        <v>0.11941212579472428</v>
      </c>
      <c r="AV1050" s="22">
        <f t="shared" si="365"/>
        <v>0.120498066178682</v>
      </c>
      <c r="AW1050" s="22">
        <f t="shared" si="365"/>
        <v>0.12159075101335114</v>
      </c>
      <c r="AY1050" s="79"/>
      <c r="AZ1050" s="79"/>
    </row>
    <row r="1051" spans="1:52" x14ac:dyDescent="0.2">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2.7090100081973278E-2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2.7786681470952927E-2</v>
      </c>
      <c r="S1051" s="22">
        <f t="shared" si="366"/>
        <v>2.7026015016948877E-2</v>
      </c>
      <c r="T1051" s="22">
        <f t="shared" si="366"/>
        <v>2.7336602721799708E-2</v>
      </c>
      <c r="U1051" s="22">
        <f t="shared" si="366"/>
        <v>2.7579980953625429E-2</v>
      </c>
      <c r="V1051" s="22">
        <f t="shared" si="366"/>
        <v>2.7810555085751417E-2</v>
      </c>
      <c r="W1051" s="22">
        <f t="shared" si="366"/>
        <v>2.8080118771534705E-2</v>
      </c>
      <c r="X1051" s="22">
        <f t="shared" si="366"/>
        <v>2.8338272660595177E-2</v>
      </c>
      <c r="Y1051" s="22">
        <f t="shared" si="366"/>
        <v>2.8554784555166308E-2</v>
      </c>
      <c r="Z1051" s="22">
        <f t="shared" si="366"/>
        <v>2.8765282914360448E-2</v>
      </c>
      <c r="AA1051" s="22">
        <f t="shared" si="366"/>
        <v>2.8964943424024437E-2</v>
      </c>
      <c r="AB1051" s="22">
        <f t="shared" si="366"/>
        <v>2.9224666256062608E-2</v>
      </c>
      <c r="AC1051" s="22">
        <f t="shared" si="366"/>
        <v>2.9483053553196983E-2</v>
      </c>
      <c r="AD1051" s="22">
        <f t="shared" si="366"/>
        <v>2.9752626227706403E-2</v>
      </c>
      <c r="AE1051" s="22">
        <f t="shared" si="366"/>
        <v>3.0081498837213019E-2</v>
      </c>
      <c r="AF1051" s="22">
        <f t="shared" si="366"/>
        <v>3.0441031772612943E-2</v>
      </c>
      <c r="AG1051" s="22">
        <f t="shared" si="366"/>
        <v>3.0864847164795019E-2</v>
      </c>
      <c r="AH1051" s="22">
        <f t="shared" si="366"/>
        <v>3.1200510021948794E-2</v>
      </c>
      <c r="AI1051" s="22">
        <f t="shared" si="366"/>
        <v>3.1512337178628218E-2</v>
      </c>
      <c r="AJ1051" s="22">
        <f t="shared" si="366"/>
        <v>3.1858351205615788E-2</v>
      </c>
      <c r="AK1051" s="22">
        <f t="shared" si="366"/>
        <v>3.2195074453726519E-2</v>
      </c>
      <c r="AL1051" s="22">
        <f t="shared" si="366"/>
        <v>3.2552185772381829E-2</v>
      </c>
      <c r="AM1051" s="22">
        <f t="shared" si="366"/>
        <v>3.2914430615133806E-2</v>
      </c>
      <c r="AN1051" s="22">
        <f t="shared" si="366"/>
        <v>3.331476452942278E-2</v>
      </c>
      <c r="AO1051" s="22">
        <f t="shared" si="366"/>
        <v>3.370142486097568E-2</v>
      </c>
      <c r="AP1051" s="22">
        <f t="shared" si="366"/>
        <v>3.4097277029707398E-2</v>
      </c>
      <c r="AQ1051" s="22">
        <f t="shared" si="366"/>
        <v>3.4508323213259036E-2</v>
      </c>
      <c r="AR1051" s="22">
        <f t="shared" si="366"/>
        <v>3.4936913358311179E-2</v>
      </c>
      <c r="AS1051" s="22">
        <f t="shared" si="366"/>
        <v>3.5414145294611905E-2</v>
      </c>
      <c r="AT1051" s="22">
        <f t="shared" si="366"/>
        <v>3.5740542251947324E-2</v>
      </c>
      <c r="AU1051" s="22">
        <f t="shared" si="366"/>
        <v>3.6059432501223176E-2</v>
      </c>
      <c r="AV1051" s="22">
        <f t="shared" si="366"/>
        <v>3.638735894684221E-2</v>
      </c>
      <c r="AW1051" s="22">
        <f t="shared" si="366"/>
        <v>3.6717322045469181E-2</v>
      </c>
      <c r="AY1051" s="79"/>
      <c r="AZ1051" s="79"/>
    </row>
    <row r="1052" spans="1:52" x14ac:dyDescent="0.2">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1.4564639612104711E-3</v>
      </c>
      <c r="M1052" s="22">
        <f t="shared" si="367"/>
        <v>1.4679523755410987E-3</v>
      </c>
      <c r="N1052" s="22">
        <f t="shared" si="367"/>
        <v>1.4753349055168039E-3</v>
      </c>
      <c r="O1052" s="22">
        <f t="shared" si="367"/>
        <v>1.4802406304505133E-3</v>
      </c>
      <c r="P1052" s="22">
        <f t="shared" si="367"/>
        <v>1.4826212670547858E-3</v>
      </c>
      <c r="Q1052" s="22">
        <f t="shared" si="367"/>
        <v>1.4878809792957942E-3</v>
      </c>
      <c r="R1052" s="22">
        <f t="shared" si="367"/>
        <v>1.4939147526814823E-3</v>
      </c>
      <c r="S1052" s="22">
        <f t="shared" si="367"/>
        <v>1.4530185111243717E-3</v>
      </c>
      <c r="T1052" s="22">
        <f t="shared" si="367"/>
        <v>1.4697168547089842E-3</v>
      </c>
      <c r="U1052" s="22">
        <f t="shared" si="367"/>
        <v>1.4828017684791316E-3</v>
      </c>
      <c r="V1052" s="22">
        <f t="shared" si="367"/>
        <v>1.4951982864990986E-3</v>
      </c>
      <c r="W1052" s="22">
        <f t="shared" si="367"/>
        <v>1.5096910271093734E-3</v>
      </c>
      <c r="X1052" s="22">
        <f t="shared" si="367"/>
        <v>1.5235703348537217E-3</v>
      </c>
      <c r="Y1052" s="22">
        <f t="shared" si="367"/>
        <v>1.5352108149797475E-3</v>
      </c>
      <c r="Z1052" s="22">
        <f t="shared" si="367"/>
        <v>1.5465279852054938E-3</v>
      </c>
      <c r="AA1052" s="22">
        <f t="shared" si="367"/>
        <v>1.5572624725614869E-3</v>
      </c>
      <c r="AB1052" s="22">
        <f t="shared" si="367"/>
        <v>1.5712261324823602E-3</v>
      </c>
      <c r="AC1052" s="22">
        <f t="shared" si="367"/>
        <v>1.5851179891079189E-3</v>
      </c>
      <c r="AD1052" s="22">
        <f t="shared" si="367"/>
        <v>1.5996112129853511E-3</v>
      </c>
      <c r="AE1052" s="22">
        <f t="shared" si="367"/>
        <v>1.6172926206629243E-3</v>
      </c>
      <c r="AF1052" s="22">
        <f t="shared" si="367"/>
        <v>1.636622440844233E-3</v>
      </c>
      <c r="AG1052" s="22">
        <f t="shared" si="367"/>
        <v>1.6594083236225038E-3</v>
      </c>
      <c r="AH1052" s="22">
        <f t="shared" si="367"/>
        <v>1.6774548001243291E-3</v>
      </c>
      <c r="AI1052" s="22">
        <f t="shared" si="367"/>
        <v>1.6942197812228126E-3</v>
      </c>
      <c r="AJ1052" s="22">
        <f t="shared" si="367"/>
        <v>1.7128227748941451E-3</v>
      </c>
      <c r="AK1052" s="22">
        <f t="shared" si="367"/>
        <v>1.7309262619352049E-3</v>
      </c>
      <c r="AL1052" s="22">
        <f t="shared" si="367"/>
        <v>1.7501258870450394E-3</v>
      </c>
      <c r="AM1052" s="22">
        <f t="shared" si="367"/>
        <v>1.7696015093943904E-3</v>
      </c>
      <c r="AN1052" s="22">
        <f t="shared" si="367"/>
        <v>1.7911249410852239E-3</v>
      </c>
      <c r="AO1052" s="22">
        <f t="shared" si="367"/>
        <v>1.8119132304024437E-3</v>
      </c>
      <c r="AP1052" s="22">
        <f t="shared" si="367"/>
        <v>1.8331957068783579E-3</v>
      </c>
      <c r="AQ1052" s="22">
        <f t="shared" si="367"/>
        <v>1.8552950697793623E-3</v>
      </c>
      <c r="AR1052" s="22">
        <f t="shared" si="367"/>
        <v>1.8783376609292489E-3</v>
      </c>
      <c r="AS1052" s="22">
        <f t="shared" si="367"/>
        <v>1.9039954146569001E-3</v>
      </c>
      <c r="AT1052" s="22">
        <f t="shared" si="367"/>
        <v>1.9215437221186409E-3</v>
      </c>
      <c r="AU1052" s="22">
        <f t="shared" si="367"/>
        <v>1.938688441194845E-3</v>
      </c>
      <c r="AV1052" s="22">
        <f t="shared" si="367"/>
        <v>1.9563189796028518E-3</v>
      </c>
      <c r="AW1052" s="22">
        <f t="shared" si="367"/>
        <v>1.9740590160082297E-3</v>
      </c>
      <c r="AY1052" s="79"/>
      <c r="AZ1052" s="79"/>
    </row>
    <row r="1053" spans="1:52" x14ac:dyDescent="0.2">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3.030301439269115E-2</v>
      </c>
      <c r="L1053" s="94">
        <f>IF('Net zero activities &amp; levers'!$C$12="Off",Constants!$H66*'Activity data'!AE8*Constants!$H84*FracLEACHMM*MMLeachEF*NtoN2O*kgtoGg,Constants!$H66*'Net zero Activity data'!AE8*Constants!$H84*FracLEACHMM*MMLeachEF*NtoN2O*kgtoGg)</f>
        <v>3.0040206026371367E-2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2.896001473012887E-2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2.4017837723924858E-2</v>
      </c>
      <c r="T1053" s="94">
        <f>IF('Net zero activities &amp; levers'!$C$12="Off",Constants!$H66*'Activity data'!AM8*Constants!$H84*FracLEACHMM*MMLeachEF*NtoN2O*kgtoGg,Constants!$H66*'Net zero Activity data'!AM8*Constants!$H84*FracLEACHMM*MMLeachEF*NtoN2O*kgtoGg)</f>
        <v>2.4477250922769193E-2</v>
      </c>
      <c r="U1053" s="94">
        <f>IF('Net zero activities &amp; levers'!$C$12="Off",Constants!$H66*'Activity data'!AN8*Constants!$H84*FracLEACHMM*MMLeachEF*NtoN2O*kgtoGg,Constants!$H66*'Net zero Activity data'!AN8*Constants!$H84*FracLEACHMM*MMLeachEF*NtoN2O*kgtoGg)</f>
        <v>2.4722881599244746E-2</v>
      </c>
      <c r="V1053" s="94">
        <f>IF('Net zero activities &amp; levers'!$C$12="Off",Constants!$H66*'Activity data'!AO8*Constants!$H84*FracLEACHMM*MMLeachEF*NtoN2O*kgtoGg,Constants!$H66*'Net zero Activity data'!AO8*Constants!$H84*FracLEACHMM*MMLeachEF*NtoN2O*kgtoGg)</f>
        <v>2.4911965822405392E-2</v>
      </c>
      <c r="W1053" s="94">
        <f>IF('Net zero activities &amp; levers'!$C$12="Off",Constants!$H66*'Activity data'!AP8*Constants!$H84*FracLEACHMM*MMLeachEF*NtoN2O*kgtoGg,Constants!$H66*'Net zero Activity data'!AP8*Constants!$H84*FracLEACHMM*MMLeachEF*NtoN2O*kgtoGg)</f>
        <v>2.5185541319014813E-2</v>
      </c>
      <c r="X1053" s="94">
        <f>IF('Net zero activities &amp; levers'!$C$12="Off",Constants!$H66*'Activity data'!AQ8*Constants!$H84*FracLEACHMM*MMLeachEF*NtoN2O*kgtoGg,Constants!$H66*'Net zero Activity data'!AQ8*Constants!$H84*FracLEACHMM*MMLeachEF*NtoN2O*kgtoGg)</f>
        <v>2.5407562443653844E-2</v>
      </c>
      <c r="Y1053" s="94">
        <f>IF('Net zero activities &amp; levers'!$C$12="Off",Constants!$H66*'Activity data'!AR8*Constants!$H84*FracLEACHMM*MMLeachEF*NtoN2O*kgtoGg,Constants!$H66*'Net zero Activity data'!AR8*Constants!$H84*FracLEACHMM*MMLeachEF*NtoN2O*kgtoGg)</f>
        <v>2.5550689603830473E-2</v>
      </c>
      <c r="Z1053" s="94">
        <f>IF('Net zero activities &amp; levers'!$C$12="Off",Constants!$H66*'Activity data'!AS8*Constants!$H84*FracLEACHMM*MMLeachEF*NtoN2O*kgtoGg,Constants!$H66*'Net zero Activity data'!AS8*Constants!$H84*FracLEACHMM*MMLeachEF*NtoN2O*kgtoGg)</f>
        <v>2.5662103388614917E-2</v>
      </c>
      <c r="AA1053" s="94">
        <f>IF('Net zero activities &amp; levers'!$C$12="Off",Constants!$H66*'Activity data'!AT8*Constants!$H84*FracLEACHMM*MMLeachEF*NtoN2O*kgtoGg,Constants!$H66*'Net zero Activity data'!AT8*Constants!$H84*FracLEACHMM*MMLeachEF*NtoN2O*kgtoGg)</f>
        <v>2.5731155592918373E-2</v>
      </c>
      <c r="AB1053" s="94">
        <f>IF('Net zero activities &amp; levers'!$C$12="Off",Constants!$H66*'Activity data'!AU8*Constants!$H84*FracLEACHMM*MMLeachEF*NtoN2O*kgtoGg,Constants!$H66*'Net zero Activity data'!AU8*Constants!$H84*FracLEACHMM*MMLeachEF*NtoN2O*kgtoGg)</f>
        <v>2.593557725784186E-2</v>
      </c>
      <c r="AC1053" s="94">
        <f>IF('Net zero activities &amp; levers'!$C$12="Off",Constants!$H66*'Activity data'!AV8*Constants!$H84*FracLEACHMM*MMLeachEF*NtoN2O*kgtoGg,Constants!$H66*'Net zero Activity data'!AV8*Constants!$H84*FracLEACHMM*MMLeachEF*NtoN2O*kgtoGg)</f>
        <v>2.611950739638573E-2</v>
      </c>
      <c r="AD1053" s="94">
        <f>IF('Net zero activities &amp; levers'!$C$12="Off",Constants!$H66*'Activity data'!AW8*Constants!$H84*FracLEACHMM*MMLeachEF*NtoN2O*kgtoGg,Constants!$H66*'Net zero Activity data'!AW8*Constants!$H84*FracLEACHMM*MMLeachEF*NtoN2O*kgtoGg)</f>
        <v>2.6128993823789925E-2</v>
      </c>
      <c r="AE1053" s="94">
        <f>IF('Net zero activities &amp; levers'!$C$12="Off",Constants!$H66*'Activity data'!AX8*Constants!$H84*FracLEACHMM*MMLeachEF*NtoN2O*kgtoGg,Constants!$H66*'Net zero Activity data'!AX8*Constants!$H84*FracLEACHMM*MMLeachEF*NtoN2O*kgtoGg)</f>
        <v>2.6252210081774377E-2</v>
      </c>
      <c r="AF1053" s="94">
        <f>IF('Net zero activities &amp; levers'!$C$12="Off",Constants!$H66*'Activity data'!AY8*Constants!$H84*FracLEACHMM*MMLeachEF*NtoN2O*kgtoGg,Constants!$H66*'Net zero Activity data'!AY8*Constants!$H84*FracLEACHMM*MMLeachEF*NtoN2O*kgtoGg)</f>
        <v>2.641514740098018E-2</v>
      </c>
      <c r="AG1053" s="94">
        <f>IF('Net zero activities &amp; levers'!$C$12="Off",Constants!$H66*'Activity data'!AZ8*Constants!$H84*FracLEACHMM*MMLeachEF*NtoN2O*kgtoGg,Constants!$H66*'Net zero Activity data'!AZ8*Constants!$H84*FracLEACHMM*MMLeachEF*NtoN2O*kgtoGg)</f>
        <v>2.6688702803580544E-2</v>
      </c>
      <c r="AH1053" s="94">
        <f>IF('Net zero activities &amp; levers'!$C$12="Off",Constants!$H66*'Activity data'!BA8*Constants!$H84*FracLEACHMM*MMLeachEF*NtoN2O*kgtoGg,Constants!$H66*'Net zero Activity data'!BA8*Constants!$H84*FracLEACHMM*MMLeachEF*NtoN2O*kgtoGg)</f>
        <v>2.6732393968630815E-2</v>
      </c>
      <c r="AI1053" s="94">
        <f>IF('Net zero activities &amp; levers'!$C$12="Off",Constants!$H66*'Activity data'!BB8*Constants!$H84*FracLEACHMM*MMLeachEF*NtoN2O*kgtoGg,Constants!$H66*'Net zero Activity data'!BB8*Constants!$H84*FracLEACHMM*MMLeachEF*NtoN2O*kgtoGg)</f>
        <v>2.6727807661606592E-2</v>
      </c>
      <c r="AJ1053" s="94">
        <f>IF('Net zero activities &amp; levers'!$C$12="Off",Constants!$H66*'Activity data'!BC8*Constants!$H84*FracLEACHMM*MMLeachEF*NtoN2O*kgtoGg,Constants!$H66*'Net zero Activity data'!BC8*Constants!$H84*FracLEACHMM*MMLeachEF*NtoN2O*kgtoGg)</f>
        <v>2.6767943392537564E-2</v>
      </c>
      <c r="AK1053" s="94">
        <f>IF('Net zero activities &amp; levers'!$C$12="Off",Constants!$H66*'Activity data'!BD8*Constants!$H84*FracLEACHMM*MMLeachEF*NtoN2O*kgtoGg,Constants!$H66*'Net zero Activity data'!BD8*Constants!$H84*FracLEACHMM*MMLeachEF*NtoN2O*kgtoGg)</f>
        <v>2.6760535459775924E-2</v>
      </c>
      <c r="AL1053" s="94">
        <f>IF('Net zero activities &amp; levers'!$C$12="Off",Constants!$H66*'Activity data'!BE8*Constants!$H84*FracLEACHMM*MMLeachEF*NtoN2O*kgtoGg,Constants!$H66*'Net zero Activity data'!BE8*Constants!$H84*FracLEACHMM*MMLeachEF*NtoN2O*kgtoGg)</f>
        <v>2.6766203431131164E-2</v>
      </c>
      <c r="AM1053" s="94">
        <f>IF('Net zero activities &amp; levers'!$C$12="Off",Constants!$H66*'Activity data'!BF8*Constants!$H84*FracLEACHMM*MMLeachEF*NtoN2O*kgtoGg,Constants!$H66*'Net zero Activity data'!BF8*Constants!$H84*FracLEACHMM*MMLeachEF*NtoN2O*kgtoGg)</f>
        <v>2.675334011268881E-2</v>
      </c>
      <c r="AN1053" s="94">
        <f>IF('Net zero activities &amp; levers'!$C$12="Off",Constants!$H66*'Activity data'!BG8*Constants!$H84*FracLEACHMM*MMLeachEF*NtoN2O*kgtoGg,Constants!$H66*'Net zero Activity data'!BG8*Constants!$H84*FracLEACHMM*MMLeachEF*NtoN2O*kgtoGg)</f>
        <v>2.694535805594156E-2</v>
      </c>
      <c r="AO1053" s="94">
        <f>IF('Net zero activities &amp; levers'!$C$12="Off",Constants!$H66*'Activity data'!BH8*Constants!$H84*FracLEACHMM*MMLeachEF*NtoN2O*kgtoGg,Constants!$H66*'Net zero Activity data'!BH8*Constants!$H84*FracLEACHMM*MMLeachEF*NtoN2O*kgtoGg)</f>
        <v>2.7085830082425877E-2</v>
      </c>
      <c r="AP1053" s="94">
        <f>IF('Net zero activities &amp; levers'!$C$12="Off",Constants!$H66*'Activity data'!BI8*Constants!$H84*FracLEACHMM*MMLeachEF*NtoN2O*kgtoGg,Constants!$H66*'Net zero Activity data'!BI8*Constants!$H84*FracLEACHMM*MMLeachEF*NtoN2O*kgtoGg)</f>
        <v>2.7218197229606188E-2</v>
      </c>
      <c r="AQ1053" s="94">
        <f>IF('Net zero activities &amp; levers'!$C$12="Off",Constants!$H66*'Activity data'!BJ8*Constants!$H84*FracLEACHMM*MMLeachEF*NtoN2O*kgtoGg,Constants!$H66*'Net zero Activity data'!BJ8*Constants!$H84*FracLEACHMM*MMLeachEF*NtoN2O*kgtoGg)</f>
        <v>2.7352587206499832E-2</v>
      </c>
      <c r="AR1053" s="94">
        <f>IF('Net zero activities &amp; levers'!$C$12="Off",Constants!$H66*'Activity data'!BK8*Constants!$H84*FracLEACHMM*MMLeachEF*NtoN2O*kgtoGg,Constants!$H66*'Net zero Activity data'!BK8*Constants!$H84*FracLEACHMM*MMLeachEF*NtoN2O*kgtoGg)</f>
        <v>2.7491914385096024E-2</v>
      </c>
      <c r="AS1053" s="94">
        <f>IF('Net zero activities &amp; levers'!$C$12="Off",Constants!$H66*'Activity data'!BL8*Constants!$H84*FracLEACHMM*MMLeachEF*NtoN2O*kgtoGg,Constants!$H66*'Net zero Activity data'!BL8*Constants!$H84*FracLEACHMM*MMLeachEF*NtoN2O*kgtoGg)</f>
        <v>2.7710256058660829E-2</v>
      </c>
      <c r="AT1053" s="94">
        <f>IF('Net zero activities &amp; levers'!$C$12="Off",Constants!$H66*'Activity data'!BM8*Constants!$H84*FracLEACHMM*MMLeachEF*NtoN2O*kgtoGg,Constants!$H66*'Net zero Activity data'!BM8*Constants!$H84*FracLEACHMM*MMLeachEF*NtoN2O*kgtoGg)</f>
        <v>2.7648758084134469E-2</v>
      </c>
      <c r="AU1053" s="94">
        <f>IF('Net zero activities &amp; levers'!$C$12="Off",Constants!$H66*'Activity data'!BN8*Constants!$H84*FracLEACHMM*MMLeachEF*NtoN2O*kgtoGg,Constants!$H66*'Net zero Activity data'!BN8*Constants!$H84*FracLEACHMM*MMLeachEF*NtoN2O*kgtoGg)</f>
        <v>2.7556553714589756E-2</v>
      </c>
      <c r="AV1053" s="94">
        <f>IF('Net zero activities &amp; levers'!$C$12="Off",Constants!$H66*'Activity data'!BO8*Constants!$H84*FracLEACHMM*MMLeachEF*NtoN2O*kgtoGg,Constants!$H66*'Net zero Activity data'!BO8*Constants!$H84*FracLEACHMM*MMLeachEF*NtoN2O*kgtoGg)</f>
        <v>2.7461054996500443E-2</v>
      </c>
      <c r="AW1053" s="94">
        <f>IF('Net zero activities &amp; levers'!$C$12="Off",Constants!$H66*'Activity data'!BP8*Constants!$H84*FracLEACHMM*MMLeachEF*NtoN2O*kgtoGg,Constants!$H66*'Net zero Activity data'!BP8*Constants!$H84*FracLEACHMM*MMLeachEF*NtoN2O*kgtoGg)</f>
        <v>2.7350835179335974E-2</v>
      </c>
      <c r="AY1053" s="79"/>
      <c r="AZ1053" s="79"/>
    </row>
    <row r="1054" spans="1:52" x14ac:dyDescent="0.2">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4.0226293185258936E-2</v>
      </c>
      <c r="L1054" s="94">
        <f>IF('Net zero activities &amp; levers'!$C$12="Off",Constants!$H67*'Activity data'!AE9*Constants!$H85*FracLEACHMM*MMLeachEF*NtoN2O*kgtoGg,Constants!$H67*'Net zero Activity data'!AE9*Constants!$H85*FracLEACHMM*MMLeachEF*NtoN2O*kgtoGg)</f>
        <v>3.9877423391049029E-2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3.1882919944479234E-2</v>
      </c>
      <c r="T1054" s="94">
        <f>IF('Net zero activities &amp; levers'!$C$12="Off",Constants!$H67*'Activity data'!AM9*Constants!$H85*FracLEACHMM*MMLeachEF*NtoN2O*kgtoGg,Constants!$H67*'Net zero Activity data'!AM9*Constants!$H85*FracLEACHMM*MMLeachEF*NtoN2O*kgtoGg)</f>
        <v>3.2492776435665373E-2</v>
      </c>
      <c r="U1054" s="94">
        <f>IF('Net zero activities &amp; levers'!$C$12="Off",Constants!$H67*'Activity data'!AN9*Constants!$H85*FracLEACHMM*MMLeachEF*NtoN2O*kgtoGg,Constants!$H67*'Net zero Activity data'!AN9*Constants!$H85*FracLEACHMM*MMLeachEF*NtoN2O*kgtoGg)</f>
        <v>3.2818843389901528E-2</v>
      </c>
      <c r="V1054" s="94">
        <f>IF('Net zero activities &amp; levers'!$C$12="Off",Constants!$H67*'Activity data'!AO9*Constants!$H85*FracLEACHMM*MMLeachEF*NtoN2O*kgtoGg,Constants!$H67*'Net zero Activity data'!AO9*Constants!$H85*FracLEACHMM*MMLeachEF*NtoN2O*kgtoGg)</f>
        <v>3.3069846715808329E-2</v>
      </c>
      <c r="W1054" s="94">
        <f>IF('Net zero activities &amp; levers'!$C$12="Off",Constants!$H67*'Activity data'!AP9*Constants!$H85*FracLEACHMM*MMLeachEF*NtoN2O*kgtoGg,Constants!$H67*'Net zero Activity data'!AP9*Constants!$H85*FracLEACHMM*MMLeachEF*NtoN2O*kgtoGg)</f>
        <v>3.3433009534935908E-2</v>
      </c>
      <c r="X1054" s="94">
        <f>IF('Net zero activities &amp; levers'!$C$12="Off",Constants!$H67*'Activity data'!AQ9*Constants!$H85*FracLEACHMM*MMLeachEF*NtoN2O*kgtoGg,Constants!$H67*'Net zero Activity data'!AQ9*Constants!$H85*FracLEACHMM*MMLeachEF*NtoN2O*kgtoGg)</f>
        <v>3.372773555582987E-2</v>
      </c>
      <c r="Y1054" s="94">
        <f>IF('Net zero activities &amp; levers'!$C$12="Off",Constants!$H67*'Activity data'!AR9*Constants!$H85*FracLEACHMM*MMLeachEF*NtoN2O*kgtoGg,Constants!$H67*'Net zero Activity data'!AR9*Constants!$H85*FracLEACHMM*MMLeachEF*NtoN2O*kgtoGg)</f>
        <v>3.3917732334151289E-2</v>
      </c>
      <c r="Z1054" s="94">
        <f>IF('Net zero activities &amp; levers'!$C$12="Off",Constants!$H67*'Activity data'!AS9*Constants!$H85*FracLEACHMM*MMLeachEF*NtoN2O*kgtoGg,Constants!$H67*'Net zero Activity data'!AS9*Constants!$H85*FracLEACHMM*MMLeachEF*NtoN2O*kgtoGg)</f>
        <v>3.4065630609667365E-2</v>
      </c>
      <c r="AA1054" s="94">
        <f>IF('Net zero activities &amp; levers'!$C$12="Off",Constants!$H67*'Activity data'!AT9*Constants!$H85*FracLEACHMM*MMLeachEF*NtoN2O*kgtoGg,Constants!$H67*'Net zero Activity data'!AT9*Constants!$H85*FracLEACHMM*MMLeachEF*NtoN2O*kgtoGg)</f>
        <v>3.4157295226903257E-2</v>
      </c>
      <c r="AB1054" s="94">
        <f>IF('Net zero activities &amp; levers'!$C$12="Off",Constants!$H67*'Activity data'!AU9*Constants!$H85*FracLEACHMM*MMLeachEF*NtoN2O*kgtoGg,Constants!$H67*'Net zero Activity data'!AU9*Constants!$H85*FracLEACHMM*MMLeachEF*NtoN2O*kgtoGg)</f>
        <v>3.4428658521658995E-2</v>
      </c>
      <c r="AC1054" s="94">
        <f>IF('Net zero activities &amp; levers'!$C$12="Off",Constants!$H67*'Activity data'!AV9*Constants!$H85*FracLEACHMM*MMLeachEF*NtoN2O*kgtoGg,Constants!$H67*'Net zero Activity data'!AV9*Constants!$H85*FracLEACHMM*MMLeachEF*NtoN2O*kgtoGg)</f>
        <v>3.4672819963249946E-2</v>
      </c>
      <c r="AD1054" s="94">
        <f>IF('Net zero activities &amp; levers'!$C$12="Off",Constants!$H67*'Activity data'!AW9*Constants!$H85*FracLEACHMM*MMLeachEF*NtoN2O*kgtoGg,Constants!$H67*'Net zero Activity data'!AW9*Constants!$H85*FracLEACHMM*MMLeachEF*NtoN2O*kgtoGg)</f>
        <v>3.4685412895593133E-2</v>
      </c>
      <c r="AE1054" s="94">
        <f>IF('Net zero activities &amp; levers'!$C$12="Off",Constants!$H67*'Activity data'!AX9*Constants!$H85*FracLEACHMM*MMLeachEF*NtoN2O*kgtoGg,Constants!$H67*'Net zero Activity data'!AX9*Constants!$H85*FracLEACHMM*MMLeachEF*NtoN2O*kgtoGg)</f>
        <v>3.4848978580994651E-2</v>
      </c>
      <c r="AF1054" s="94">
        <f>IF('Net zero activities &amp; levers'!$C$12="Off",Constants!$H67*'Activity data'!AY9*Constants!$H85*FracLEACHMM*MMLeachEF*NtoN2O*kgtoGg,Constants!$H67*'Net zero Activity data'!AY9*Constants!$H85*FracLEACHMM*MMLeachEF*NtoN2O*kgtoGg)</f>
        <v>3.5065272718873365E-2</v>
      </c>
      <c r="AG1054" s="94">
        <f>IF('Net zero activities &amp; levers'!$C$12="Off",Constants!$H67*'Activity data'!AZ9*Constants!$H85*FracLEACHMM*MMLeachEF*NtoN2O*kgtoGg,Constants!$H67*'Net zero Activity data'!AZ9*Constants!$H85*FracLEACHMM*MMLeachEF*NtoN2O*kgtoGg)</f>
        <v>3.542840886383946E-2</v>
      </c>
      <c r="AH1054" s="94">
        <f>IF('Net zero activities &amp; levers'!$C$12="Off",Constants!$H67*'Activity data'!BA9*Constants!$H85*FracLEACHMM*MMLeachEF*NtoN2O*kgtoGg,Constants!$H67*'Net zero Activity data'!BA9*Constants!$H85*FracLEACHMM*MMLeachEF*NtoN2O*kgtoGg)</f>
        <v>3.5486407503583416E-2</v>
      </c>
      <c r="AI1054" s="94">
        <f>IF('Net zero activities &amp; levers'!$C$12="Off",Constants!$H67*'Activity data'!BB9*Constants!$H85*FracLEACHMM*MMLeachEF*NtoN2O*kgtoGg,Constants!$H67*'Net zero Activity data'!BB9*Constants!$H85*FracLEACHMM*MMLeachEF*NtoN2O*kgtoGg)</f>
        <v>3.5480319326064061E-2</v>
      </c>
      <c r="AJ1054" s="94">
        <f>IF('Net zero activities &amp; levers'!$C$12="Off",Constants!$H67*'Activity data'!BC9*Constants!$H85*FracLEACHMM*MMLeachEF*NtoN2O*kgtoGg,Constants!$H67*'Net zero Activity data'!BC9*Constants!$H85*FracLEACHMM*MMLeachEF*NtoN2O*kgtoGg)</f>
        <v>3.5533598239465607E-2</v>
      </c>
      <c r="AK1054" s="94">
        <f>IF('Net zero activities &amp; levers'!$C$12="Off",Constants!$H67*'Activity data'!BD9*Constants!$H85*FracLEACHMM*MMLeachEF*NtoN2O*kgtoGg,Constants!$H67*'Net zero Activity data'!BD9*Constants!$H85*FracLEACHMM*MMLeachEF*NtoN2O*kgtoGg)</f>
        <v>3.5523764443021973E-2</v>
      </c>
      <c r="AL1054" s="94">
        <f>IF('Net zero activities &amp; levers'!$C$12="Off",Constants!$H67*'Activity data'!BE9*Constants!$H85*FracLEACHMM*MMLeachEF*NtoN2O*kgtoGg,Constants!$H67*'Net zero Activity data'!BE9*Constants!$H85*FracLEACHMM*MMLeachEF*NtoN2O*kgtoGg)</f>
        <v>3.5531288495729951E-2</v>
      </c>
      <c r="AM1054" s="94">
        <f>IF('Net zero activities &amp; levers'!$C$12="Off",Constants!$H67*'Activity data'!BF9*Constants!$H85*FracLEACHMM*MMLeachEF*NtoN2O*kgtoGg,Constants!$H67*'Net zero Activity data'!BF9*Constants!$H85*FracLEACHMM*MMLeachEF*NtoN2O*kgtoGg)</f>
        <v>3.5514212847337627E-2</v>
      </c>
      <c r="AN1054" s="94">
        <f>IF('Net zero activities &amp; levers'!$C$12="Off",Constants!$H67*'Activity data'!BG9*Constants!$H85*FracLEACHMM*MMLeachEF*NtoN2O*kgtoGg,Constants!$H67*'Net zero Activity data'!BG9*Constants!$H85*FracLEACHMM*MMLeachEF*NtoN2O*kgtoGg)</f>
        <v>3.5769110593879244E-2</v>
      </c>
      <c r="AO1054" s="94">
        <f>IF('Net zero activities &amp; levers'!$C$12="Off",Constants!$H67*'Activity data'!BH9*Constants!$H85*FracLEACHMM*MMLeachEF*NtoN2O*kgtoGg,Constants!$H67*'Net zero Activity data'!BH9*Constants!$H85*FracLEACHMM*MMLeachEF*NtoN2O*kgtoGg)</f>
        <v>3.5955582766200436E-2</v>
      </c>
      <c r="AP1054" s="94">
        <f>IF('Net zero activities &amp; levers'!$C$12="Off",Constants!$H67*'Activity data'!BI9*Constants!$H85*FracLEACHMM*MMLeachEF*NtoN2O*kgtoGg,Constants!$H67*'Net zero Activity data'!BI9*Constants!$H85*FracLEACHMM*MMLeachEF*NtoN2O*kgtoGg)</f>
        <v>3.6131295967585977E-2</v>
      </c>
      <c r="AQ1054" s="94">
        <f>IF('Net zero activities &amp; levers'!$C$12="Off",Constants!$H67*'Activity data'!BJ9*Constants!$H85*FracLEACHMM*MMLeachEF*NtoN2O*kgtoGg,Constants!$H67*'Net zero Activity data'!BJ9*Constants!$H85*FracLEACHMM*MMLeachEF*NtoN2O*kgtoGg)</f>
        <v>3.6309694411438075E-2</v>
      </c>
      <c r="AR1054" s="94">
        <f>IF('Net zero activities &amp; levers'!$C$12="Off",Constants!$H67*'Activity data'!BK9*Constants!$H85*FracLEACHMM*MMLeachEF*NtoN2O*kgtoGg,Constants!$H67*'Net zero Activity data'!BK9*Constants!$H85*FracLEACHMM*MMLeachEF*NtoN2O*kgtoGg)</f>
        <v>3.6494646834396953E-2</v>
      </c>
      <c r="AS1054" s="94">
        <f>IF('Net zero activities &amp; levers'!$C$12="Off",Constants!$H67*'Activity data'!BL9*Constants!$H85*FracLEACHMM*MMLeachEF*NtoN2O*kgtoGg,Constants!$H67*'Net zero Activity data'!BL9*Constants!$H85*FracLEACHMM*MMLeachEF*NtoN2O*kgtoGg)</f>
        <v>3.678448850036322E-2</v>
      </c>
      <c r="AT1054" s="94">
        <f>IF('Net zero activities &amp; levers'!$C$12="Off",Constants!$H67*'Activity data'!BM9*Constants!$H85*FracLEACHMM*MMLeachEF*NtoN2O*kgtoGg,Constants!$H67*'Net zero Activity data'!BM9*Constants!$H85*FracLEACHMM*MMLeachEF*NtoN2O*kgtoGg)</f>
        <v>3.6702851884231939E-2</v>
      </c>
      <c r="AU1054" s="94">
        <f>IF('Net zero activities &amp; levers'!$C$12="Off",Constants!$H67*'Activity data'!BN9*Constants!$H85*FracLEACHMM*MMLeachEF*NtoN2O*kgtoGg,Constants!$H67*'Net zero Activity data'!BN9*Constants!$H85*FracLEACHMM*MMLeachEF*NtoN2O*kgtoGg)</f>
        <v>3.6580453499892925E-2</v>
      </c>
      <c r="AV1054" s="94">
        <f>IF('Net zero activities &amp; levers'!$C$12="Off",Constants!$H67*'Activity data'!BO9*Constants!$H85*FracLEACHMM*MMLeachEF*NtoN2O*kgtoGg,Constants!$H67*'Net zero Activity data'!BO9*Constants!$H85*FracLEACHMM*MMLeachEF*NtoN2O*kgtoGg)</f>
        <v>3.6453681972054293E-2</v>
      </c>
      <c r="AW1054" s="94">
        <f>IF('Net zero activities &amp; levers'!$C$12="Off",Constants!$H67*'Activity data'!BP9*Constants!$H85*FracLEACHMM*MMLeachEF*NtoN2O*kgtoGg,Constants!$H67*'Net zero Activity data'!BP9*Constants!$H85*FracLEACHMM*MMLeachEF*NtoN2O*kgtoGg)</f>
        <v>3.6307368650791018E-2</v>
      </c>
      <c r="AY1054" s="79"/>
      <c r="AZ1054" s="79"/>
    </row>
    <row r="1055" spans="1:52" x14ac:dyDescent="0.2">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4.3383434779753476E-2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4.7281576900430208E-2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4.5992827569741108E-2</v>
      </c>
      <c r="T1055" s="94">
        <f>IF('Net zero activities &amp; levers'!$C$12="Off",Constants!$H68*'Activity data'!AM10*Constants!$H86*FracLEACHMM*MMLeachEF*NtoN2O*kgtoGg,Constants!$H68*'Net zero Activity data'!AM10*Constants!$H86*FracLEACHMM*MMLeachEF*NtoN2O*kgtoGg)</f>
        <v>4.8001865047769987E-2</v>
      </c>
      <c r="U1055" s="94">
        <f>IF('Net zero activities &amp; levers'!$C$12="Off",Constants!$H68*'Activity data'!AN10*Constants!$H86*FracLEACHMM*MMLeachEF*NtoN2O*kgtoGg,Constants!$H68*'Net zero Activity data'!AN10*Constants!$H86*FracLEACHMM*MMLeachEF*NtoN2O*kgtoGg)</f>
        <v>4.9635626095010099E-2</v>
      </c>
      <c r="V1055" s="94">
        <f>IF('Net zero activities &amp; levers'!$C$12="Off",Constants!$H68*'Activity data'!AO10*Constants!$H86*FracLEACHMM*MMLeachEF*NtoN2O*kgtoGg,Constants!$H68*'Net zero Activity data'!AO10*Constants!$H86*FracLEACHMM*MMLeachEF*NtoN2O*kgtoGg)</f>
        <v>5.1188596767602117E-2</v>
      </c>
      <c r="W1055" s="94">
        <f>IF('Net zero activities &amp; levers'!$C$12="Off",Constants!$H68*'Activity data'!AP10*Constants!$H86*FracLEACHMM*MMLeachEF*NtoN2O*kgtoGg,Constants!$H68*'Net zero Activity data'!AP10*Constants!$H86*FracLEACHMM*MMLeachEF*NtoN2O*kgtoGg)</f>
        <v>5.2950508165481844E-2</v>
      </c>
      <c r="X1055" s="94">
        <f>IF('Net zero activities &amp; levers'!$C$12="Off",Constants!$H68*'Activity data'!AQ10*Constants!$H86*FracLEACHMM*MMLeachEF*NtoN2O*kgtoGg,Constants!$H68*'Net zero Activity data'!AQ10*Constants!$H86*FracLEACHMM*MMLeachEF*NtoN2O*kgtoGg)</f>
        <v>5.4642195463321171E-2</v>
      </c>
      <c r="Y1055" s="94">
        <f>IF('Net zero activities &amp; levers'!$C$12="Off",Constants!$H68*'Activity data'!AR10*Constants!$H86*FracLEACHMM*MMLeachEF*NtoN2O*kgtoGg,Constants!$H68*'Net zero Activity data'!AR10*Constants!$H86*FracLEACHMM*MMLeachEF*NtoN2O*kgtoGg)</f>
        <v>5.6197330304744171E-2</v>
      </c>
      <c r="Z1055" s="94">
        <f>IF('Net zero activities &amp; levers'!$C$12="Off",Constants!$H68*'Activity data'!AS10*Constants!$H86*FracLEACHMM*MMLeachEF*NtoN2O*kgtoGg,Constants!$H68*'Net zero Activity data'!AS10*Constants!$H86*FracLEACHMM*MMLeachEF*NtoN2O*kgtoGg)</f>
        <v>5.7711583863191099E-2</v>
      </c>
      <c r="AA1055" s="94">
        <f>IF('Net zero activities &amp; levers'!$C$12="Off",Constants!$H68*'Activity data'!AT10*Constants!$H86*FracLEACHMM*MMLeachEF*NtoN2O*kgtoGg,Constants!$H68*'Net zero Activity data'!AT10*Constants!$H86*FracLEACHMM*MMLeachEF*NtoN2O*kgtoGg)</f>
        <v>5.9156834222417472E-2</v>
      </c>
      <c r="AB1055" s="94">
        <f>IF('Net zero activities &amp; levers'!$C$12="Off",Constants!$H68*'Activity data'!AU10*Constants!$H86*FracLEACHMM*MMLeachEF*NtoN2O*kgtoGg,Constants!$H68*'Net zero Activity data'!AU10*Constants!$H86*FracLEACHMM*MMLeachEF*NtoN2O*kgtoGg)</f>
        <v>6.0945336152729353E-2</v>
      </c>
      <c r="AC1055" s="94">
        <f>IF('Net zero activities &amp; levers'!$C$12="Off",Constants!$H68*'Activity data'!AV10*Constants!$H86*FracLEACHMM*MMLeachEF*NtoN2O*kgtoGg,Constants!$H68*'Net zero Activity data'!AV10*Constants!$H86*FracLEACHMM*MMLeachEF*NtoN2O*kgtoGg)</f>
        <v>6.2724727985271067E-2</v>
      </c>
      <c r="AD1055" s="94">
        <f>IF('Net zero activities &amp; levers'!$C$12="Off",Constants!$H68*'Activity data'!AW10*Constants!$H86*FracLEACHMM*MMLeachEF*NtoN2O*kgtoGg,Constants!$H68*'Net zero Activity data'!AW10*Constants!$H86*FracLEACHMM*MMLeachEF*NtoN2O*kgtoGg)</f>
        <v>6.4828386585152428E-2</v>
      </c>
      <c r="AE1055" s="94">
        <f>IF('Net zero activities &amp; levers'!$C$12="Off",Constants!$H68*'Activity data'!AX10*Constants!$H86*FracLEACHMM*MMLeachEF*NtoN2O*kgtoGg,Constants!$H68*'Net zero Activity data'!AX10*Constants!$H86*FracLEACHMM*MMLeachEF*NtoN2O*kgtoGg)</f>
        <v>6.7298261230859621E-2</v>
      </c>
      <c r="AF1055" s="94">
        <f>IF('Net zero activities &amp; levers'!$C$12="Off",Constants!$H68*'Activity data'!AY10*Constants!$H86*FracLEACHMM*MMLeachEF*NtoN2O*kgtoGg,Constants!$H68*'Net zero Activity data'!AY10*Constants!$H86*FracLEACHMM*MMLeachEF*NtoN2O*kgtoGg)</f>
        <v>6.9971651409000274E-2</v>
      </c>
      <c r="AG1055" s="94">
        <f>IF('Net zero activities &amp; levers'!$C$12="Off",Constants!$H68*'Activity data'!AZ10*Constants!$H86*FracLEACHMM*MMLeachEF*NtoN2O*kgtoGg,Constants!$H68*'Net zero Activity data'!AZ10*Constants!$H86*FracLEACHMM*MMLeachEF*NtoN2O*kgtoGg)</f>
        <v>7.3058736585267875E-2</v>
      </c>
      <c r="AH1055" s="94">
        <f>IF('Net zero activities &amp; levers'!$C$12="Off",Constants!$H68*'Activity data'!BA10*Constants!$H86*FracLEACHMM*MMLeachEF*NtoN2O*kgtoGg,Constants!$H68*'Net zero Activity data'!BA10*Constants!$H86*FracLEACHMM*MMLeachEF*NtoN2O*kgtoGg)</f>
        <v>7.563301385599043E-2</v>
      </c>
      <c r="AI1055" s="94">
        <f>IF('Net zero activities &amp; levers'!$C$12="Off",Constants!$H68*'Activity data'!BB10*Constants!$H86*FracLEACHMM*MMLeachEF*NtoN2O*kgtoGg,Constants!$H68*'Net zero Activity data'!BB10*Constants!$H86*FracLEACHMM*MMLeachEF*NtoN2O*kgtoGg)</f>
        <v>7.8167775440571283E-2</v>
      </c>
      <c r="AJ1055" s="94">
        <f>IF('Net zero activities &amp; levers'!$C$12="Off",Constants!$H68*'Activity data'!BC10*Constants!$H86*FracLEACHMM*MMLeachEF*NtoN2O*kgtoGg,Constants!$H68*'Net zero Activity data'!BC10*Constants!$H86*FracLEACHMM*MMLeachEF*NtoN2O*kgtoGg)</f>
        <v>8.0935873308178169E-2</v>
      </c>
      <c r="AK1055" s="94">
        <f>IF('Net zero activities &amp; levers'!$C$12="Off",Constants!$H68*'Activity data'!BD10*Constants!$H86*FracLEACHMM*MMLeachEF*NtoN2O*kgtoGg,Constants!$H68*'Net zero Activity data'!BD10*Constants!$H86*FracLEACHMM*MMLeachEF*NtoN2O*kgtoGg)</f>
        <v>8.3668525365720503E-2</v>
      </c>
      <c r="AL1055" s="94">
        <f>IF('Net zero activities &amp; levers'!$C$12="Off",Constants!$H68*'Activity data'!BE10*Constants!$H86*FracLEACHMM*MMLeachEF*NtoN2O*kgtoGg,Constants!$H68*'Net zero Activity data'!BE10*Constants!$H86*FracLEACHMM*MMLeachEF*NtoN2O*kgtoGg)</f>
        <v>8.6553364339565772E-2</v>
      </c>
      <c r="AM1055" s="94">
        <f>IF('Net zero activities &amp; levers'!$C$12="Off",Constants!$H68*'Activity data'!BF10*Constants!$H86*FracLEACHMM*MMLeachEF*NtoN2O*kgtoGg,Constants!$H68*'Net zero Activity data'!BF10*Constants!$H86*FracLEACHMM*MMLeachEF*NtoN2O*kgtoGg)</f>
        <v>8.9495828472457392E-2</v>
      </c>
      <c r="AN1055" s="94">
        <f>IF('Net zero activities &amp; levers'!$C$12="Off",Constants!$H68*'Activity data'!BG10*Constants!$H86*FracLEACHMM*MMLeachEF*NtoN2O*kgtoGg,Constants!$H68*'Net zero Activity data'!BG10*Constants!$H86*FracLEACHMM*MMLeachEF*NtoN2O*kgtoGg)</f>
        <v>9.2681440579714905E-2</v>
      </c>
      <c r="AO1055" s="94">
        <f>IF('Net zero activities &amp; levers'!$C$12="Off",Constants!$H68*'Activity data'!BH10*Constants!$H86*FracLEACHMM*MMLeachEF*NtoN2O*kgtoGg,Constants!$H68*'Net zero Activity data'!BH10*Constants!$H86*FracLEACHMM*MMLeachEF*NtoN2O*kgtoGg)</f>
        <v>9.5802357584515191E-2</v>
      </c>
      <c r="AP1055" s="94">
        <f>IF('Net zero activities &amp; levers'!$C$12="Off",Constants!$H68*'Activity data'!BI10*Constants!$H86*FracLEACHMM*MMLeachEF*NtoN2O*kgtoGg,Constants!$H68*'Net zero Activity data'!BI10*Constants!$H86*FracLEACHMM*MMLeachEF*NtoN2O*kgtoGg)</f>
        <v>9.9006841589941233E-2</v>
      </c>
      <c r="AQ1055" s="94">
        <f>IF('Net zero activities &amp; levers'!$C$12="Off",Constants!$H68*'Activity data'!BJ10*Constants!$H86*FracLEACHMM*MMLeachEF*NtoN2O*kgtoGg,Constants!$H68*'Net zero Activity data'!BJ10*Constants!$H86*FracLEACHMM*MMLeachEF*NtoN2O*kgtoGg)</f>
        <v>0.10233590350911345</v>
      </c>
      <c r="AR1055" s="94">
        <f>IF('Net zero activities &amp; levers'!$C$12="Off",Constants!$H68*'Activity data'!BK10*Constants!$H86*FracLEACHMM*MMLeachEF*NtoN2O*kgtoGg,Constants!$H68*'Net zero Activity data'!BK10*Constants!$H86*FracLEACHMM*MMLeachEF*NtoN2O*kgtoGg)</f>
        <v>0.10580733136333606</v>
      </c>
      <c r="AS1055" s="94">
        <f>IF('Net zero activities &amp; levers'!$C$12="Off",Constants!$H68*'Activity data'!BL10*Constants!$H86*FracLEACHMM*MMLeachEF*NtoN2O*kgtoGg,Constants!$H68*'Net zero Activity data'!BL10*Constants!$H86*FracLEACHMM*MMLeachEF*NtoN2O*kgtoGg)</f>
        <v>0.10972241500262403</v>
      </c>
      <c r="AT1055" s="94">
        <f>IF('Net zero activities &amp; levers'!$C$12="Off",Constants!$H68*'Activity data'!BM10*Constants!$H86*FracLEACHMM*MMLeachEF*NtoN2O*kgtoGg,Constants!$H68*'Net zero Activity data'!BM10*Constants!$H86*FracLEACHMM*MMLeachEF*NtoN2O*kgtoGg)</f>
        <v>0.11265304371652905</v>
      </c>
      <c r="AU1055" s="94">
        <f>IF('Net zero activities &amp; levers'!$C$12="Off",Constants!$H68*'Activity data'!BN10*Constants!$H86*FracLEACHMM*MMLeachEF*NtoN2O*kgtoGg,Constants!$H68*'Net zero Activity data'!BN10*Constants!$H86*FracLEACHMM*MMLeachEF*NtoN2O*kgtoGg)</f>
        <v>0.11555235138269004</v>
      </c>
      <c r="AV1055" s="94">
        <f>IF('Net zero activities &amp; levers'!$C$12="Off",Constants!$H68*'Activity data'!BO10*Constants!$H86*FracLEACHMM*MMLeachEF*NtoN2O*kgtoGg,Constants!$H68*'Net zero Activity data'!BO10*Constants!$H86*FracLEACHMM*MMLeachEF*NtoN2O*kgtoGg)</f>
        <v>0.11853253196869915</v>
      </c>
      <c r="AW1055" s="94">
        <f>IF('Net zero activities &amp; levers'!$C$12="Off",Constants!$H68*'Activity data'!BP10*Constants!$H86*FracLEACHMM*MMLeachEF*NtoN2O*kgtoGg,Constants!$H68*'Net zero Activity data'!BP10*Constants!$H86*FracLEACHMM*MMLeachEF*NtoN2O*kgtoGg)</f>
        <v>0.12154670327230575</v>
      </c>
      <c r="AY1055" s="79"/>
      <c r="AZ1055" s="79"/>
    </row>
    <row r="1056" spans="1:52" x14ac:dyDescent="0.2">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4.4831371338441527E-3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4.4899645877902617E-3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4.4976812446803844E-3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4.5063863158882386E-3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4.5161788811117947E-3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4.5268547446196596E-3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4.5333477172681842E-3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4.5405999943124754E-3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4.5485583758995193E-3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4.5574030453961476E-3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4.5669166889101189E-3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4.5731331974710569E-3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4.5801112561138658E-3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4.5877393890876687E-3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4.5960968162402412E-3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4.60470160066862E-3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4.6099752593178585E-3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4.6158010652929838E-3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4.6220305138924079E-3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4.6287377180545888E-3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4.635862068128902E-3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4.6399936101115553E-3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4.6444376176989054E-3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4.6492508857149065E-3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4.6544400588078442E-3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4.6600015094737631E-3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4.6624883129741824E-3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4.6648029335130551E-3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4.6673689256300846E-3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4.6702274196843731E-3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4.6733489894838004E-3</v>
      </c>
      <c r="AY1056" s="79"/>
      <c r="AZ1056" s="79"/>
    </row>
    <row r="1057" spans="1:52" x14ac:dyDescent="0.2">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3.7291632343986812E-3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3.7348424472980965E-3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3.7412613170109757E-3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3.7485023695444986E-3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3.7566480213753234E-3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3.7655284184054385E-3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3.770929403064159E-3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3.7769619923229323E-3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3.7835819334787997E-3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3.7909391066641191E-3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3.7988527458320239E-3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3.8040237621270109E-3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3.8098282510287203E-3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3.8161734847754797E-3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3.823125360022894E-3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3.8302829920051928E-3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3.834669726864819E-3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3.8395157489258354E-3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3.8446975290039364E-3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3.8502767157253038E-3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3.8562028927689521E-3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3.8596395921165526E-3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3.8633362066106815E-3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3.8673399793231139E-3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3.8716564374053405E-3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3.8762825634269383E-3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3.8783511363721934E-3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3.8802764840823911E-3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3.8824109277045466E-3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3.8847886802949221E-3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3.8873852645577018E-3</v>
      </c>
      <c r="AY1057" s="79"/>
      <c r="AZ1057" s="79"/>
    </row>
    <row r="1058" spans="1:52" x14ac:dyDescent="0.2">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5.4322987485311551E-4</v>
      </c>
      <c r="L1058" s="22">
        <f t="shared" si="369"/>
        <v>5.4464201031358182E-4</v>
      </c>
      <c r="M1058" s="22">
        <f t="shared" si="369"/>
        <v>5.4659000127818655E-4</v>
      </c>
      <c r="N1058" s="22">
        <f t="shared" si="369"/>
        <v>5.4896316873921192E-4</v>
      </c>
      <c r="O1058" s="22">
        <f t="shared" si="369"/>
        <v>5.5175812793145673E-4</v>
      </c>
      <c r="P1058" s="22">
        <f t="shared" si="369"/>
        <v>5.5495786726734487E-4</v>
      </c>
      <c r="Q1058" s="22">
        <f t="shared" si="369"/>
        <v>5.5840147541839707E-4</v>
      </c>
      <c r="R1058" s="22">
        <f t="shared" si="369"/>
        <v>5.620753208024884E-4</v>
      </c>
      <c r="S1058" s="22">
        <f t="shared" si="369"/>
        <v>5.6545048661351359E-4</v>
      </c>
      <c r="T1058" s="22">
        <f t="shared" si="369"/>
        <v>5.6709357361271675E-4</v>
      </c>
      <c r="U1058" s="22">
        <f t="shared" si="369"/>
        <v>5.688596151711496E-4</v>
      </c>
      <c r="V1058" s="22">
        <f t="shared" si="369"/>
        <v>5.7077020841237065E-4</v>
      </c>
      <c r="W1058" s="22">
        <f t="shared" si="369"/>
        <v>5.7284633112627235E-4</v>
      </c>
      <c r="X1058" s="22">
        <f t="shared" si="369"/>
        <v>5.7505104202951998E-4</v>
      </c>
      <c r="Y1058" s="22">
        <f t="shared" si="369"/>
        <v>5.7642933432393154E-4</v>
      </c>
      <c r="Z1058" s="22">
        <f t="shared" si="369"/>
        <v>5.7792028160119863E-4</v>
      </c>
      <c r="AA1058" s="22">
        <f t="shared" si="369"/>
        <v>5.7951511495132196E-4</v>
      </c>
      <c r="AB1058" s="22">
        <f t="shared" si="369"/>
        <v>5.8124875364710992E-4</v>
      </c>
      <c r="AC1058" s="22">
        <f t="shared" si="369"/>
        <v>5.8308126155427384E-4</v>
      </c>
      <c r="AD1058" s="22">
        <f t="shared" si="369"/>
        <v>5.8427258810919626E-4</v>
      </c>
      <c r="AE1058" s="22">
        <f t="shared" si="369"/>
        <v>5.8558467766040652E-4</v>
      </c>
      <c r="AF1058" s="22">
        <f t="shared" si="369"/>
        <v>5.8699724042408691E-4</v>
      </c>
      <c r="AG1058" s="22">
        <f t="shared" si="369"/>
        <v>5.8852547780245982E-4</v>
      </c>
      <c r="AH1058" s="22">
        <f t="shared" si="369"/>
        <v>5.9008039799106414E-4</v>
      </c>
      <c r="AI1058" s="22">
        <f t="shared" si="369"/>
        <v>5.9100081451309786E-4</v>
      </c>
      <c r="AJ1058" s="22">
        <f t="shared" si="369"/>
        <v>5.9200813916272929E-4</v>
      </c>
      <c r="AK1058" s="22">
        <f t="shared" si="369"/>
        <v>5.9307526025328071E-4</v>
      </c>
      <c r="AL1058" s="22">
        <f t="shared" si="369"/>
        <v>5.942161722415414E-4</v>
      </c>
      <c r="AM1058" s="22">
        <f t="shared" si="369"/>
        <v>5.9541998695626641E-4</v>
      </c>
      <c r="AN1058" s="22">
        <f t="shared" si="369"/>
        <v>5.9606189392580344E-4</v>
      </c>
      <c r="AO1058" s="22">
        <f t="shared" si="369"/>
        <v>5.9675021369894824E-4</v>
      </c>
      <c r="AP1058" s="22">
        <f t="shared" si="369"/>
        <v>5.9749556471656829E-4</v>
      </c>
      <c r="AQ1058" s="22">
        <f t="shared" si="369"/>
        <v>5.9829931979982535E-4</v>
      </c>
      <c r="AR1058" s="22">
        <f t="shared" si="369"/>
        <v>5.9916094831137718E-4</v>
      </c>
      <c r="AS1058" s="22">
        <f t="shared" si="369"/>
        <v>5.9945405400764929E-4</v>
      </c>
      <c r="AT1058" s="22">
        <f t="shared" si="369"/>
        <v>5.9970848295436412E-4</v>
      </c>
      <c r="AU1058" s="22">
        <f t="shared" si="369"/>
        <v>6.00001478883441E-4</v>
      </c>
      <c r="AV1058" s="22">
        <f t="shared" si="369"/>
        <v>6.0034059567570894E-4</v>
      </c>
      <c r="AW1058" s="22">
        <f t="shared" si="369"/>
        <v>6.0072058236705953E-4</v>
      </c>
      <c r="AY1058" s="79"/>
      <c r="AZ1058" s="79"/>
    </row>
    <row r="1059" spans="1:52" x14ac:dyDescent="0.2">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6.6992563985089938E-3</v>
      </c>
      <c r="L1059" s="22">
        <f t="shared" si="370"/>
        <v>6.716671231449923E-3</v>
      </c>
      <c r="M1059" s="22">
        <f t="shared" si="370"/>
        <v>6.7406943780734313E-3</v>
      </c>
      <c r="N1059" s="22">
        <f t="shared" si="370"/>
        <v>6.769960915195136E-3</v>
      </c>
      <c r="O1059" s="22">
        <f t="shared" si="370"/>
        <v>6.8044291009834836E-3</v>
      </c>
      <c r="P1059" s="22">
        <f t="shared" si="370"/>
        <v>6.8438891439814974E-3</v>
      </c>
      <c r="Q1059" s="22">
        <f t="shared" si="370"/>
        <v>6.8863566425632549E-3</v>
      </c>
      <c r="R1059" s="22">
        <f t="shared" si="370"/>
        <v>6.9316634884048298E-3</v>
      </c>
      <c r="S1059" s="22">
        <f t="shared" si="370"/>
        <v>6.973286937707302E-3</v>
      </c>
      <c r="T1059" s="22">
        <f t="shared" si="370"/>
        <v>6.9935499269173423E-3</v>
      </c>
      <c r="U1059" s="22">
        <f t="shared" si="370"/>
        <v>7.0153292247027649E-3</v>
      </c>
      <c r="V1059" s="22">
        <f t="shared" si="370"/>
        <v>7.0388911725791786E-3</v>
      </c>
      <c r="W1059" s="22">
        <f t="shared" si="370"/>
        <v>7.0644944742734297E-3</v>
      </c>
      <c r="X1059" s="22">
        <f t="shared" si="370"/>
        <v>7.0916835599794349E-3</v>
      </c>
      <c r="Y1059" s="22">
        <f t="shared" si="370"/>
        <v>7.1086810299268487E-3</v>
      </c>
      <c r="Z1059" s="22">
        <f t="shared" si="370"/>
        <v>7.1270677913135832E-3</v>
      </c>
      <c r="AA1059" s="22">
        <f t="shared" si="370"/>
        <v>7.1467357035915266E-3</v>
      </c>
      <c r="AB1059" s="22">
        <f t="shared" si="370"/>
        <v>7.1681154005910717E-3</v>
      </c>
      <c r="AC1059" s="22">
        <f t="shared" si="370"/>
        <v>7.1907143792015659E-3</v>
      </c>
      <c r="AD1059" s="22">
        <f t="shared" si="370"/>
        <v>7.2054061375440787E-3</v>
      </c>
      <c r="AE1059" s="22">
        <f t="shared" si="370"/>
        <v>7.2215871775204617E-3</v>
      </c>
      <c r="AF1059" s="22">
        <f t="shared" si="370"/>
        <v>7.2390072800791469E-3</v>
      </c>
      <c r="AG1059" s="22">
        <f t="shared" si="370"/>
        <v>7.2578539129862047E-3</v>
      </c>
      <c r="AH1059" s="22">
        <f t="shared" si="370"/>
        <v>7.277029605459848E-3</v>
      </c>
      <c r="AI1059" s="22">
        <f t="shared" si="370"/>
        <v>7.2883804286747794E-3</v>
      </c>
      <c r="AJ1059" s="22">
        <f t="shared" si="370"/>
        <v>7.3008030262100192E-3</v>
      </c>
      <c r="AK1059" s="22">
        <f t="shared" si="370"/>
        <v>7.3139630494797169E-3</v>
      </c>
      <c r="AL1059" s="22">
        <f t="shared" si="370"/>
        <v>7.3280330818754061E-3</v>
      </c>
      <c r="AM1059" s="22">
        <f t="shared" si="370"/>
        <v>7.3428788475513491E-3</v>
      </c>
      <c r="AN1059" s="22">
        <f t="shared" si="370"/>
        <v>7.3507950163262765E-3</v>
      </c>
      <c r="AO1059" s="22">
        <f t="shared" si="370"/>
        <v>7.3592835602335977E-3</v>
      </c>
      <c r="AP1059" s="22">
        <f t="shared" si="370"/>
        <v>7.3684754287317664E-3</v>
      </c>
      <c r="AQ1059" s="22">
        <f t="shared" si="370"/>
        <v>7.3783875518192519E-3</v>
      </c>
      <c r="AR1059" s="22">
        <f t="shared" si="370"/>
        <v>7.3890133855341444E-3</v>
      </c>
      <c r="AS1059" s="22">
        <f t="shared" si="370"/>
        <v>7.3926280435308569E-3</v>
      </c>
      <c r="AT1059" s="22">
        <f t="shared" si="370"/>
        <v>7.3957657294869287E-3</v>
      </c>
      <c r="AU1059" s="22">
        <f t="shared" si="370"/>
        <v>7.3993790338051698E-3</v>
      </c>
      <c r="AV1059" s="22">
        <f t="shared" si="370"/>
        <v>7.4035611129683564E-3</v>
      </c>
      <c r="AW1059" s="22">
        <f t="shared" si="370"/>
        <v>7.4082472106798752E-3</v>
      </c>
      <c r="AY1059" s="79"/>
      <c r="AZ1059" s="79"/>
    </row>
    <row r="1060" spans="1:52" x14ac:dyDescent="0.2">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2">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2">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2.6729002214214585E-2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2.6740992333189322E-2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2.609452683304702E-2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2.5544514050244028E-2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2.4781112413324518E-2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2.20798204460615E-2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2.2424557938008405E-2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2.2570971116616413E-2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2.2667395166558576E-2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2.284594133514007E-2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2.2978923721971391E-2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2.3048677917067804E-2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2.3091415921174294E-2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2.3097213386295078E-2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2.323133845353377E-2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2.3348495871952417E-2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2.3517064058520994E-2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2.3801807583193908E-2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2.4135258091248658E-2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2.4586723078799614E-2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2.483044349217995E-2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2.5043308594524263E-2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2.531081903004264E-2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2.5543075681886771E-2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2.5800065264390357E-2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2.6050738429193292E-2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2.6388228624982798E-2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2.6681293830850793E-2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2.6974098587187682E-2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2.7277302536496094E-2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2.759431398689733E-2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2.800744241344803E-2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2.8135384789660874E-2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2.8237574251430975E-2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2.8342961193356213E-2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2.8439412611602398E-2</v>
      </c>
      <c r="AY1062" s="79"/>
      <c r="AZ1062" s="79"/>
    </row>
    <row r="1063" spans="1:52" x14ac:dyDescent="0.2">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3.9947810410006996E-3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3.9965730233416704E-3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3.8999555700251322E-3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3.8177534504158584E-3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3.7580655955978051E-3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3.7036593154610876E-3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3.2999379250946686E-3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3.3514606413530125E-3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3.3733428120890697E-3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3.3877538613126231E-3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3.4144384656789365E-3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3.4343133384273955E-3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3.4447384464755082E-3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3.4511258517054724E-3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3.4519923114245724E-3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3.4720379633884583E-3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3.4895477166579812E-3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3.5147410624635305E-3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3.5572973847981574E-3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3.6071332057170833E-3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3.6746068719052303E-3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3.7110320881880462E-3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3.7428458262513211E-3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3.7828265785261059E-3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3.8175384791798387E-3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3.8559468381485868E-3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3.8934111773789473E-3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3.9438507495282793E-3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3.9876507881079406E-3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4.0314119012222708E-3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4.0767272249499047E-3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4.1241061477280058E-3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4.1858502260387767E-3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4.2049718443745261E-3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4.2202445627946769E-3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4.2359951603739652E-3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4.2504102999253611E-3</v>
      </c>
      <c r="AY1063" s="79"/>
      <c r="AZ1063" s="79"/>
    </row>
    <row r="1064" spans="1:52" x14ac:dyDescent="0.2">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1.7066731126843742E-2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1.8014444056791572E-2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1.8197780265539365E-2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1.8677293946611207E-2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1.7930195532315427E-2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1.8405757792115097E-2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1.880256719318036E-2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1.9182022263661121E-2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1.9603893406791358E-2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2.0010576837223248E-2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2.0375728845723119E-2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2.0731756448222814E-2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2.1073019561660463E-2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2.148336106919314E-2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2.1890889267126682E-2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2.231803440740647E-2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2.2815454137105083E-2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2.3349632701496571E-2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2.396171160946152E-2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2.4467658584898602E-2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2.4951748693606203E-2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2.5477604150305377E-2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2.5992359314301834E-2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2.6532480091102609E-2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2.7079400048144214E-2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2.7680885364723965E-2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2.8266293672037732E-2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2.886402430987451E-2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2.9481723037787178E-2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3.0122536424733722E-2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3.0832887052217536E-2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3.1354014072341549E-2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3.1866079427096267E-2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3.2390073533933091E-2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3.2917174163896501E-2</v>
      </c>
      <c r="AY1064" s="79"/>
      <c r="AZ1064" s="79"/>
    </row>
    <row r="1065" spans="1:52" x14ac:dyDescent="0.2">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7.860746419754247E-2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7.8944464359385597E-2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7.8604018955287305E-2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6.7197980387573103E-2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7.0159754352377118E-2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7.2200774862602818E-2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7.4012137517044677E-2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7.624234611790702E-2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7.8266654922264395E-2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8.0053392548698518E-2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8.1713475036097147E-2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8.3191126783030381E-2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8.5356141752823037E-2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8.7456207764297841E-2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8.9913243198059017E-2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9.3044085798014903E-2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9.6498642598308926E-2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0.10068056666272467</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0.10375441633368165</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0.10675032554756632</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0.11011636525105389</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0.11333263880247381</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0.11675404817895949</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0.12019911578989917</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0.12428786174834884</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0.12817821089097012</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0.13214154239239112</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0.13624857972153667</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0.14052656296513075</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0.14556766568145355</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0.14881423347183564</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0.15194631854950416</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0.15515723544633972</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0.15836593511039121</v>
      </c>
      <c r="AY1065" s="79"/>
      <c r="AZ1065" s="79"/>
    </row>
    <row r="1067" spans="1:52" x14ac:dyDescent="0.2">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72.649957574793405</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73.83596289834658</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74.518042528471312</v>
      </c>
      <c r="S1067" s="93">
        <f>IF('Net zero activities &amp; levers'!$C$14="Off",('Activity data'!AL5*EF!$H4)*kgtoGg,IF('Net zero activities &amp; levers'!$C$14="On",('Net zero Activity data'!AL5*EF!$H4)*kgtoGg,"ERROR"))</f>
        <v>72.478094892813189</v>
      </c>
      <c r="T1067" s="93">
        <f>IF('Net zero activities &amp; levers'!$C$14="Off",('Activity data'!AM5*EF!$H4)*kgtoGg,IF('Net zero activities &amp; levers'!$C$14="On",('Net zero Activity data'!AM5*EF!$H4)*kgtoGg,"ERROR"))</f>
        <v>73.311025871745997</v>
      </c>
      <c r="U1067" s="93">
        <f>IF('Net zero activities &amp; levers'!$C$14="Off",('Activity data'!AN5*EF!$H4)*kgtoGg,IF('Net zero activities &amp; levers'!$C$14="On",('Net zero Activity data'!AN5*EF!$H4)*kgtoGg,"ERROR"))</f>
        <v>73.963715162788233</v>
      </c>
      <c r="V1067" s="93">
        <f>IF('Net zero activities &amp; levers'!$C$14="Off",('Activity data'!AO5*EF!$H4)*kgtoGg,IF('Net zero activities &amp; levers'!$C$14="On",('Net zero Activity data'!AO5*EF!$H4)*kgtoGg,"ERROR"))</f>
        <v>74.582066548206157</v>
      </c>
      <c r="W1067" s="93">
        <f>IF('Net zero activities &amp; levers'!$C$14="Off",('Activity data'!AP5*EF!$H4)*kgtoGg,IF('Net zero activities &amp; levers'!$C$14="On",('Net zero Activity data'!AP5*EF!$H4)*kgtoGg,"ERROR"))</f>
        <v>75.304979725957494</v>
      </c>
      <c r="X1067" s="93">
        <f>IF('Net zero activities &amp; levers'!$C$14="Off",('Activity data'!AQ5*EF!$H4)*kgtoGg,IF('Net zero activities &amp; levers'!$C$14="On",('Net zero Activity data'!AQ5*EF!$H4)*kgtoGg,"ERROR"))</f>
        <v>75.997294225765899</v>
      </c>
      <c r="Y1067" s="93">
        <f>IF('Net zero activities &amp; levers'!$C$14="Off",('Activity data'!AR5*EF!$H4)*kgtoGg,IF('Net zero activities &amp; levers'!$C$14="On",('Net zero Activity data'!AR5*EF!$H4)*kgtoGg,"ERROR"))</f>
        <v>76.577933644130326</v>
      </c>
      <c r="Z1067" s="93">
        <f>IF('Net zero activities &amp; levers'!$C$14="Off",('Activity data'!AS5*EF!$H4)*kgtoGg,IF('Net zero activities &amp; levers'!$C$14="On",('Net zero Activity data'!AS5*EF!$H4)*kgtoGg,"ERROR"))</f>
        <v>77.142446023883181</v>
      </c>
      <c r="AA1067" s="93">
        <f>IF('Net zero activities &amp; levers'!$C$14="Off",('Activity data'!AT5*EF!$H4)*kgtoGg,IF('Net zero activities &amp; levers'!$C$14="On",('Net zero Activity data'!AT5*EF!$H4)*kgtoGg,"ERROR"))</f>
        <v>77.677893567914339</v>
      </c>
      <c r="AB1067" s="93">
        <f>IF('Net zero activities &amp; levers'!$C$14="Off",('Activity data'!AU5*EF!$H4)*kgtoGg,IF('Net zero activities &amp; levers'!$C$14="On",('Net zero Activity data'!AU5*EF!$H4)*kgtoGg,"ERROR"))</f>
        <v>78.37441564319947</v>
      </c>
      <c r="AC1067" s="93">
        <f>IF('Net zero activities &amp; levers'!$C$14="Off",('Activity data'!AV5*EF!$H4)*kgtoGg,IF('Net zero activities &amp; levers'!$C$14="On",('Net zero Activity data'!AV5*EF!$H4)*kgtoGg,"ERROR"))</f>
        <v>79.067356094429798</v>
      </c>
      <c r="AD1067" s="93">
        <f>IF('Net zero activities &amp; levers'!$C$14="Off",('Activity data'!AW5*EF!$H4)*kgtoGg,IF('Net zero activities &amp; levers'!$C$14="On",('Net zero Activity data'!AW5*EF!$H4)*kgtoGg,"ERROR"))</f>
        <v>79.790293378056347</v>
      </c>
      <c r="AE1067" s="93">
        <f>IF('Net zero activities &amp; levers'!$C$14="Off",('Activity data'!AX5*EF!$H4)*kgtoGg,IF('Net zero activities &amp; levers'!$C$14="On",('Net zero Activity data'!AX5*EF!$H4)*kgtoGg,"ERROR"))</f>
        <v>80.672260630147306</v>
      </c>
      <c r="AF1067" s="93">
        <f>IF('Net zero activities &amp; levers'!$C$14="Off",('Activity data'!AY5*EF!$H4)*kgtoGg,IF('Net zero activities &amp; levers'!$C$14="On",('Net zero Activity data'!AY5*EF!$H4)*kgtoGg,"ERROR"))</f>
        <v>81.636452435438088</v>
      </c>
      <c r="AG1067" s="93">
        <f>IF('Net zero activities &amp; levers'!$C$14="Off",('Activity data'!AZ5*EF!$H4)*kgtoGg,IF('Net zero activities &amp; levers'!$C$14="On",('Net zero Activity data'!AZ5*EF!$H4)*kgtoGg,"ERROR"))</f>
        <v>82.773036285937067</v>
      </c>
      <c r="AH1067" s="93">
        <f>IF('Net zero activities &amp; levers'!$C$14="Off",('Activity data'!BA5*EF!$H4)*kgtoGg,IF('Net zero activities &amp; levers'!$C$14="On",('Net zero Activity data'!BA5*EF!$H4)*kgtoGg,"ERROR"))</f>
        <v>83.673213555783462</v>
      </c>
      <c r="AI1067" s="93">
        <f>IF('Net zero activities &amp; levers'!$C$14="Off",('Activity data'!BB5*EF!$H4)*kgtoGg,IF('Net zero activities &amp; levers'!$C$14="On",('Net zero Activity data'!BB5*EF!$H4)*kgtoGg,"ERROR"))</f>
        <v>84.509468484147618</v>
      </c>
      <c r="AJ1067" s="93">
        <f>IF('Net zero activities &amp; levers'!$C$14="Off",('Activity data'!BC5*EF!$H4)*kgtoGg,IF('Net zero activities &amp; levers'!$C$14="On",('Net zero Activity data'!BC5*EF!$H4)*kgtoGg,"ERROR"))</f>
        <v>85.437405417007412</v>
      </c>
      <c r="AK1067" s="93">
        <f>IF('Net zero activities &amp; levers'!$C$14="Off",('Activity data'!BD5*EF!$H4)*kgtoGg,IF('Net zero activities &amp; levers'!$C$14="On",('Net zero Activity data'!BD5*EF!$H4)*kgtoGg,"ERROR"))</f>
        <v>86.340426432642914</v>
      </c>
      <c r="AL1067" s="93">
        <f>IF('Net zero activities &amp; levers'!$C$14="Off",('Activity data'!BE5*EF!$H4)*kgtoGg,IF('Net zero activities &amp; levers'!$C$14="On",('Net zero Activity data'!BE5*EF!$H4)*kgtoGg,"ERROR"))</f>
        <v>87.298123970536111</v>
      </c>
      <c r="AM1067" s="93">
        <f>IF('Net zero activities &amp; levers'!$C$14="Off",('Activity data'!BF5*EF!$H4)*kgtoGg,IF('Net zero activities &amp; levers'!$C$14="On",('Net zero Activity data'!BF5*EF!$H4)*kgtoGg,"ERROR"))</f>
        <v>88.26958854165197</v>
      </c>
      <c r="AN1067" s="93">
        <f>IF('Net zero activities &amp; levers'!$C$14="Off",('Activity data'!BG5*EF!$H4)*kgtoGg,IF('Net zero activities &amp; levers'!$C$14="On",('Net zero Activity data'!BG5*EF!$H4)*kgtoGg,"ERROR"))</f>
        <v>89.343200001219728</v>
      </c>
      <c r="AO1067" s="93">
        <f>IF('Net zero activities &amp; levers'!$C$14="Off",('Activity data'!BH5*EF!$H4)*kgtoGg,IF('Net zero activities &amp; levers'!$C$14="On",('Net zero Activity data'!BH5*EF!$H4)*kgtoGg,"ERROR"))</f>
        <v>90.380141784312926</v>
      </c>
      <c r="AP1067" s="93">
        <f>IF('Net zero activities &amp; levers'!$C$14="Off",('Activity data'!BI5*EF!$H4)*kgtoGg,IF('Net zero activities &amp; levers'!$C$14="On",('Net zero Activity data'!BI5*EF!$H4)*kgtoGg,"ERROR"))</f>
        <v>91.441734143781034</v>
      </c>
      <c r="AQ1067" s="93">
        <f>IF('Net zero activities &amp; levers'!$C$14="Off",('Activity data'!BJ5*EF!$H4)*kgtoGg,IF('Net zero activities &amp; levers'!$C$14="On",('Net zero Activity data'!BJ5*EF!$H4)*kgtoGg,"ERROR"))</f>
        <v>92.544073659173904</v>
      </c>
      <c r="AR1067" s="93">
        <f>IF('Net zero activities &amp; levers'!$C$14="Off",('Activity data'!BK5*EF!$H4)*kgtoGg,IF('Net zero activities &amp; levers'!$C$14="On",('Net zero Activity data'!BK5*EF!$H4)*kgtoGg,"ERROR"))</f>
        <v>93.693462393833215</v>
      </c>
      <c r="AS1067" s="93">
        <f>IF('Net zero activities &amp; levers'!$C$14="Off",('Activity data'!BL5*EF!$H4)*kgtoGg,IF('Net zero activities &amp; levers'!$C$14="On",('Net zero Activity data'!BL5*EF!$H4)*kgtoGg,"ERROR"))</f>
        <v>94.97329819439031</v>
      </c>
      <c r="AT1067" s="93">
        <f>IF('Net zero activities &amp; levers'!$C$14="Off",('Activity data'!BM5*EF!$H4)*kgtoGg,IF('Net zero activities &amp; levers'!$C$14="On",('Net zero Activity data'!BM5*EF!$H4)*kgtoGg,"ERROR"))</f>
        <v>95.848626267420912</v>
      </c>
      <c r="AU1067" s="93">
        <f>IF('Net zero activities &amp; levers'!$C$14="Off",('Activity data'!BN5*EF!$H4)*kgtoGg,IF('Net zero activities &amp; levers'!$C$14="On",('Net zero Activity data'!BN5*EF!$H4)*kgtoGg,"ERROR"))</f>
        <v>96.703822926377612</v>
      </c>
      <c r="AV1067" s="93">
        <f>IF('Net zero activities &amp; levers'!$C$14="Off",('Activity data'!BO5*EF!$H4)*kgtoGg,IF('Net zero activities &amp; levers'!$C$14="On",('Net zero Activity data'!BO5*EF!$H4)*kgtoGg,"ERROR"))</f>
        <v>97.583252765683682</v>
      </c>
      <c r="AW1067" s="93">
        <f>IF('Net zero activities &amp; levers'!$C$14="Off",('Activity data'!BP5*EF!$H4)*kgtoGg,IF('Net zero activities &amp; levers'!$C$14="On",('Net zero Activity data'!BP5*EF!$H4)*kgtoGg,"ERROR"))</f>
        <v>98.468144480515292</v>
      </c>
      <c r="AY1067" s="79"/>
    </row>
    <row r="1068" spans="1:52" x14ac:dyDescent="0.2">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58.1066387636453</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59.055225455337663</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59.600764035107602</v>
      </c>
      <c r="S1068" s="93">
        <f>IF('Net zero activities &amp; levers'!$C$14="Off",('Activity data'!AL6*EF!$H5)*kgtoGg,IF('Net zero activities &amp; levers'!$C$14="On",('Net zero Activity data'!AL6*EF!$H5)*kgtoGg,"ERROR"))</f>
        <v>57.969180145469302</v>
      </c>
      <c r="T1068" s="93">
        <f>IF('Net zero activities &amp; levers'!$C$14="Off",('Activity data'!AM6*EF!$H5)*kgtoGg,IF('Net zero activities &amp; levers'!$C$14="On",('Net zero Activity data'!AM6*EF!$H5)*kgtoGg,"ERROR"))</f>
        <v>58.635372131308685</v>
      </c>
      <c r="U1068" s="93">
        <f>IF('Net zero activities &amp; levers'!$C$14="Off",('Activity data'!AN6*EF!$H5)*kgtoGg,IF('Net zero activities &amp; levers'!$C$14="On",('Net zero Activity data'!AN6*EF!$H5)*kgtoGg,"ERROR"))</f>
        <v>59.157403831333383</v>
      </c>
      <c r="V1068" s="93">
        <f>IF('Net zero activities &amp; levers'!$C$14="Off",('Activity data'!AO6*EF!$H5)*kgtoGg,IF('Net zero activities &amp; levers'!$C$14="On",('Net zero Activity data'!AO6*EF!$H5)*kgtoGg,"ERROR"))</f>
        <v>59.65197150598739</v>
      </c>
      <c r="W1068" s="93">
        <f>IF('Net zero activities &amp; levers'!$C$14="Off",('Activity data'!AP6*EF!$H5)*kgtoGg,IF('Net zero activities &amp; levers'!$C$14="On",('Net zero Activity data'!AP6*EF!$H5)*kgtoGg,"ERROR"))</f>
        <v>60.230169433134556</v>
      </c>
      <c r="X1068" s="93">
        <f>IF('Net zero activities &amp; levers'!$C$14="Off",('Activity data'!AQ6*EF!$H5)*kgtoGg,IF('Net zero activities &amp; levers'!$C$14="On",('Net zero Activity data'!AQ6*EF!$H5)*kgtoGg,"ERROR"))</f>
        <v>60.783894031112283</v>
      </c>
      <c r="Y1068" s="93">
        <f>IF('Net zero activities &amp; levers'!$C$14="Off",('Activity data'!AR6*EF!$H5)*kgtoGg,IF('Net zero activities &amp; levers'!$C$14="On",('Net zero Activity data'!AR6*EF!$H5)*kgtoGg,"ERROR"))</f>
        <v>61.248299050208132</v>
      </c>
      <c r="Z1068" s="93">
        <f>IF('Net zero activities &amp; levers'!$C$14="Off",('Activity data'!AS6*EF!$H5)*kgtoGg,IF('Net zero activities &amp; levers'!$C$14="On",('Net zero Activity data'!AS6*EF!$H5)*kgtoGg,"ERROR"))</f>
        <v>61.699805396844816</v>
      </c>
      <c r="AA1068" s="93">
        <f>IF('Net zero activities &amp; levers'!$C$14="Off",('Activity data'!AT6*EF!$H5)*kgtoGg,IF('Net zero activities &amp; levers'!$C$14="On",('Net zero Activity data'!AT6*EF!$H5)*kgtoGg,"ERROR"))</f>
        <v>62.128065206712812</v>
      </c>
      <c r="AB1068" s="93">
        <f>IF('Net zero activities &amp; levers'!$C$14="Off",('Activity data'!AU6*EF!$H5)*kgtoGg,IF('Net zero activities &amp; levers'!$C$14="On",('Net zero Activity data'!AU6*EF!$H5)*kgtoGg,"ERROR"))</f>
        <v>62.685155093211797</v>
      </c>
      <c r="AC1068" s="93">
        <f>IF('Net zero activities &amp; levers'!$C$14="Off",('Activity data'!AV6*EF!$H5)*kgtoGg,IF('Net zero activities &amp; levers'!$C$14="On",('Net zero Activity data'!AV6*EF!$H5)*kgtoGg,"ERROR"))</f>
        <v>63.239380337499199</v>
      </c>
      <c r="AD1068" s="93">
        <f>IF('Net zero activities &amp; levers'!$C$14="Off",('Activity data'!AW6*EF!$H5)*kgtoGg,IF('Net zero activities &amp; levers'!$C$14="On",('Net zero Activity data'!AW6*EF!$H5)*kgtoGg,"ERROR"))</f>
        <v>63.817597544924432</v>
      </c>
      <c r="AE1068" s="93">
        <f>IF('Net zero activities &amp; levers'!$C$14="Off",('Activity data'!AX6*EF!$H5)*kgtoGg,IF('Net zero activities &amp; levers'!$C$14="On",('Net zero Activity data'!AX6*EF!$H5)*kgtoGg,"ERROR"))</f>
        <v>64.523009553814518</v>
      </c>
      <c r="AF1068" s="93">
        <f>IF('Net zero activities &amp; levers'!$C$14="Off",('Activity data'!AY6*EF!$H5)*kgtoGg,IF('Net zero activities &amp; levers'!$C$14="On",('Net zero Activity data'!AY6*EF!$H5)*kgtoGg,"ERROR"))</f>
        <v>65.294186121553309</v>
      </c>
      <c r="AG1068" s="93">
        <f>IF('Net zero activities &amp; levers'!$C$14="Off",('Activity data'!AZ6*EF!$H5)*kgtoGg,IF('Net zero activities &amp; levers'!$C$14="On",('Net zero Activity data'!AZ6*EF!$H5)*kgtoGg,"ERROR"))</f>
        <v>66.203244700941269</v>
      </c>
      <c r="AH1068" s="93">
        <f>IF('Net zero activities &amp; levers'!$C$14="Off",('Activity data'!BA6*EF!$H5)*kgtoGg,IF('Net zero activities &amp; levers'!$C$14="On",('Net zero Activity data'!BA6*EF!$H5)*kgtoGg,"ERROR"))</f>
        <v>66.923221383492788</v>
      </c>
      <c r="AI1068" s="93">
        <f>IF('Net zero activities &amp; levers'!$C$14="Off",('Activity data'!BB6*EF!$H5)*kgtoGg,IF('Net zero activities &amp; levers'!$C$14="On",('Net zero Activity data'!BB6*EF!$H5)*kgtoGg,"ERROR"))</f>
        <v>67.592071919114218</v>
      </c>
      <c r="AJ1068" s="93">
        <f>IF('Net zero activities &amp; levers'!$C$14="Off",('Activity data'!BC6*EF!$H5)*kgtoGg,IF('Net zero activities &amp; levers'!$C$14="On",('Net zero Activity data'!BC6*EF!$H5)*kgtoGg,"ERROR"))</f>
        <v>68.334251239695618</v>
      </c>
      <c r="AK1068" s="93">
        <f>IF('Net zero activities &amp; levers'!$C$14="Off",('Activity data'!BD6*EF!$H5)*kgtoGg,IF('Net zero activities &amp; levers'!$C$14="On",('Net zero Activity data'!BD6*EF!$H5)*kgtoGg,"ERROR"))</f>
        <v>69.056502397206529</v>
      </c>
      <c r="AL1068" s="93">
        <f>IF('Net zero activities &amp; levers'!$C$14="Off",('Activity data'!BE6*EF!$H5)*kgtoGg,IF('Net zero activities &amp; levers'!$C$14="On",('Net zero Activity data'!BE6*EF!$H5)*kgtoGg,"ERROR"))</f>
        <v>69.822484742370364</v>
      </c>
      <c r="AM1068" s="93">
        <f>IF('Net zero activities &amp; levers'!$C$14="Off",('Activity data'!BF6*EF!$H5)*kgtoGg,IF('Net zero activities &amp; levers'!$C$14="On",('Net zero Activity data'!BF6*EF!$H5)*kgtoGg,"ERROR"))</f>
        <v>70.599478188614199</v>
      </c>
      <c r="AN1068" s="93">
        <f>IF('Net zero activities &amp; levers'!$C$14="Off",('Activity data'!BG6*EF!$H5)*kgtoGg,IF('Net zero activities &amp; levers'!$C$14="On",('Net zero Activity data'!BG6*EF!$H5)*kgtoGg,"ERROR"))</f>
        <v>71.458170407248886</v>
      </c>
      <c r="AO1068" s="93">
        <f>IF('Net zero activities &amp; levers'!$C$14="Off",('Activity data'!BH6*EF!$H5)*kgtoGg,IF('Net zero activities &amp; levers'!$C$14="On",('Net zero Activity data'!BH6*EF!$H5)*kgtoGg,"ERROR"))</f>
        <v>72.287533611585175</v>
      </c>
      <c r="AP1068" s="93">
        <f>IF('Net zero activities &amp; levers'!$C$14="Off",('Activity data'!BI6*EF!$H5)*kgtoGg,IF('Net zero activities &amp; levers'!$C$14="On",('Net zero Activity data'!BI6*EF!$H5)*kgtoGg,"ERROR"))</f>
        <v>73.136612754988022</v>
      </c>
      <c r="AQ1068" s="93">
        <f>IF('Net zero activities &amp; levers'!$C$14="Off",('Activity data'!BJ6*EF!$H5)*kgtoGg,IF('Net zero activities &amp; levers'!$C$14="On",('Net zero Activity data'!BJ6*EF!$H5)*kgtoGg,"ERROR"))</f>
        <v>74.018282148254812</v>
      </c>
      <c r="AR1068" s="93">
        <f>IF('Net zero activities &amp; levers'!$C$14="Off",('Activity data'!BK6*EF!$H5)*kgtoGg,IF('Net zero activities &amp; levers'!$C$14="On",('Net zero Activity data'!BK6*EF!$H5)*kgtoGg,"ERROR"))</f>
        <v>74.937582285974699</v>
      </c>
      <c r="AS1068" s="93">
        <f>IF('Net zero activities &amp; levers'!$C$14="Off",('Activity data'!BL6*EF!$H5)*kgtoGg,IF('Net zero activities &amp; levers'!$C$14="On",('Net zero Activity data'!BL6*EF!$H5)*kgtoGg,"ERROR"))</f>
        <v>75.96121614650643</v>
      </c>
      <c r="AT1068" s="93">
        <f>IF('Net zero activities &amp; levers'!$C$14="Off",('Activity data'!BM6*EF!$H5)*kgtoGg,IF('Net zero activities &amp; levers'!$C$14="On",('Net zero Activity data'!BM6*EF!$H5)*kgtoGg,"ERROR"))</f>
        <v>76.661318030074682</v>
      </c>
      <c r="AU1068" s="93">
        <f>IF('Net zero activities &amp; levers'!$C$14="Off",('Activity data'!BN6*EF!$H5)*kgtoGg,IF('Net zero activities &amp; levers'!$C$14="On",('Net zero Activity data'!BN6*EF!$H5)*kgtoGg,"ERROR"))</f>
        <v>77.345318475397917</v>
      </c>
      <c r="AV1068" s="93">
        <f>IF('Net zero activities &amp; levers'!$C$14="Off",('Activity data'!BO6*EF!$H5)*kgtoGg,IF('Net zero activities &amp; levers'!$C$14="On",('Net zero Activity data'!BO6*EF!$H5)*kgtoGg,"ERROR"))</f>
        <v>78.048701019536637</v>
      </c>
      <c r="AW1068" s="93">
        <f>IF('Net zero activities &amp; levers'!$C$14="Off",('Activity data'!BP6*EF!$H5)*kgtoGg,IF('Net zero activities &amp; levers'!$C$14="On",('Net zero Activity data'!BP6*EF!$H5)*kgtoGg,"ERROR"))</f>
        <v>78.756452062140184</v>
      </c>
      <c r="AY1068" s="79"/>
    </row>
    <row r="1069" spans="1:52" x14ac:dyDescent="0.2">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26.272250579806308</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26.701143177813606</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26.947802192577246</v>
      </c>
      <c r="S1069" s="93">
        <f>IF('Net zero activities &amp; levers'!$C$14="Off",('Activity data'!AL7*EF!$H6)*kgtoGg,IF('Net zero activities &amp; levers'!$C$14="On",('Net zero Activity data'!AL7*EF!$H6)*kgtoGg,"ERROR"))</f>
        <v>26.210100241429942</v>
      </c>
      <c r="T1069" s="93">
        <f>IF('Net zero activities &amp; levers'!$C$14="Off",('Activity data'!AM7*EF!$H6)*kgtoGg,IF('Net zero activities &amp; levers'!$C$14="On",('Net zero Activity data'!AM7*EF!$H6)*kgtoGg,"ERROR"))</f>
        <v>26.511311310571692</v>
      </c>
      <c r="U1069" s="93">
        <f>IF('Net zero activities &amp; levers'!$C$14="Off",('Activity data'!AN7*EF!$H6)*kgtoGg,IF('Net zero activities &amp; levers'!$C$14="On",('Net zero Activity data'!AN7*EF!$H6)*kgtoGg,"ERROR"))</f>
        <v>26.747341959142467</v>
      </c>
      <c r="V1069" s="93">
        <f>IF('Net zero activities &amp; levers'!$C$14="Off",('Activity data'!AO7*EF!$H6)*kgtoGg,IF('Net zero activities &amp; levers'!$C$14="On",('Net zero Activity data'!AO7*EF!$H6)*kgtoGg,"ERROR"))</f>
        <v>26.970955063490745</v>
      </c>
      <c r="W1069" s="93">
        <f>IF('Net zero activities &amp; levers'!$C$14="Off",('Activity data'!AP7*EF!$H6)*kgtoGg,IF('Net zero activities &amp; levers'!$C$14="On",('Net zero Activity data'!AP7*EF!$H6)*kgtoGg,"ERROR"))</f>
        <v>27.232380627762737</v>
      </c>
      <c r="X1069" s="93">
        <f>IF('Net zero activities &amp; levers'!$C$14="Off",('Activity data'!AQ7*EF!$H6)*kgtoGg,IF('Net zero activities &amp; levers'!$C$14="On",('Net zero Activity data'!AQ7*EF!$H6)*kgtoGg,"ERROR"))</f>
        <v>27.482740856814136</v>
      </c>
      <c r="Y1069" s="93">
        <f>IF('Net zero activities &amp; levers'!$C$14="Off",('Activity data'!AR7*EF!$H6)*kgtoGg,IF('Net zero activities &amp; levers'!$C$14="On",('Net zero Activity data'!AR7*EF!$H6)*kgtoGg,"ERROR"))</f>
        <v>27.692716262237859</v>
      </c>
      <c r="Z1069" s="93">
        <f>IF('Net zero activities &amp; levers'!$C$14="Off",('Activity data'!AS7*EF!$H6)*kgtoGg,IF('Net zero activities &amp; levers'!$C$14="On",('Net zero Activity data'!AS7*EF!$H6)*kgtoGg,"ERROR"))</f>
        <v>27.896859680780135</v>
      </c>
      <c r="AA1069" s="93">
        <f>IF('Net zero activities &amp; levers'!$C$14="Off",('Activity data'!AT7*EF!$H6)*kgtoGg,IF('Net zero activities &amp; levers'!$C$14="On",('Net zero Activity data'!AT7*EF!$H6)*kgtoGg,"ERROR"))</f>
        <v>28.09049244422182</v>
      </c>
      <c r="AB1069" s="93">
        <f>IF('Net zero activities &amp; levers'!$C$14="Off",('Activity data'!AU7*EF!$H6)*kgtoGg,IF('Net zero activities &amp; levers'!$C$14="On",('Net zero Activity data'!AU7*EF!$H6)*kgtoGg,"ERROR"))</f>
        <v>28.342374249898288</v>
      </c>
      <c r="AC1069" s="93">
        <f>IF('Net zero activities &amp; levers'!$C$14="Off",('Activity data'!AV7*EF!$H6)*kgtoGg,IF('Net zero activities &amp; levers'!$C$14="On",('Net zero Activity data'!AV7*EF!$H6)*kgtoGg,"ERROR"))</f>
        <v>28.592960840439176</v>
      </c>
      <c r="AD1069" s="93">
        <f>IF('Net zero activities &amp; levers'!$C$14="Off",('Activity data'!AW7*EF!$H6)*kgtoGg,IF('Net zero activities &amp; levers'!$C$14="On",('Net zero Activity data'!AW7*EF!$H6)*kgtoGg,"ERROR"))</f>
        <v>28.854395122067867</v>
      </c>
      <c r="AE1069" s="93">
        <f>IF('Net zero activities &amp; levers'!$C$14="Off",('Activity data'!AX7*EF!$H6)*kgtoGg,IF('Net zero activities &amp; levers'!$C$14="On",('Net zero Activity data'!AX7*EF!$H6)*kgtoGg,"ERROR"))</f>
        <v>29.173339075011846</v>
      </c>
      <c r="AF1069" s="93">
        <f>IF('Net zero activities &amp; levers'!$C$14="Off",('Activity data'!AY7*EF!$H6)*kgtoGg,IF('Net zero activities &amp; levers'!$C$14="On",('Net zero Activity data'!AY7*EF!$H6)*kgtoGg,"ERROR"))</f>
        <v>29.522017719311339</v>
      </c>
      <c r="AG1069" s="93">
        <f>IF('Net zero activities &amp; levers'!$C$14="Off",('Activity data'!AZ7*EF!$H6)*kgtoGg,IF('Net zero activities &amp; levers'!$C$14="On",('Net zero Activity data'!AZ7*EF!$H6)*kgtoGg,"ERROR"))</f>
        <v>29.9330381344923</v>
      </c>
      <c r="AH1069" s="93">
        <f>IF('Net zero activities &amp; levers'!$C$14="Off",('Activity data'!BA7*EF!$H6)*kgtoGg,IF('Net zero activities &amp; levers'!$C$14="On",('Net zero Activity data'!BA7*EF!$H6)*kgtoGg,"ERROR"))</f>
        <v>30.258567337662207</v>
      </c>
      <c r="AI1069" s="93">
        <f>IF('Net zero activities &amp; levers'!$C$14="Off",('Activity data'!BB7*EF!$H6)*kgtoGg,IF('Net zero activities &amp; levers'!$C$14="On",('Net zero Activity data'!BB7*EF!$H6)*kgtoGg,"ERROR"))</f>
        <v>30.560980439610169</v>
      </c>
      <c r="AJ1069" s="93">
        <f>IF('Net zero activities &amp; levers'!$C$14="Off",('Activity data'!BC7*EF!$H6)*kgtoGg,IF('Net zero activities &amp; levers'!$C$14="On",('Net zero Activity data'!BC7*EF!$H6)*kgtoGg,"ERROR"))</f>
        <v>30.896548311033232</v>
      </c>
      <c r="AK1069" s="93">
        <f>IF('Net zero activities &amp; levers'!$C$14="Off",('Activity data'!BD7*EF!$H6)*kgtoGg,IF('Net zero activities &amp; levers'!$C$14="On",('Net zero Activity data'!BD7*EF!$H6)*kgtoGg,"ERROR"))</f>
        <v>31.223105891981344</v>
      </c>
      <c r="AL1069" s="93">
        <f>IF('Net zero activities &amp; levers'!$C$14="Off",('Activity data'!BE7*EF!$H6)*kgtoGg,IF('Net zero activities &amp; levers'!$C$14="On",('Net zero Activity data'!BE7*EF!$H6)*kgtoGg,"ERROR"))</f>
        <v>31.569436028090372</v>
      </c>
      <c r="AM1069" s="93">
        <f>IF('Net zero activities &amp; levers'!$C$14="Off",('Activity data'!BF7*EF!$H6)*kgtoGg,IF('Net zero activities &amp; levers'!$C$14="On",('Net zero Activity data'!BF7*EF!$H6)*kgtoGg,"ERROR"))</f>
        <v>31.920744707320974</v>
      </c>
      <c r="AN1069" s="93">
        <f>IF('Net zero activities &amp; levers'!$C$14="Off",('Activity data'!BG7*EF!$H6)*kgtoGg,IF('Net zero activities &amp; levers'!$C$14="On",('Net zero Activity data'!BG7*EF!$H6)*kgtoGg,"ERROR"))</f>
        <v>32.308992549889602</v>
      </c>
      <c r="AO1069" s="93">
        <f>IF('Net zero activities &amp; levers'!$C$14="Off",('Activity data'!BH7*EF!$H6)*kgtoGg,IF('Net zero activities &amp; levers'!$C$14="On",('Net zero Activity data'!BH7*EF!$H6)*kgtoGg,"ERROR"))</f>
        <v>32.683979614872385</v>
      </c>
      <c r="AP1069" s="93">
        <f>IF('Net zero activities &amp; levers'!$C$14="Off",('Activity data'!BI7*EF!$H6)*kgtoGg,IF('Net zero activities &amp; levers'!$C$14="On",('Net zero Activity data'!BI7*EF!$H6)*kgtoGg,"ERROR"))</f>
        <v>33.067881015679681</v>
      </c>
      <c r="AQ1069" s="93">
        <f>IF('Net zero activities &amp; levers'!$C$14="Off",('Activity data'!BJ7*EF!$H6)*kgtoGg,IF('Net zero activities &amp; levers'!$C$14="On",('Net zero Activity data'!BJ7*EF!$H6)*kgtoGg,"ERROR"))</f>
        <v>33.466517724346836</v>
      </c>
      <c r="AR1069" s="93">
        <f>IF('Net zero activities &amp; levers'!$C$14="Off",('Activity data'!BK7*EF!$H6)*kgtoGg,IF('Net zero activities &amp; levers'!$C$14="On",('Net zero Activity data'!BK7*EF!$H6)*kgtoGg,"ERROR"))</f>
        <v>33.882168742717873</v>
      </c>
      <c r="AS1069" s="93">
        <f>IF('Net zero activities &amp; levers'!$C$14="Off",('Activity data'!BL7*EF!$H6)*kgtoGg,IF('Net zero activities &amp; levers'!$C$14="On",('Net zero Activity data'!BL7*EF!$H6)*kgtoGg,"ERROR"))</f>
        <v>34.344993057771696</v>
      </c>
      <c r="AT1069" s="93">
        <f>IF('Net zero activities &amp; levers'!$C$14="Off",('Activity data'!BM7*EF!$H6)*kgtoGg,IF('Net zero activities &amp; levers'!$C$14="On",('Net zero Activity data'!BM7*EF!$H6)*kgtoGg,"ERROR"))</f>
        <v>34.661536098426936</v>
      </c>
      <c r="AU1069" s="93">
        <f>IF('Net zero activities &amp; levers'!$C$14="Off",('Activity data'!BN7*EF!$H6)*kgtoGg,IF('Net zero activities &amp; levers'!$C$14="On",('Net zero Activity data'!BN7*EF!$H6)*kgtoGg,"ERROR"))</f>
        <v>34.970799058367312</v>
      </c>
      <c r="AV1069" s="93">
        <f>IF('Net zero activities &amp; levers'!$C$14="Off",('Activity data'!BO7*EF!$H6)*kgtoGg,IF('Net zero activities &amp; levers'!$C$14="On",('Net zero Activity data'!BO7*EF!$H6)*kgtoGg,"ERROR"))</f>
        <v>35.288825412089835</v>
      </c>
      <c r="AW1069" s="93">
        <f>IF('Net zero activities &amp; levers'!$C$14="Off",('Activity data'!BP7*EF!$H6)*kgtoGg,IF('Net zero activities &amp; levers'!$C$14="On",('Net zero Activity data'!BP7*EF!$H6)*kgtoGg,"ERROR"))</f>
        <v>35.608826932312567</v>
      </c>
      <c r="AY1069" s="79"/>
    </row>
    <row r="1070" spans="1:52" x14ac:dyDescent="0.2">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463.23498593143194</v>
      </c>
      <c r="L1070" s="93">
        <f>IF('Net zero activities &amp; levers'!$C$14="Off",('Activity data'!AE8*EF!$H7)*kgtoGg,IF('Net zero activities &amp; levers'!$C$14="On",('Net zero Activity data'!AE8*EF!$H7)*kgtoGg,"ERROR"))</f>
        <v>459.21749683621613</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442.70486896910745</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367.15498253629937</v>
      </c>
      <c r="T1070" s="93">
        <f>IF('Net zero activities &amp; levers'!$C$14="Off",('Activity data'!AM8*EF!$H7)*kgtoGg,IF('Net zero activities &amp; levers'!$C$14="On",('Net zero Activity data'!AM8*EF!$H7)*kgtoGg,"ERROR"))</f>
        <v>374.17792302484366</v>
      </c>
      <c r="U1070" s="93">
        <f>IF('Net zero activities &amp; levers'!$C$14="Off",('Activity data'!AN8*EF!$H7)*kgtoGg,IF('Net zero activities &amp; levers'!$C$14="On",('Net zero Activity data'!AN8*EF!$H7)*kgtoGg,"ERROR"))</f>
        <v>377.93282085404854</v>
      </c>
      <c r="V1070" s="93">
        <f>IF('Net zero activities &amp; levers'!$C$14="Off",('Activity data'!AO8*EF!$H7)*kgtoGg,IF('Net zero activities &amp; levers'!$C$14="On",('Net zero Activity data'!AO8*EF!$H7)*kgtoGg,"ERROR"))</f>
        <v>380.82330647770999</v>
      </c>
      <c r="W1070" s="93">
        <f>IF('Net zero activities &amp; levers'!$C$14="Off",('Activity data'!AP8*EF!$H7)*kgtoGg,IF('Net zero activities &amp; levers'!$C$14="On",('Net zero Activity data'!AP8*EF!$H7)*kgtoGg,"ERROR"))</f>
        <v>385.00539013713677</v>
      </c>
      <c r="X1070" s="93">
        <f>IF('Net zero activities &amp; levers'!$C$14="Off",('Activity data'!AQ8*EF!$H7)*kgtoGg,IF('Net zero activities &amp; levers'!$C$14="On",('Net zero Activity data'!AQ8*EF!$H7)*kgtoGg,"ERROR"))</f>
        <v>388.39937435322344</v>
      </c>
      <c r="Y1070" s="93">
        <f>IF('Net zero activities &amp; levers'!$C$14="Off",('Activity data'!AR8*EF!$H7)*kgtoGg,IF('Net zero activities &amp; levers'!$C$14="On",('Net zero Activity data'!AR8*EF!$H7)*kgtoGg,"ERROR"))</f>
        <v>390.58732526700504</v>
      </c>
      <c r="Z1070" s="93">
        <f>IF('Net zero activities &amp; levers'!$C$14="Off",('Activity data'!AS8*EF!$H7)*kgtoGg,IF('Net zero activities &amp; levers'!$C$14="On",('Net zero Activity data'!AS8*EF!$H7)*kgtoGg,"ERROR"))</f>
        <v>392.29048134112935</v>
      </c>
      <c r="AA1070" s="93">
        <f>IF('Net zero activities &amp; levers'!$C$14="Off",('Activity data'!AT8*EF!$H7)*kgtoGg,IF('Net zero activities &amp; levers'!$C$14="On",('Net zero Activity data'!AT8*EF!$H7)*kgtoGg,"ERROR"))</f>
        <v>393.3460659926933</v>
      </c>
      <c r="AB1070" s="93">
        <f>IF('Net zero activities &amp; levers'!$C$14="Off",('Activity data'!AU8*EF!$H7)*kgtoGg,IF('Net zero activities &amp; levers'!$C$14="On",('Net zero Activity data'!AU8*EF!$H7)*kgtoGg,"ERROR"))</f>
        <v>396.4710114468906</v>
      </c>
      <c r="AC1070" s="93">
        <f>IF('Net zero activities &amp; levers'!$C$14="Off",('Activity data'!AV8*EF!$H7)*kgtoGg,IF('Net zero activities &amp; levers'!$C$14="On",('Net zero Activity data'!AV8*EF!$H7)*kgtoGg,"ERROR"))</f>
        <v>399.28270780279126</v>
      </c>
      <c r="AD1070" s="93">
        <f>IF('Net zero activities &amp; levers'!$C$14="Off",('Activity data'!AW8*EF!$H7)*kgtoGg,IF('Net zero activities &amp; levers'!$C$14="On",('Net zero Activity data'!AW8*EF!$H7)*kgtoGg,"ERROR"))</f>
        <v>399.42772456608003</v>
      </c>
      <c r="AE1070" s="93">
        <f>IF('Net zero activities &amp; levers'!$C$14="Off",('Activity data'!AX8*EF!$H7)*kgtoGg,IF('Net zero activities &amp; levers'!$C$14="On",('Net zero Activity data'!AX8*EF!$H7)*kgtoGg,"ERROR"))</f>
        <v>401.31130224565624</v>
      </c>
      <c r="AF1070" s="93">
        <f>IF('Net zero activities &amp; levers'!$C$14="Off",('Activity data'!AY8*EF!$H7)*kgtoGg,IF('Net zero activities &amp; levers'!$C$14="On",('Net zero Activity data'!AY8*EF!$H7)*kgtoGg,"ERROR"))</f>
        <v>403.80208635683084</v>
      </c>
      <c r="AG1070" s="93">
        <f>IF('Net zero activities &amp; levers'!$C$14="Off",('Activity data'!AZ8*EF!$H7)*kgtoGg,IF('Net zero activities &amp; levers'!$C$14="On",('Net zero Activity data'!AZ8*EF!$H7)*kgtoGg,"ERROR"))</f>
        <v>407.98386284391222</v>
      </c>
      <c r="AH1070" s="93">
        <f>IF('Net zero activities &amp; levers'!$C$14="Off",('Activity data'!BA8*EF!$H7)*kgtoGg,IF('Net zero activities &amp; levers'!$C$14="On",('Net zero Activity data'!BA8*EF!$H7)*kgtoGg,"ERROR"))</f>
        <v>408.65175931008923</v>
      </c>
      <c r="AI1070" s="93">
        <f>IF('Net zero activities &amp; levers'!$C$14="Off",('Activity data'!BB8*EF!$H7)*kgtoGg,IF('Net zero activities &amp; levers'!$C$14="On",('Net zero Activity data'!BB8*EF!$H7)*kgtoGg,"ERROR"))</f>
        <v>408.58164952357384</v>
      </c>
      <c r="AJ1070" s="93">
        <f>IF('Net zero activities &amp; levers'!$C$14="Off",('Activity data'!BC8*EF!$H7)*kgtoGg,IF('Net zero activities &amp; levers'!$C$14="On",('Net zero Activity data'!BC8*EF!$H7)*kgtoGg,"ERROR"))</f>
        <v>409.1951949125646</v>
      </c>
      <c r="AK1070" s="93">
        <f>IF('Net zero activities &amp; levers'!$C$14="Off",('Activity data'!BD8*EF!$H7)*kgtoGg,IF('Net zero activities &amp; levers'!$C$14="On",('Net zero Activity data'!BD8*EF!$H7)*kgtoGg,"ERROR"))</f>
        <v>409.08195160336288</v>
      </c>
      <c r="AL1070" s="93">
        <f>IF('Net zero activities &amp; levers'!$C$14="Off",('Activity data'!BE8*EF!$H7)*kgtoGg,IF('Net zero activities &amp; levers'!$C$14="On",('Net zero Activity data'!BE8*EF!$H7)*kgtoGg,"ERROR"))</f>
        <v>409.16859653567815</v>
      </c>
      <c r="AM1070" s="93">
        <f>IF('Net zero activities &amp; levers'!$C$14="Off",('Activity data'!BF8*EF!$H7)*kgtoGg,IF('Net zero activities &amp; levers'!$C$14="On",('Net zero Activity data'!BF8*EF!$H7)*kgtoGg,"ERROR"))</f>
        <v>408.97195804089159</v>
      </c>
      <c r="AN1070" s="93">
        <f>IF('Net zero activities &amp; levers'!$C$14="Off",('Activity data'!BG8*EF!$H7)*kgtoGg,IF('Net zero activities &amp; levers'!$C$14="On",('Net zero Activity data'!BG8*EF!$H7)*kgtoGg,"ERROR"))</f>
        <v>411.90729074702386</v>
      </c>
      <c r="AO1070" s="93">
        <f>IF('Net zero activities &amp; levers'!$C$14="Off",('Activity data'!BH8*EF!$H7)*kgtoGg,IF('Net zero activities &amp; levers'!$C$14="On",('Net zero Activity data'!BH8*EF!$H7)*kgtoGg,"ERROR"))</f>
        <v>414.05465326248105</v>
      </c>
      <c r="AP1070" s="93">
        <f>IF('Net zero activities &amp; levers'!$C$14="Off",('Activity data'!BI8*EF!$H7)*kgtoGg,IF('Net zero activities &amp; levers'!$C$14="On",('Net zero Activity data'!BI8*EF!$H7)*kgtoGg,"ERROR"))</f>
        <v>416.07811841242483</v>
      </c>
      <c r="AQ1070" s="93">
        <f>IF('Net zero activities &amp; levers'!$C$14="Off",('Activity data'!BJ8*EF!$H7)*kgtoGg,IF('Net zero activities &amp; levers'!$C$14="On",('Net zero Activity data'!BJ8*EF!$H7)*kgtoGg,"ERROR"))</f>
        <v>418.1325060798996</v>
      </c>
      <c r="AR1070" s="93">
        <f>IF('Net zero activities &amp; levers'!$C$14="Off",('Activity data'!BK8*EF!$H7)*kgtoGg,IF('Net zero activities &amp; levers'!$C$14="On",('Net zero Activity data'!BK8*EF!$H7)*kgtoGg,"ERROR"))</f>
        <v>420.26236757752156</v>
      </c>
      <c r="AS1070" s="93">
        <f>IF('Net zero activities &amp; levers'!$C$14="Off",('Activity data'!BL8*EF!$H7)*kgtoGg,IF('Net zero activities &amp; levers'!$C$14="On",('Net zero Activity data'!BL8*EF!$H7)*kgtoGg,"ERROR"))</f>
        <v>423.60010489867818</v>
      </c>
      <c r="AT1070" s="93">
        <f>IF('Net zero activities &amp; levers'!$C$14="Off",('Activity data'!BM8*EF!$H7)*kgtoGg,IF('Net zero activities &amp; levers'!$C$14="On",('Net zero Activity data'!BM8*EF!$H7)*kgtoGg,"ERROR"))</f>
        <v>422.65999996405498</v>
      </c>
      <c r="AU1070" s="93">
        <f>IF('Net zero activities &amp; levers'!$C$14="Off",('Activity data'!BN8*EF!$H7)*kgtoGg,IF('Net zero activities &amp; levers'!$C$14="On",('Net zero Activity data'!BN8*EF!$H7)*kgtoGg,"ERROR"))</f>
        <v>421.25049365965373</v>
      </c>
      <c r="AV1070" s="93">
        <f>IF('Net zero activities &amp; levers'!$C$14="Off",('Activity data'!BO8*EF!$H7)*kgtoGg,IF('Net zero activities &amp; levers'!$C$14="On",('Net zero Activity data'!BO8*EF!$H7)*kgtoGg,"ERROR"))</f>
        <v>419.79062743125479</v>
      </c>
      <c r="AW1070" s="93">
        <f>IF('Net zero activities &amp; levers'!$C$14="Off",('Activity data'!BP8*EF!$H7)*kgtoGg,IF('Net zero activities &amp; levers'!$C$14="On",('Net zero Activity data'!BP8*EF!$H7)*kgtoGg,"ERROR"))</f>
        <v>418.10572325664367</v>
      </c>
      <c r="AY1070" s="79"/>
    </row>
    <row r="1071" spans="1:52" x14ac:dyDescent="0.2">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326.20040935577742</v>
      </c>
      <c r="L1071" s="93">
        <f>IF('Net zero activities &amp; levers'!$C$14="Off",('Activity data'!AE9*EF!$H8)*kgtoGg,IF('Net zero activities &amp; levers'!$C$14="On",('Net zero Activity data'!AE9*EF!$H8)*kgtoGg,"ERROR"))</f>
        <v>323.37137738012325</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311.74352945546798</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258.54287615936238</v>
      </c>
      <c r="T1071" s="93">
        <f>IF('Net zero activities &amp; levers'!$C$14="Off",('Activity data'!AM9*EF!$H8)*kgtoGg,IF('Net zero activities &amp; levers'!$C$14="On",('Net zero Activity data'!AM9*EF!$H8)*kgtoGg,"ERROR"))</f>
        <v>263.48828428227887</v>
      </c>
      <c r="U1071" s="93">
        <f>IF('Net zero activities &amp; levers'!$C$14="Off",('Activity data'!AN9*EF!$H8)*kgtoGg,IF('Net zero activities &amp; levers'!$C$14="On",('Net zero Activity data'!AN9*EF!$H8)*kgtoGg,"ERROR"))</f>
        <v>266.13240496870094</v>
      </c>
      <c r="V1071" s="93">
        <f>IF('Net zero activities &amp; levers'!$C$14="Off",('Activity data'!AO9*EF!$H8)*kgtoGg,IF('Net zero activities &amp; levers'!$C$14="On",('Net zero Activity data'!AO9*EF!$H8)*kgtoGg,"ERROR"))</f>
        <v>268.167824620305</v>
      </c>
      <c r="W1071" s="93">
        <f>IF('Net zero activities &amp; levers'!$C$14="Off",('Activity data'!AP9*EF!$H8)*kgtoGg,IF('Net zero activities &amp; levers'!$C$14="On",('Net zero Activity data'!AP9*EF!$H8)*kgtoGg,"ERROR"))</f>
        <v>271.11276065297989</v>
      </c>
      <c r="X1071" s="93">
        <f>IF('Net zero activities &amp; levers'!$C$14="Off",('Activity data'!AQ9*EF!$H8)*kgtoGg,IF('Net zero activities &amp; levers'!$C$14="On",('Net zero Activity data'!AQ9*EF!$H8)*kgtoGg,"ERROR"))</f>
        <v>273.50273350532916</v>
      </c>
      <c r="Y1071" s="93">
        <f>IF('Net zero activities &amp; levers'!$C$14="Off",('Activity data'!AR9*EF!$H8)*kgtoGg,IF('Net zero activities &amp; levers'!$C$14="On",('Net zero Activity data'!AR9*EF!$H8)*kgtoGg,"ERROR"))</f>
        <v>275.0434428761701</v>
      </c>
      <c r="Z1071" s="93">
        <f>IF('Net zero activities &amp; levers'!$C$14="Off",('Activity data'!AS9*EF!$H8)*kgtoGg,IF('Net zero activities &amp; levers'!$C$14="On",('Net zero Activity data'!AS9*EF!$H8)*kgtoGg,"ERROR"))</f>
        <v>276.2427698386166</v>
      </c>
      <c r="AA1071" s="93">
        <f>IF('Net zero activities &amp; levers'!$C$14="Off",('Activity data'!AT9*EF!$H8)*kgtoGg,IF('Net zero activities &amp; levers'!$C$14="On",('Net zero Activity data'!AT9*EF!$H8)*kgtoGg,"ERROR"))</f>
        <v>276.98609052014405</v>
      </c>
      <c r="AB1071" s="93">
        <f>IF('Net zero activities &amp; levers'!$C$14="Off",('Activity data'!AU9*EF!$H8)*kgtoGg,IF('Net zero activities &amp; levers'!$C$14="On",('Net zero Activity data'!AU9*EF!$H8)*kgtoGg,"ERROR"))</f>
        <v>279.18661189122298</v>
      </c>
      <c r="AC1071" s="93">
        <f>IF('Net zero activities &amp; levers'!$C$14="Off",('Activity data'!AV9*EF!$H8)*kgtoGg,IF('Net zero activities &amp; levers'!$C$14="On",('Net zero Activity data'!AV9*EF!$H8)*kgtoGg,"ERROR"))</f>
        <v>281.1665497848058</v>
      </c>
      <c r="AD1071" s="93">
        <f>IF('Net zero activities &amp; levers'!$C$14="Off",('Activity data'!AW9*EF!$H8)*kgtoGg,IF('Net zero activities &amp; levers'!$C$14="On",('Net zero Activity data'!AW9*EF!$H8)*kgtoGg,"ERROR"))</f>
        <v>281.26866756300677</v>
      </c>
      <c r="AE1071" s="93">
        <f>IF('Net zero activities &amp; levers'!$C$14="Off",('Activity data'!AX9*EF!$H8)*kgtoGg,IF('Net zero activities &amp; levers'!$C$14="On",('Net zero Activity data'!AX9*EF!$H8)*kgtoGg,"ERROR"))</f>
        <v>282.59504365460464</v>
      </c>
      <c r="AF1071" s="93">
        <f>IF('Net zero activities &amp; levers'!$C$14="Off",('Activity data'!AY9*EF!$H8)*kgtoGg,IF('Net zero activities &amp; levers'!$C$14="On",('Net zero Activity data'!AY9*EF!$H8)*kgtoGg,"ERROR"))</f>
        <v>284.34900184290586</v>
      </c>
      <c r="AG1071" s="93">
        <f>IF('Net zero activities &amp; levers'!$C$14="Off",('Activity data'!AZ9*EF!$H8)*kgtoGg,IF('Net zero activities &amp; levers'!$C$14="On",('Net zero Activity data'!AZ9*EF!$H8)*kgtoGg,"ERROR"))</f>
        <v>287.29372157122594</v>
      </c>
      <c r="AH1071" s="93">
        <f>IF('Net zero activities &amp; levers'!$C$14="Off",('Activity data'!BA9*EF!$H8)*kgtoGg,IF('Net zero activities &amp; levers'!$C$14="On",('Net zero Activity data'!BA9*EF!$H8)*kgtoGg,"ERROR"))</f>
        <v>287.76404032367537</v>
      </c>
      <c r="AI1071" s="93">
        <f>IF('Net zero activities &amp; levers'!$C$14="Off",('Activity data'!BB9*EF!$H8)*kgtoGg,IF('Net zero activities &amp; levers'!$C$14="On",('Net zero Activity data'!BB9*EF!$H8)*kgtoGg,"ERROR"))</f>
        <v>287.71467047520593</v>
      </c>
      <c r="AJ1071" s="93">
        <f>IF('Net zero activities &amp; levers'!$C$14="Off",('Activity data'!BC9*EF!$H8)*kgtoGg,IF('Net zero activities &amp; levers'!$C$14="On",('Net zero Activity data'!BC9*EF!$H8)*kgtoGg,"ERROR"))</f>
        <v>288.14671633341055</v>
      </c>
      <c r="AK1071" s="93">
        <f>IF('Net zero activities &amp; levers'!$C$14="Off",('Activity data'!BD9*EF!$H8)*kgtoGg,IF('Net zero activities &amp; levers'!$C$14="On",('Net zero Activity data'!BD9*EF!$H8)*kgtoGg,"ERROR"))</f>
        <v>288.06697275846409</v>
      </c>
      <c r="AL1071" s="93">
        <f>IF('Net zero activities &amp; levers'!$C$14="Off",('Activity data'!BE9*EF!$H8)*kgtoGg,IF('Net zero activities &amp; levers'!$C$14="On",('Net zero Activity data'!BE9*EF!$H8)*kgtoGg,"ERROR"))</f>
        <v>288.12798631151645</v>
      </c>
      <c r="AM1071" s="93">
        <f>IF('Net zero activities &amp; levers'!$C$14="Off",('Activity data'!BF9*EF!$H8)*kgtoGg,IF('Net zero activities &amp; levers'!$C$14="On",('Net zero Activity data'!BF9*EF!$H8)*kgtoGg,"ERROR"))</f>
        <v>287.98951758734296</v>
      </c>
      <c r="AN1071" s="93">
        <f>IF('Net zero activities &amp; levers'!$C$14="Off",('Activity data'!BG9*EF!$H8)*kgtoGg,IF('Net zero activities &amp; levers'!$C$14="On",('Net zero Activity data'!BG9*EF!$H8)*kgtoGg,"ERROR"))</f>
        <v>290.05651761846218</v>
      </c>
      <c r="AO1071" s="93">
        <f>IF('Net zero activities &amp; levers'!$C$14="Off",('Activity data'!BH9*EF!$H8)*kgtoGg,IF('Net zero activities &amp; levers'!$C$14="On",('Net zero Activity data'!BH9*EF!$H8)*kgtoGg,"ERROR"))</f>
        <v>291.56864548628482</v>
      </c>
      <c r="AP1071" s="93">
        <f>IF('Net zero activities &amp; levers'!$C$14="Off",('Activity data'!BI9*EF!$H8)*kgtoGg,IF('Net zero activities &amp; levers'!$C$14="On",('Net zero Activity data'!BI9*EF!$H8)*kgtoGg,"ERROR"))</f>
        <v>292.99352741505732</v>
      </c>
      <c r="AQ1071" s="93">
        <f>IF('Net zero activities &amp; levers'!$C$14="Off",('Activity data'!BJ9*EF!$H8)*kgtoGg,IF('Net zero activities &amp; levers'!$C$14="On",('Net zero Activity data'!BJ9*EF!$H8)*kgtoGg,"ERROR"))</f>
        <v>294.44018433532034</v>
      </c>
      <c r="AR1071" s="93">
        <f>IF('Net zero activities &amp; levers'!$C$14="Off",('Activity data'!BK9*EF!$H8)*kgtoGg,IF('Net zero activities &amp; levers'!$C$14="On",('Net zero Activity data'!BK9*EF!$H8)*kgtoGg,"ERROR"))</f>
        <v>295.93998835163069</v>
      </c>
      <c r="AS1071" s="93">
        <f>IF('Net zero activities &amp; levers'!$C$14="Off",('Activity data'!BL9*EF!$H8)*kgtoGg,IF('Net zero activities &amp; levers'!$C$14="On",('Net zero Activity data'!BL9*EF!$H8)*kgtoGg,"ERROR"))</f>
        <v>298.29035331444567</v>
      </c>
      <c r="AT1071" s="93">
        <f>IF('Net zero activities &amp; levers'!$C$14="Off",('Activity data'!BM9*EF!$H8)*kgtoGg,IF('Net zero activities &amp; levers'!$C$14="On",('Net zero Activity data'!BM9*EF!$H8)*kgtoGg,"ERROR"))</f>
        <v>297.62835103952062</v>
      </c>
      <c r="AU1071" s="93">
        <f>IF('Net zero activities &amp; levers'!$C$14="Off",('Activity data'!BN9*EF!$H8)*kgtoGg,IF('Net zero activities &amp; levers'!$C$14="On",('Net zero Activity data'!BN9*EF!$H8)*kgtoGg,"ERROR"))</f>
        <v>296.63580611642783</v>
      </c>
      <c r="AV1071" s="93">
        <f>IF('Net zero activities &amp; levers'!$C$14="Off",('Activity data'!BO9*EF!$H8)*kgtoGg,IF('Net zero activities &amp; levers'!$C$14="On",('Net zero Activity data'!BO9*EF!$H8)*kgtoGg,"ERROR"))</f>
        <v>295.60779878586987</v>
      </c>
      <c r="AW1071" s="93">
        <f>IF('Net zero activities &amp; levers'!$C$14="Off",('Activity data'!BP9*EF!$H8)*kgtoGg,IF('Net zero activities &amp; levers'!$C$14="On",('Net zero Activity data'!BP9*EF!$H8)*kgtoGg,"ERROR"))</f>
        <v>294.42132443014248</v>
      </c>
      <c r="AY1071" s="79"/>
    </row>
    <row r="1072" spans="1:52" x14ac:dyDescent="0.2">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32.967337371253549</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35.929559405213347</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34.950230908345851</v>
      </c>
      <c r="T1072" s="93">
        <f>IF('Net zero activities &amp; levers'!$C$14="Off",('Activity data'!AM10*EF!$H9)*kgtoGg,IF('Net zero activities &amp; levers'!$C$14="On",('Net zero Activity data'!AM10*EF!$H9)*kgtoGg,"ERROR"))</f>
        <v>36.476910772812936</v>
      </c>
      <c r="U1072" s="93">
        <f>IF('Net zero activities &amp; levers'!$C$14="Off",('Activity data'!AN10*EF!$H9)*kgtoGg,IF('Net zero activities &amp; levers'!$C$14="On",('Net zero Activity data'!AN10*EF!$H9)*kgtoGg,"ERROR"))</f>
        <v>37.718415782773874</v>
      </c>
      <c r="V1072" s="93">
        <f>IF('Net zero activities &amp; levers'!$C$14="Off",('Activity data'!AO10*EF!$H9)*kgtoGg,IF('Net zero activities &amp; levers'!$C$14="On",('Net zero Activity data'!AO10*EF!$H9)*kgtoGg,"ERROR"))</f>
        <v>38.898527693020689</v>
      </c>
      <c r="W1072" s="93">
        <f>IF('Net zero activities &amp; levers'!$C$14="Off",('Activity data'!AP10*EF!$H9)*kgtoGg,IF('Net zero activities &amp; levers'!$C$14="On",('Net zero Activity data'!AP10*EF!$H9)*kgtoGg,"ERROR"))</f>
        <v>40.237414938049668</v>
      </c>
      <c r="X1072" s="93">
        <f>IF('Net zero activities &amp; levers'!$C$14="Off",('Activity data'!AQ10*EF!$H9)*kgtoGg,IF('Net zero activities &amp; levers'!$C$14="On",('Net zero Activity data'!AQ10*EF!$H9)*kgtoGg,"ERROR"))</f>
        <v>41.522938460049829</v>
      </c>
      <c r="Y1072" s="93">
        <f>IF('Net zero activities &amp; levers'!$C$14="Off",('Activity data'!AR10*EF!$H9)*kgtoGg,IF('Net zero activities &amp; levers'!$C$14="On",('Net zero Activity data'!AR10*EF!$H9)*kgtoGg,"ERROR"))</f>
        <v>42.70469493542484</v>
      </c>
      <c r="Z1072" s="93">
        <f>IF('Net zero activities &amp; levers'!$C$14="Off",('Activity data'!AS10*EF!$H9)*kgtoGg,IF('Net zero activities &amp; levers'!$C$14="On",('Net zero Activity data'!AS10*EF!$H9)*kgtoGg,"ERROR"))</f>
        <v>43.855385473884439</v>
      </c>
      <c r="AA1072" s="93">
        <f>IF('Net zero activities &amp; levers'!$C$14="Off",('Activity data'!AT10*EF!$H9)*kgtoGg,IF('Net zero activities &amp; levers'!$C$14="On",('Net zero Activity data'!AT10*EF!$H9)*kgtoGg,"ERROR"))</f>
        <v>44.953640059313827</v>
      </c>
      <c r="AB1072" s="93">
        <f>IF('Net zero activities &amp; levers'!$C$14="Off",('Activity data'!AU10*EF!$H9)*kgtoGg,IF('Net zero activities &amp; levers'!$C$14="On",('Net zero Activity data'!AU10*EF!$H9)*kgtoGg,"ERROR"))</f>
        <v>46.312733612534437</v>
      </c>
      <c r="AC1072" s="93">
        <f>IF('Net zero activities &amp; levers'!$C$14="Off",('Activity data'!AV10*EF!$H9)*kgtoGg,IF('Net zero activities &amp; levers'!$C$14="On",('Net zero Activity data'!AV10*EF!$H9)*kgtoGg,"ERROR"))</f>
        <v>47.664904346752849</v>
      </c>
      <c r="AD1072" s="93">
        <f>IF('Net zero activities &amp; levers'!$C$14="Off",('Activity data'!AW10*EF!$H9)*kgtoGg,IF('Net zero activities &amp; levers'!$C$14="On",('Net zero Activity data'!AW10*EF!$H9)*kgtoGg,"ERROR"))</f>
        <v>49.26348738030724</v>
      </c>
      <c r="AE1072" s="93">
        <f>IF('Net zero activities &amp; levers'!$C$14="Off",('Activity data'!AX10*EF!$H9)*kgtoGg,IF('Net zero activities &amp; levers'!$C$14="On",('Net zero Activity data'!AX10*EF!$H9)*kgtoGg,"ERROR"))</f>
        <v>51.140360226431802</v>
      </c>
      <c r="AF1072" s="93">
        <f>IF('Net zero activities &amp; levers'!$C$14="Off",('Activity data'!AY10*EF!$H9)*kgtoGg,IF('Net zero activities &amp; levers'!$C$14="On",('Net zero Activity data'!AY10*EF!$H9)*kgtoGg,"ERROR"))</f>
        <v>53.171885770114415</v>
      </c>
      <c r="AG1072" s="93">
        <f>IF('Net zero activities &amp; levers'!$C$14="Off",('Activity data'!AZ10*EF!$H9)*kgtoGg,IF('Net zero activities &amp; levers'!$C$14="On",('Net zero Activity data'!AZ10*EF!$H9)*kgtoGg,"ERROR"))</f>
        <v>55.517780672546301</v>
      </c>
      <c r="AH1072" s="93">
        <f>IF('Net zero activities &amp; levers'!$C$14="Off",('Activity data'!BA10*EF!$H9)*kgtoGg,IF('Net zero activities &amp; levers'!$C$14="On",('Net zero Activity data'!BA10*EF!$H9)*kgtoGg,"ERROR"))</f>
        <v>57.473989711823819</v>
      </c>
      <c r="AI1072" s="93">
        <f>IF('Net zero activities &amp; levers'!$C$14="Off",('Activity data'!BB10*EF!$H9)*kgtoGg,IF('Net zero activities &amp; levers'!$C$14="On",('Net zero Activity data'!BB10*EF!$H9)*kgtoGg,"ERROR"))</f>
        <v>59.400170539570745</v>
      </c>
      <c r="AJ1072" s="93">
        <f>IF('Net zero activities &amp; levers'!$C$14="Off",('Activity data'!BC10*EF!$H9)*kgtoGg,IF('Net zero activities &amp; levers'!$C$14="On",('Net zero Activity data'!BC10*EF!$H9)*kgtoGg,"ERROR"))</f>
        <v>61.503665035599717</v>
      </c>
      <c r="AK1072" s="93">
        <f>IF('Net zero activities &amp; levers'!$C$14="Off",('Activity data'!BD10*EF!$H9)*kgtoGg,IF('Net zero activities &amp; levers'!$C$14="On",('Net zero Activity data'!BD10*EF!$H9)*kgtoGg,"ERROR"))</f>
        <v>63.580224043815704</v>
      </c>
      <c r="AL1072" s="93">
        <f>IF('Net zero activities &amp; levers'!$C$14="Off",('Activity data'!BE10*EF!$H9)*kgtoGg,IF('Net zero activities &amp; levers'!$C$14="On",('Net zero Activity data'!BE10*EF!$H9)*kgtoGg,"ERROR"))</f>
        <v>65.772430820326704</v>
      </c>
      <c r="AM1072" s="93">
        <f>IF('Net zero activities &amp; levers'!$C$14="Off",('Activity data'!BF10*EF!$H9)*kgtoGg,IF('Net zero activities &amp; levers'!$C$14="On",('Net zero Activity data'!BF10*EF!$H9)*kgtoGg,"ERROR"))</f>
        <v>68.008427307564773</v>
      </c>
      <c r="AN1072" s="93">
        <f>IF('Net zero activities &amp; levers'!$C$14="Off",('Activity data'!BG10*EF!$H9)*kgtoGg,IF('Net zero activities &amp; levers'!$C$14="On",('Net zero Activity data'!BG10*EF!$H9)*kgtoGg,"ERROR"))</f>
        <v>70.429193427330858</v>
      </c>
      <c r="AO1072" s="93">
        <f>IF('Net zero activities &amp; levers'!$C$14="Off",('Activity data'!BH10*EF!$H9)*kgtoGg,IF('Net zero activities &amp; levers'!$C$14="On",('Net zero Activity data'!BH10*EF!$H9)*kgtoGg,"ERROR"))</f>
        <v>72.800797343140431</v>
      </c>
      <c r="AP1072" s="93">
        <f>IF('Net zero activities &amp; levers'!$C$14="Off",('Activity data'!BI10*EF!$H9)*kgtoGg,IF('Net zero activities &amp; levers'!$C$14="On",('Net zero Activity data'!BI10*EF!$H9)*kgtoGg,"ERROR"))</f>
        <v>75.235904333723141</v>
      </c>
      <c r="AQ1072" s="93">
        <f>IF('Net zero activities &amp; levers'!$C$14="Off",('Activity data'!BJ10*EF!$H9)*kgtoGg,IF('Net zero activities &amp; levers'!$C$14="On",('Net zero Activity data'!BJ10*EF!$H9)*kgtoGg,"ERROR"))</f>
        <v>77.76567884273372</v>
      </c>
      <c r="AR1072" s="93">
        <f>IF('Net zero activities &amp; levers'!$C$14="Off",('Activity data'!BK10*EF!$H9)*kgtoGg,IF('Net zero activities &amp; levers'!$C$14="On",('Net zero Activity data'!BK10*EF!$H9)*kgtoGg,"ERROR"))</f>
        <v>80.403638096331917</v>
      </c>
      <c r="AS1072" s="93">
        <f>IF('Net zero activities &amp; levers'!$C$14="Off",('Activity data'!BL10*EF!$H9)*kgtoGg,IF('Net zero activities &amp; levers'!$C$14="On",('Net zero Activity data'!BL10*EF!$H9)*kgtoGg,"ERROR"))</f>
        <v>83.378734093878791</v>
      </c>
      <c r="AT1072" s="93">
        <f>IF('Net zero activities &amp; levers'!$C$14="Off",('Activity data'!BM10*EF!$H9)*kgtoGg,IF('Net zero activities &amp; levers'!$C$14="On",('Net zero Activity data'!BM10*EF!$H9)*kgtoGg,"ERROR"))</f>
        <v>85.605736773857444</v>
      </c>
      <c r="AU1072" s="93">
        <f>IF('Net zero activities &amp; levers'!$C$14="Off",('Activity data'!BN10*EF!$H9)*kgtoGg,IF('Net zero activities &amp; levers'!$C$14="On",('Net zero Activity data'!BN10*EF!$H9)*kgtoGg,"ERROR"))</f>
        <v>87.808938398132668</v>
      </c>
      <c r="AV1072" s="93">
        <f>IF('Net zero activities &amp; levers'!$C$14="Off",('Activity data'!BO10*EF!$H9)*kgtoGg,IF('Net zero activities &amp; levers'!$C$14="On",('Net zero Activity data'!BO10*EF!$H9)*kgtoGg,"ERROR"))</f>
        <v>90.073595848724253</v>
      </c>
      <c r="AW1072" s="93">
        <f>IF('Net zero activities &amp; levers'!$C$14="Off",('Activity data'!BP10*EF!$H9)*kgtoGg,IF('Net zero activities &amp; levers'!$C$14="On",('Net zero Activity data'!BP10*EF!$H9)*kgtoGg,"ERROR"))</f>
        <v>92.36408305346545</v>
      </c>
      <c r="AY1072" s="79"/>
    </row>
    <row r="1073" spans="1:51" x14ac:dyDescent="0.2">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135.26278530113291</v>
      </c>
      <c r="T1073" s="93">
        <f>IF('Net zero activities &amp; levers'!$C$14="Off",('Activity data'!AM11*EF!$H10)*kgtoGg,IF('Net zero activities &amp; levers'!$C$14="On",('Net zero Activity data'!AM11*EF!$H10)*kgtoGg,"ERROR"))</f>
        <v>135.46877954348926</v>
      </c>
      <c r="U1073" s="93">
        <f>IF('Net zero activities &amp; levers'!$C$14="Off",('Activity data'!AN11*EF!$H10)*kgtoGg,IF('Net zero activities &amp; levers'!$C$14="On",('Net zero Activity data'!AN11*EF!$H10)*kgtoGg,"ERROR"))</f>
        <v>135.70160233543365</v>
      </c>
      <c r="V1073" s="93">
        <f>IF('Net zero activities &amp; levers'!$C$14="Off",('Activity data'!AO11*EF!$H10)*kgtoGg,IF('Net zero activities &amp; levers'!$C$14="On",('Net zero Activity data'!AO11*EF!$H10)*kgtoGg,"ERROR"))</f>
        <v>135.96424702879582</v>
      </c>
      <c r="W1073" s="93">
        <f>IF('Net zero activities &amp; levers'!$C$14="Off",('Activity data'!AP11*EF!$H10)*kgtoGg,IF('Net zero activities &amp; levers'!$C$14="On",('Net zero Activity data'!AP11*EF!$H10)*kgtoGg,"ERROR"))</f>
        <v>136.25970300255619</v>
      </c>
      <c r="X1073" s="93">
        <f>IF('Net zero activities &amp; levers'!$C$14="Off",('Activity data'!AQ11*EF!$H10)*kgtoGg,IF('Net zero activities &amp; levers'!$C$14="On",('Net zero Activity data'!AQ11*EF!$H10)*kgtoGg,"ERROR"))</f>
        <v>136.58180937371023</v>
      </c>
      <c r="Y1073" s="93">
        <f>IF('Net zero activities &amp; levers'!$C$14="Off",('Activity data'!AR11*EF!$H10)*kgtoGg,IF('Net zero activities &amp; levers'!$C$14="On",('Net zero Activity data'!AR11*EF!$H10)*kgtoGg,"ERROR"))</f>
        <v>136.77771182752844</v>
      </c>
      <c r="Z1073" s="93">
        <f>IF('Net zero activities &amp; levers'!$C$14="Off",('Activity data'!AS11*EF!$H10)*kgtoGg,IF('Net zero activities &amp; levers'!$C$14="On",('Net zero Activity data'!AS11*EF!$H10)*kgtoGg,"ERROR"))</f>
        <v>136.99652360229675</v>
      </c>
      <c r="AA1073" s="93">
        <f>IF('Net zero activities &amp; levers'!$C$14="Off",('Activity data'!AT11*EF!$H10)*kgtoGg,IF('Net zero activities &amp; levers'!$C$14="On",('Net zero Activity data'!AT11*EF!$H10)*kgtoGg,"ERROR"))</f>
        <v>137.23663958086595</v>
      </c>
      <c r="AB1073" s="93">
        <f>IF('Net zero activities &amp; levers'!$C$14="Off",('Activity data'!AU11*EF!$H10)*kgtoGg,IF('Net zero activities &amp; levers'!$C$14="On",('Net zero Activity data'!AU11*EF!$H10)*kgtoGg,"ERROR"))</f>
        <v>137.50349615818331</v>
      </c>
      <c r="AC1073" s="93">
        <f>IF('Net zero activities &amp; levers'!$C$14="Off",('Activity data'!AV11*EF!$H10)*kgtoGg,IF('Net zero activities &amp; levers'!$C$14="On",('Net zero Activity data'!AV11*EF!$H10)*kgtoGg,"ERROR"))</f>
        <v>137.79053665720062</v>
      </c>
      <c r="AD1073" s="93">
        <f>IF('Net zero activities &amp; levers'!$C$14="Off",('Activity data'!AW11*EF!$H10)*kgtoGg,IF('Net zero activities &amp; levers'!$C$14="On",('Net zero Activity data'!AW11*EF!$H10)*kgtoGg,"ERROR"))</f>
        <v>137.97809778631554</v>
      </c>
      <c r="AE1073" s="93">
        <f>IF('Net zero activities &amp; levers'!$C$14="Off",('Activity data'!AX11*EF!$H10)*kgtoGg,IF('Net zero activities &amp; levers'!$C$14="On",('Net zero Activity data'!AX11*EF!$H10)*kgtoGg,"ERROR"))</f>
        <v>138.18863599200537</v>
      </c>
      <c r="AF1073" s="93">
        <f>IF('Net zero activities &amp; levers'!$C$14="Off",('Activity data'!AY11*EF!$H10)*kgtoGg,IF('Net zero activities &amp; levers'!$C$14="On",('Net zero Activity data'!AY11*EF!$H10)*kgtoGg,"ERROR"))</f>
        <v>138.41878788829575</v>
      </c>
      <c r="AG1073" s="93">
        <f>IF('Net zero activities &amp; levers'!$C$14="Off",('Activity data'!AZ11*EF!$H10)*kgtoGg,IF('Net zero activities &amp; levers'!$C$14="On",('Net zero Activity data'!AZ11*EF!$H10)*kgtoGg,"ERROR"))</f>
        <v>138.67094365352415</v>
      </c>
      <c r="AH1073" s="93">
        <f>IF('Net zero activities &amp; levers'!$C$14="Off",('Activity data'!BA11*EF!$H10)*kgtoGg,IF('Net zero activities &amp; levers'!$C$14="On",('Net zero Activity data'!BA11*EF!$H10)*kgtoGg,"ERROR"))</f>
        <v>138.93056254849651</v>
      </c>
      <c r="AI1073" s="93">
        <f>IF('Net zero activities &amp; levers'!$C$14="Off",('Activity data'!BB11*EF!$H10)*kgtoGg,IF('Net zero activities &amp; levers'!$C$14="On",('Net zero Activity data'!BB11*EF!$H10)*kgtoGg,"ERROR"))</f>
        <v>139.08967652077243</v>
      </c>
      <c r="AJ1073" s="93">
        <f>IF('Net zero activities &amp; levers'!$C$14="Off",('Activity data'!BC11*EF!$H10)*kgtoGg,IF('Net zero activities &amp; levers'!$C$14="On",('Net zero Activity data'!BC11*EF!$H10)*kgtoGg,"ERROR"))</f>
        <v>139.2654495830931</v>
      </c>
      <c r="AK1073" s="93">
        <f>IF('Net zero activities &amp; levers'!$C$14="Off",('Activity data'!BD11*EF!$H10)*kgtoGg,IF('Net zero activities &amp; levers'!$C$14="On",('Net zero Activity data'!BD11*EF!$H10)*kgtoGg,"ERROR"))</f>
        <v>139.4534011320402</v>
      </c>
      <c r="AL1073" s="93">
        <f>IF('Net zero activities &amp; levers'!$C$14="Off",('Activity data'!BE11*EF!$H10)*kgtoGg,IF('Net zero activities &amp; levers'!$C$14="On",('Net zero Activity data'!BE11*EF!$H10)*kgtoGg,"ERROR"))</f>
        <v>139.65576726304948</v>
      </c>
      <c r="AM1073" s="93">
        <f>IF('Net zero activities &amp; levers'!$C$14="Off",('Activity data'!BF11*EF!$H10)*kgtoGg,IF('Net zero activities &amp; levers'!$C$14="On",('Net zero Activity data'!BF11*EF!$H10)*kgtoGg,"ERROR"))</f>
        <v>139.87071929457153</v>
      </c>
      <c r="AN1073" s="93">
        <f>IF('Net zero activities &amp; levers'!$C$14="Off",('Activity data'!BG11*EF!$H10)*kgtoGg,IF('Net zero activities &amp; levers'!$C$14="On",('Net zero Activity data'!BG11*EF!$H10)*kgtoGg,"ERROR"))</f>
        <v>139.99537394141325</v>
      </c>
      <c r="AO1073" s="93">
        <f>IF('Net zero activities &amp; levers'!$C$14="Off",('Activity data'!BH11*EF!$H10)*kgtoGg,IF('Net zero activities &amp; levers'!$C$14="On",('Net zero Activity data'!BH11*EF!$H10)*kgtoGg,"ERROR"))</f>
        <v>140.12945613123219</v>
      </c>
      <c r="AP1073" s="93">
        <f>IF('Net zero activities &amp; levers'!$C$14="Off",('Activity data'!BI11*EF!$H10)*kgtoGg,IF('Net zero activities &amp; levers'!$C$14="On",('Net zero Activity data'!BI11*EF!$H10)*kgtoGg,"ERROR"))</f>
        <v>140.27467944669363</v>
      </c>
      <c r="AQ1073" s="93">
        <f>IF('Net zero activities &amp; levers'!$C$14="Off",('Activity data'!BJ11*EF!$H10)*kgtoGg,IF('Net zero activities &amp; levers'!$C$14="On",('Net zero Activity data'!BJ11*EF!$H10)*kgtoGg,"ERROR"))</f>
        <v>140.43124436652656</v>
      </c>
      <c r="AR1073" s="93">
        <f>IF('Net zero activities &amp; levers'!$C$14="Off",('Activity data'!BK11*EF!$H10)*kgtoGg,IF('Net zero activities &amp; levers'!$C$14="On",('Net zero Activity data'!BK11*EF!$H10)*kgtoGg,"ERROR"))</f>
        <v>140.59904144364654</v>
      </c>
      <c r="AS1073" s="93">
        <f>IF('Net zero activities &amp; levers'!$C$14="Off",('Activity data'!BL11*EF!$H10)*kgtoGg,IF('Net zero activities &amp; levers'!$C$14="On",('Net zero Activity data'!BL11*EF!$H10)*kgtoGg,"ERROR"))</f>
        <v>140.67407193187856</v>
      </c>
      <c r="AT1073" s="93">
        <f>IF('Net zero activities &amp; levers'!$C$14="Off",('Activity data'!BM11*EF!$H10)*kgtoGg,IF('Net zero activities &amp; levers'!$C$14="On",('Net zero Activity data'!BM11*EF!$H10)*kgtoGg,"ERROR"))</f>
        <v>140.74390740905804</v>
      </c>
      <c r="AU1073" s="93">
        <f>IF('Net zero activities &amp; levers'!$C$14="Off",('Activity data'!BN11*EF!$H10)*kgtoGg,IF('Net zero activities &amp; levers'!$C$14="On",('Net zero Activity data'!BN11*EF!$H10)*kgtoGg,"ERROR"))</f>
        <v>140.82132713333769</v>
      </c>
      <c r="AV1073" s="93">
        <f>IF('Net zero activities &amp; levers'!$C$14="Off",('Activity data'!BO11*EF!$H10)*kgtoGg,IF('Net zero activities &amp; levers'!$C$14="On",('Net zero Activity data'!BO11*EF!$H10)*kgtoGg,"ERROR"))</f>
        <v>140.90757206763405</v>
      </c>
      <c r="AW1073" s="93">
        <f>IF('Net zero activities &amp; levers'!$C$14="Off",('Activity data'!BP11*EF!$H10)*kgtoGg,IF('Net zero activities &amp; levers'!$C$14="On",('Net zero Activity data'!BP11*EF!$H10)*kgtoGg,"ERROR"))</f>
        <v>141.00175438081712</v>
      </c>
      <c r="AY1073" s="79"/>
    </row>
    <row r="1074" spans="1:51" x14ac:dyDescent="0.2">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14.658944228555331</v>
      </c>
      <c r="T1074" s="93">
        <f>IF('Net zero activities &amp; levers'!$C$14="Off",('Activity data'!AM12*EF!$H11)*kgtoGg,IF('Net zero activities &amp; levers'!$C$14="On",('Net zero Activity data'!AM12*EF!$H11)*kgtoGg,"ERROR"))</f>
        <v>14.681268610708063</v>
      </c>
      <c r="U1074" s="93">
        <f>IF('Net zero activities &amp; levers'!$C$14="Off",('Activity data'!AN12*EF!$H11)*kgtoGg,IF('Net zero activities &amp; levers'!$C$14="On",('Net zero Activity data'!AN12*EF!$H11)*kgtoGg,"ERROR"))</f>
        <v>14.706500505161891</v>
      </c>
      <c r="V1074" s="93">
        <f>IF('Net zero activities &amp; levers'!$C$14="Off",('Activity data'!AO12*EF!$H11)*kgtoGg,IF('Net zero activities &amp; levers'!$C$14="On",('Net zero Activity data'!AO12*EF!$H11)*kgtoGg,"ERROR"))</f>
        <v>14.734964312877745</v>
      </c>
      <c r="W1074" s="93">
        <f>IF('Net zero activities &amp; levers'!$C$14="Off",('Activity data'!AP12*EF!$H11)*kgtoGg,IF('Net zero activities &amp; levers'!$C$14="On",('Net zero Activity data'!AP12*EF!$H11)*kgtoGg,"ERROR"))</f>
        <v>14.766984004263698</v>
      </c>
      <c r="X1074" s="93">
        <f>IF('Net zero activities &amp; levers'!$C$14="Off",('Activity data'!AQ12*EF!$H11)*kgtoGg,IF('Net zero activities &amp; levers'!$C$14="On",('Net zero Activity data'!AQ12*EF!$H11)*kgtoGg,"ERROR"))</f>
        <v>14.801891900917591</v>
      </c>
      <c r="Y1074" s="93">
        <f>IF('Net zero activities &amp; levers'!$C$14="Off",('Activity data'!AR12*EF!$H11)*kgtoGg,IF('Net zero activities &amp; levers'!$C$14="On",('Net zero Activity data'!AR12*EF!$H11)*kgtoGg,"ERROR"))</f>
        <v>14.823122597434484</v>
      </c>
      <c r="Z1074" s="93">
        <f>IF('Net zero activities &amp; levers'!$C$14="Off",('Activity data'!AS12*EF!$H11)*kgtoGg,IF('Net zero activities &amp; levers'!$C$14="On",('Net zero Activity data'!AS12*EF!$H11)*kgtoGg,"ERROR"))</f>
        <v>14.846836064488549</v>
      </c>
      <c r="AA1074" s="93">
        <f>IF('Net zero activities &amp; levers'!$C$14="Off",('Activity data'!AT12*EF!$H11)*kgtoGg,IF('Net zero activities &amp; levers'!$C$14="On",('Net zero Activity data'!AT12*EF!$H11)*kgtoGg,"ERROR"))</f>
        <v>14.872858349408936</v>
      </c>
      <c r="AB1074" s="93">
        <f>IF('Net zero activities &amp; levers'!$C$14="Off",('Activity data'!AU12*EF!$H11)*kgtoGg,IF('Net zero activities &amp; levers'!$C$14="On",('Net zero Activity data'!AU12*EF!$H11)*kgtoGg,"ERROR"))</f>
        <v>14.901778615062266</v>
      </c>
      <c r="AC1074" s="93">
        <f>IF('Net zero activities &amp; levers'!$C$14="Off",('Activity data'!AV12*EF!$H11)*kgtoGg,IF('Net zero activities &amp; levers'!$C$14="On",('Net zero Activity data'!AV12*EF!$H11)*kgtoGg,"ERROR"))</f>
        <v>14.932886289335453</v>
      </c>
      <c r="AD1074" s="93">
        <f>IF('Net zero activities &amp; levers'!$C$14="Off",('Activity data'!AW12*EF!$H11)*kgtoGg,IF('Net zero activities &amp; levers'!$C$14="On",('Net zero Activity data'!AW12*EF!$H11)*kgtoGg,"ERROR"))</f>
        <v>14.953213004662359</v>
      </c>
      <c r="AE1074" s="93">
        <f>IF('Net zero activities &amp; levers'!$C$14="Off",('Activity data'!AX12*EF!$H11)*kgtoGg,IF('Net zero activities &amp; levers'!$C$14="On",('Net zero Activity data'!AX12*EF!$H11)*kgtoGg,"ERROR"))</f>
        <v>14.976029833462063</v>
      </c>
      <c r="AF1074" s="93">
        <f>IF('Net zero activities &amp; levers'!$C$14="Off",('Activity data'!AY12*EF!$H11)*kgtoGg,IF('Net zero activities &amp; levers'!$C$14="On",('Net zero Activity data'!AY12*EF!$H11)*kgtoGg,"ERROR"))</f>
        <v>15.000972272761286</v>
      </c>
      <c r="AG1074" s="93">
        <f>IF('Net zero activities &amp; levers'!$C$14="Off",('Activity data'!AZ12*EF!$H11)*kgtoGg,IF('Net zero activities &amp; levers'!$C$14="On",('Net zero Activity data'!AZ12*EF!$H11)*kgtoGg,"ERROR"))</f>
        <v>15.02829935530777</v>
      </c>
      <c r="AH1074" s="93">
        <f>IF('Net zero activities &amp; levers'!$C$14="Off",('Activity data'!BA12*EF!$H11)*kgtoGg,IF('Net zero activities &amp; levers'!$C$14="On",('Net zero Activity data'!BA12*EF!$H11)*kgtoGg,"ERROR"))</f>
        <v>15.056435245705167</v>
      </c>
      <c r="AI1074" s="93">
        <f>IF('Net zero activities &amp; levers'!$C$14="Off",('Activity data'!BB12*EF!$H11)*kgtoGg,IF('Net zero activities &amp; levers'!$C$14="On",('Net zero Activity data'!BB12*EF!$H11)*kgtoGg,"ERROR"))</f>
        <v>15.073679034086307</v>
      </c>
      <c r="AJ1074" s="93">
        <f>IF('Net zero activities &amp; levers'!$C$14="Off",('Activity data'!BC12*EF!$H11)*kgtoGg,IF('Net zero activities &amp; levers'!$C$14="On",('Net zero Activity data'!BC12*EF!$H11)*kgtoGg,"ERROR"))</f>
        <v>15.092728231629481</v>
      </c>
      <c r="AK1074" s="93">
        <f>IF('Net zero activities &amp; levers'!$C$14="Off",('Activity data'!BD12*EF!$H11)*kgtoGg,IF('Net zero activities &amp; levers'!$C$14="On",('Net zero Activity data'!BD12*EF!$H11)*kgtoGg,"ERROR"))</f>
        <v>15.11309725824351</v>
      </c>
      <c r="AL1074" s="93">
        <f>IF('Net zero activities &amp; levers'!$C$14="Off",('Activity data'!BE12*EF!$H11)*kgtoGg,IF('Net zero activities &amp; levers'!$C$14="On",('Net zero Activity data'!BE12*EF!$H11)*kgtoGg,"ERROR"))</f>
        <v>15.135028448124075</v>
      </c>
      <c r="AM1074" s="93">
        <f>IF('Net zero activities &amp; levers'!$C$14="Off",('Activity data'!BF12*EF!$H11)*kgtoGg,IF('Net zero activities &amp; levers'!$C$14="On",('Net zero Activity data'!BF12*EF!$H11)*kgtoGg,"ERROR"))</f>
        <v>15.158323620073121</v>
      </c>
      <c r="AN1074" s="93">
        <f>IF('Net zero activities &amp; levers'!$C$14="Off",('Activity data'!BG12*EF!$H11)*kgtoGg,IF('Net zero activities &amp; levers'!$C$14="On",('Net zero Activity data'!BG12*EF!$H11)*kgtoGg,"ERROR"))</f>
        <v>15.171832919854392</v>
      </c>
      <c r="AO1074" s="93">
        <f>IF('Net zero activities &amp; levers'!$C$14="Off",('Activity data'!BH12*EF!$H11)*kgtoGg,IF('Net zero activities &amp; levers'!$C$14="On",('Net zero Activity data'!BH12*EF!$H11)*kgtoGg,"ERROR"))</f>
        <v>15.186363918445194</v>
      </c>
      <c r="AP1074" s="93">
        <f>IF('Net zero activities &amp; levers'!$C$14="Off",('Activity data'!BI12*EF!$H11)*kgtoGg,IF('Net zero activities &amp; levers'!$C$14="On",('Net zero Activity data'!BI12*EF!$H11)*kgtoGg,"ERROR"))</f>
        <v>15.202102323338273</v>
      </c>
      <c r="AQ1074" s="93">
        <f>IF('Net zero activities &amp; levers'!$C$14="Off",('Activity data'!BJ12*EF!$H11)*kgtoGg,IF('Net zero activities &amp; levers'!$C$14="On",('Net zero Activity data'!BJ12*EF!$H11)*kgtoGg,"ERROR"))</f>
        <v>15.219069861178557</v>
      </c>
      <c r="AR1074" s="93">
        <f>IF('Net zero activities &amp; levers'!$C$14="Off",('Activity data'!BK12*EF!$H11)*kgtoGg,IF('Net zero activities &amp; levers'!$C$14="On",('Net zero Activity data'!BK12*EF!$H11)*kgtoGg,"ERROR"))</f>
        <v>15.237254670767834</v>
      </c>
      <c r="AS1074" s="93">
        <f>IF('Net zero activities &amp; levers'!$C$14="Off",('Activity data'!BL12*EF!$H11)*kgtoGg,IF('Net zero activities &amp; levers'!$C$14="On",('Net zero Activity data'!BL12*EF!$H11)*kgtoGg,"ERROR"))</f>
        <v>15.245386011106461</v>
      </c>
      <c r="AT1074" s="93">
        <f>IF('Net zero activities &amp; levers'!$C$14="Off",('Activity data'!BM12*EF!$H11)*kgtoGg,IF('Net zero activities &amp; levers'!$C$14="On",('Net zero Activity data'!BM12*EF!$H11)*kgtoGg,"ERROR"))</f>
        <v>15.252954348272294</v>
      </c>
      <c r="AU1074" s="93">
        <f>IF('Net zero activities &amp; levers'!$C$14="Off",('Activity data'!BN12*EF!$H11)*kgtoGg,IF('Net zero activities &amp; levers'!$C$14="On",('Net zero Activity data'!BN12*EF!$H11)*kgtoGg,"ERROR"))</f>
        <v>15.261344619239132</v>
      </c>
      <c r="AV1074" s="93">
        <f>IF('Net zero activities &amp; levers'!$C$14="Off",('Activity data'!BO12*EF!$H11)*kgtoGg,IF('Net zero activities &amp; levers'!$C$14="On",('Net zero Activity data'!BO12*EF!$H11)*kgtoGg,"ERROR"))</f>
        <v>15.270691311893962</v>
      </c>
      <c r="AW1074" s="93">
        <f>IF('Net zero activities &amp; levers'!$C$14="Off",('Activity data'!BP12*EF!$H11)*kgtoGg,IF('Net zero activities &amp; levers'!$C$14="On",('Net zero Activity data'!BP12*EF!$H11)*kgtoGg,"ERROR"))</f>
        <v>15.280898208589107</v>
      </c>
      <c r="AY1074" s="79"/>
    </row>
    <row r="1075" spans="1:51" x14ac:dyDescent="0.2">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15.123414197798356</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15.283027985940226</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15.545788610572219</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15.742031713029512</v>
      </c>
      <c r="T1075" s="93">
        <f>IF('Net zero activities &amp; levers'!$C$14="Off",('Activity data'!AM13*EF!$H12)*kgtoGg,IF('Net zero activities &amp; levers'!$C$14="On",('Net zero Activity data'!AM13*EF!$H12)*kgtoGg,"ERROR"))</f>
        <v>15.78777493593066</v>
      </c>
      <c r="U1075" s="93">
        <f>IF('Net zero activities &amp; levers'!$C$14="Off",('Activity data'!AN13*EF!$H12)*kgtoGg,IF('Net zero activities &amp; levers'!$C$14="On",('Net zero Activity data'!AN13*EF!$H12)*kgtoGg,"ERROR"))</f>
        <v>15.836941189877804</v>
      </c>
      <c r="V1075" s="93">
        <f>IF('Net zero activities &amp; levers'!$C$14="Off",('Activity data'!AO13*EF!$H12)*kgtoGg,IF('Net zero activities &amp; levers'!$C$14="On",('Net zero Activity data'!AO13*EF!$H12)*kgtoGg,"ERROR"))</f>
        <v>15.890131734595759</v>
      </c>
      <c r="W1075" s="93">
        <f>IF('Net zero activities &amp; levers'!$C$14="Off",('Activity data'!AP13*EF!$H12)*kgtoGg,IF('Net zero activities &amp; levers'!$C$14="On",('Net zero Activity data'!AP13*EF!$H12)*kgtoGg,"ERROR"))</f>
        <v>15.947930587680338</v>
      </c>
      <c r="X1075" s="93">
        <f>IF('Net zero activities &amp; levers'!$C$14="Off",('Activity data'!AQ13*EF!$H12)*kgtoGg,IF('Net zero activities &amp; levers'!$C$14="On",('Net zero Activity data'!AQ13*EF!$H12)*kgtoGg,"ERROR"))</f>
        <v>16.009309310979074</v>
      </c>
      <c r="Y1075" s="93">
        <f>IF('Net zero activities &amp; levers'!$C$14="Off",('Activity data'!AR13*EF!$H12)*kgtoGg,IF('Net zero activities &amp; levers'!$C$14="On",('Net zero Activity data'!AR13*EF!$H12)*kgtoGg,"ERROR"))</f>
        <v>16.047680700733103</v>
      </c>
      <c r="Z1075" s="93">
        <f>IF('Net zero activities &amp; levers'!$C$14="Off",('Activity data'!AS13*EF!$H12)*kgtoGg,IF('Net zero activities &amp; levers'!$C$14="On",('Net zero Activity data'!AS13*EF!$H12)*kgtoGg,"ERROR"))</f>
        <v>16.089188383327485</v>
      </c>
      <c r="AA1075" s="93">
        <f>IF('Net zero activities &amp; levers'!$C$14="Off",('Activity data'!AT13*EF!$H12)*kgtoGg,IF('Net zero activities &amp; levers'!$C$14="On",('Net zero Activity data'!AT13*EF!$H12)*kgtoGg,"ERROR"))</f>
        <v>16.133588234011135</v>
      </c>
      <c r="AB1075" s="93">
        <f>IF('Net zero activities &amp; levers'!$C$14="Off",('Activity data'!AU13*EF!$H12)*kgtoGg,IF('Net zero activities &amp; levers'!$C$14="On",('Net zero Activity data'!AU13*EF!$H12)*kgtoGg,"ERROR"))</f>
        <v>16.181852398556252</v>
      </c>
      <c r="AC1075" s="93">
        <f>IF('Net zero activities &amp; levers'!$C$14="Off",('Activity data'!AV13*EF!$H12)*kgtoGg,IF('Net zero activities &amp; levers'!$C$14="On",('Net zero Activity data'!AV13*EF!$H12)*kgtoGg,"ERROR"))</f>
        <v>16.232869062741507</v>
      </c>
      <c r="AD1075" s="93">
        <f>IF('Net zero activities &amp; levers'!$C$14="Off",('Activity data'!AW13*EF!$H12)*kgtoGg,IF('Net zero activities &amp; levers'!$C$14="On",('Net zero Activity data'!AW13*EF!$H12)*kgtoGg,"ERROR"))</f>
        <v>16.26603536262477</v>
      </c>
      <c r="AE1075" s="93">
        <f>IF('Net zero activities &amp; levers'!$C$14="Off",('Activity data'!AX13*EF!$H12)*kgtoGg,IF('Net zero activities &amp; levers'!$C$14="On",('Net zero Activity data'!AX13*EF!$H12)*kgtoGg,"ERROR"))</f>
        <v>16.302563680867436</v>
      </c>
      <c r="AF1075" s="93">
        <f>IF('Net zero activities &amp; levers'!$C$14="Off",('Activity data'!AY13*EF!$H12)*kgtoGg,IF('Net zero activities &amp; levers'!$C$14="On",('Net zero Activity data'!AY13*EF!$H12)*kgtoGg,"ERROR"))</f>
        <v>16.341889153829143</v>
      </c>
      <c r="AG1075" s="93">
        <f>IF('Net zero activities &amp; levers'!$C$14="Off",('Activity data'!AZ13*EF!$H12)*kgtoGg,IF('Net zero activities &amp; levers'!$C$14="On",('Net zero Activity data'!AZ13*EF!$H12)*kgtoGg,"ERROR"))</f>
        <v>16.384434985595004</v>
      </c>
      <c r="AH1075" s="93">
        <f>IF('Net zero activities &amp; levers'!$C$14="Off",('Activity data'!BA13*EF!$H12)*kgtoGg,IF('Net zero activities &amp; levers'!$C$14="On",('Net zero Activity data'!BA13*EF!$H12)*kgtoGg,"ERROR"))</f>
        <v>16.427723661614785</v>
      </c>
      <c r="AI1075" s="93">
        <f>IF('Net zero activities &amp; levers'!$C$14="Off",('Activity data'!BB13*EF!$H12)*kgtoGg,IF('Net zero activities &amp; levers'!$C$14="On",('Net zero Activity data'!BB13*EF!$H12)*kgtoGg,"ERROR"))</f>
        <v>16.453347878804561</v>
      </c>
      <c r="AJ1075" s="93">
        <f>IF('Net zero activities &amp; levers'!$C$14="Off",('Activity data'!BC13*EF!$H12)*kgtoGg,IF('Net zero activities &amp; levers'!$C$14="On",('Net zero Activity data'!BC13*EF!$H12)*kgtoGg,"ERROR"))</f>
        <v>16.481391601385443</v>
      </c>
      <c r="AK1075" s="93">
        <f>IF('Net zero activities &amp; levers'!$C$14="Off",('Activity data'!BD13*EF!$H12)*kgtoGg,IF('Net zero activities &amp; levers'!$C$14="On",('Net zero Activity data'!BD13*EF!$H12)*kgtoGg,"ERROR"))</f>
        <v>16.511100045266552</v>
      </c>
      <c r="AL1075" s="93">
        <f>IF('Net zero activities &amp; levers'!$C$14="Off",('Activity data'!BE13*EF!$H12)*kgtoGg,IF('Net zero activities &amp; levers'!$C$14="On",('Net zero Activity data'!BE13*EF!$H12)*kgtoGg,"ERROR"))</f>
        <v>16.542862813406586</v>
      </c>
      <c r="AM1075" s="93">
        <f>IF('Net zero activities &amp; levers'!$C$14="Off",('Activity data'!BF13*EF!$H12)*kgtoGg,IF('Net zero activities &amp; levers'!$C$14="On",('Net zero Activity data'!BF13*EF!$H12)*kgtoGg,"ERROR"))</f>
        <v>16.576376781233034</v>
      </c>
      <c r="AN1075" s="93">
        <f>IF('Net zero activities &amp; levers'!$C$14="Off",('Activity data'!BG13*EF!$H12)*kgtoGg,IF('Net zero activities &amp; levers'!$C$14="On",('Net zero Activity data'!BG13*EF!$H12)*kgtoGg,"ERROR"))</f>
        <v>16.594247346579589</v>
      </c>
      <c r="AO1075" s="93">
        <f>IF('Net zero activities &amp; levers'!$C$14="Off",('Activity data'!BH13*EF!$H12)*kgtoGg,IF('Net zero activities &amp; levers'!$C$14="On",('Net zero Activity data'!BH13*EF!$H12)*kgtoGg,"ERROR"))</f>
        <v>16.613410035363255</v>
      </c>
      <c r="AP1075" s="93">
        <f>IF('Net zero activities &amp; levers'!$C$14="Off",('Activity data'!BI13*EF!$H12)*kgtoGg,IF('Net zero activities &amp; levers'!$C$14="On",('Net zero Activity data'!BI13*EF!$H12)*kgtoGg,"ERROR"))</f>
        <v>16.634160462915251</v>
      </c>
      <c r="AQ1075" s="93">
        <f>IF('Net zero activities &amp; levers'!$C$14="Off",('Activity data'!BJ13*EF!$H12)*kgtoGg,IF('Net zero activities &amp; levers'!$C$14="On",('Net zero Activity data'!BJ13*EF!$H12)*kgtoGg,"ERROR"))</f>
        <v>16.656536848310051</v>
      </c>
      <c r="AR1075" s="93">
        <f>IF('Net zero activities &amp; levers'!$C$14="Off",('Activity data'!BK13*EF!$H12)*kgtoGg,IF('Net zero activities &amp; levers'!$C$14="On",('Net zero Activity data'!BK13*EF!$H12)*kgtoGg,"ERROR"))</f>
        <v>16.680524418707119</v>
      </c>
      <c r="AS1075" s="93">
        <f>IF('Net zero activities &amp; levers'!$C$14="Off",('Activity data'!BL13*EF!$H12)*kgtoGg,IF('Net zero activities &amp; levers'!$C$14="On",('Net zero Activity data'!BL13*EF!$H12)*kgtoGg,"ERROR"))</f>
        <v>16.68868442435787</v>
      </c>
      <c r="AT1075" s="93">
        <f>IF('Net zero activities &amp; levers'!$C$14="Off",('Activity data'!BM13*EF!$H12)*kgtoGg,IF('Net zero activities &amp; levers'!$C$14="On",('Net zero Activity data'!BM13*EF!$H12)*kgtoGg,"ERROR"))</f>
        <v>16.695767676813599</v>
      </c>
      <c r="AU1075" s="93">
        <f>IF('Net zero activities &amp; levers'!$C$14="Off",('Activity data'!BN13*EF!$H12)*kgtoGg,IF('Net zero activities &amp; levers'!$C$14="On",('Net zero Activity data'!BN13*EF!$H12)*kgtoGg,"ERROR"))</f>
        <v>16.703924626566948</v>
      </c>
      <c r="AV1075" s="93">
        <f>IF('Net zero activities &amp; levers'!$C$14="Off",('Activity data'!BO13*EF!$H12)*kgtoGg,IF('Net zero activities &amp; levers'!$C$14="On",('Net zero Activity data'!BO13*EF!$H12)*kgtoGg,"ERROR"))</f>
        <v>16.713365572192938</v>
      </c>
      <c r="AW1075" s="93">
        <f>IF('Net zero activities &amp; levers'!$C$14="Off",('Activity data'!BP13*EF!$H12)*kgtoGg,IF('Net zero activities &amp; levers'!$C$14="On",('Net zero Activity data'!BP13*EF!$H12)*kgtoGg,"ERROR"))</f>
        <v>16.723944327870726</v>
      </c>
      <c r="AY1075" s="79"/>
    </row>
    <row r="1076" spans="1:51" x14ac:dyDescent="0.2">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22.381101687842737</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22.617313721478972</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23.296592154028918</v>
      </c>
      <c r="T1076" s="93">
        <f>IF('Net zero activities &amp; levers'!$C$14="Off",('Activity data'!AM14*EF!$H13)*kgtoGg,IF('Net zero activities &amp; levers'!$C$14="On",('Net zero Activity data'!AM14*EF!$H13)*kgtoGg,"ERROR"))</f>
        <v>23.36428743168846</v>
      </c>
      <c r="U1076" s="93">
        <f>IF('Net zero activities &amp; levers'!$C$14="Off",('Activity data'!AN14*EF!$H13)*kgtoGg,IF('Net zero activities &amp; levers'!$C$14="On",('Net zero Activity data'!AN14*EF!$H13)*kgtoGg,"ERROR"))</f>
        <v>23.437048444169463</v>
      </c>
      <c r="V1076" s="93">
        <f>IF('Net zero activities &amp; levers'!$C$14="Off",('Activity data'!AO14*EF!$H13)*kgtoGg,IF('Net zero activities &amp; levers'!$C$14="On",('Net zero Activity data'!AO14*EF!$H13)*kgtoGg,"ERROR"))</f>
        <v>23.51576499418881</v>
      </c>
      <c r="W1076" s="93">
        <f>IF('Net zero activities &amp; levers'!$C$14="Off",('Activity data'!AP14*EF!$H13)*kgtoGg,IF('Net zero activities &amp; levers'!$C$14="On",('Net zero Activity data'!AP14*EF!$H13)*kgtoGg,"ERROR"))</f>
        <v>23.601301367881135</v>
      </c>
      <c r="X1076" s="93">
        <f>IF('Net zero activities &amp; levers'!$C$14="Off",('Activity data'!AQ14*EF!$H13)*kgtoGg,IF('Net zero activities &amp; levers'!$C$14="On",('Net zero Activity data'!AQ14*EF!$H13)*kgtoGg,"ERROR"))</f>
        <v>23.692135582275586</v>
      </c>
      <c r="Y1076" s="93">
        <f>IF('Net zero activities &amp; levers'!$C$14="Off",('Activity data'!AR14*EF!$H13)*kgtoGg,IF('Net zero activities &amp; levers'!$C$14="On",('Net zero Activity data'!AR14*EF!$H13)*kgtoGg,"ERROR"))</f>
        <v>23.748921303063014</v>
      </c>
      <c r="Z1076" s="93">
        <f>IF('Net zero activities &amp; levers'!$C$14="Off",('Activity data'!AS14*EF!$H13)*kgtoGg,IF('Net zero activities &amp; levers'!$C$14="On",('Net zero Activity data'!AS14*EF!$H13)*kgtoGg,"ERROR"))</f>
        <v>23.810348415540492</v>
      </c>
      <c r="AA1076" s="93">
        <f>IF('Net zero activities &amp; levers'!$C$14="Off",('Activity data'!AT14*EF!$H13)*kgtoGg,IF('Net zero activities &amp; levers'!$C$14="On",('Net zero Activity data'!AT14*EF!$H13)*kgtoGg,"ERROR"))</f>
        <v>23.876055640118153</v>
      </c>
      <c r="AB1076" s="93">
        <f>IF('Net zero activities &amp; levers'!$C$14="Off",('Activity data'!AU14*EF!$H13)*kgtoGg,IF('Net zero activities &amp; levers'!$C$14="On",('Net zero Activity data'!AU14*EF!$H13)*kgtoGg,"ERROR"))</f>
        <v>23.947481652818404</v>
      </c>
      <c r="AC1076" s="93">
        <f>IF('Net zero activities &amp; levers'!$C$14="Off",('Activity data'!AV14*EF!$H13)*kgtoGg,IF('Net zero activities &amp; levers'!$C$14="On",('Net zero Activity data'!AV14*EF!$H13)*kgtoGg,"ERROR"))</f>
        <v>24.022981082641</v>
      </c>
      <c r="AD1076" s="93">
        <f>IF('Net zero activities &amp; levers'!$C$14="Off",('Activity data'!AW14*EF!$H13)*kgtoGg,IF('Net zero activities &amp; levers'!$C$14="On",('Net zero Activity data'!AW14*EF!$H13)*kgtoGg,"ERROR"))</f>
        <v>24.072063804345781</v>
      </c>
      <c r="AE1076" s="93">
        <f>IF('Net zero activities &amp; levers'!$C$14="Off",('Activity data'!AX14*EF!$H13)*kgtoGg,IF('Net zero activities &amp; levers'!$C$14="On",('Net zero Activity data'!AX14*EF!$H13)*kgtoGg,"ERROR"))</f>
        <v>24.126121968354415</v>
      </c>
      <c r="AF1076" s="93">
        <f>IF('Net zero activities &amp; levers'!$C$14="Off",('Activity data'!AY14*EF!$H13)*kgtoGg,IF('Net zero activities &amp; levers'!$C$14="On",('Net zero Activity data'!AY14*EF!$H13)*kgtoGg,"ERROR"))</f>
        <v>24.184319634421552</v>
      </c>
      <c r="AG1076" s="93">
        <f>IF('Net zero activities &amp; levers'!$C$14="Off",('Activity data'!AZ14*EF!$H13)*kgtoGg,IF('Net zero activities &amp; levers'!$C$14="On",('Net zero Activity data'!AZ14*EF!$H13)*kgtoGg,"ERROR"))</f>
        <v>24.247283101181864</v>
      </c>
      <c r="AH1076" s="93">
        <f>IF('Net zero activities &amp; levers'!$C$14="Off",('Activity data'!BA14*EF!$H13)*kgtoGg,IF('Net zero activities &amp; levers'!$C$14="On",('Net zero Activity data'!BA14*EF!$H13)*kgtoGg,"ERROR"))</f>
        <v>24.311345901238735</v>
      </c>
      <c r="AI1076" s="93">
        <f>IF('Net zero activities &amp; levers'!$C$14="Off",('Activity data'!BB14*EF!$H13)*kgtoGg,IF('Net zero activities &amp; levers'!$C$14="On",('Net zero Activity data'!BB14*EF!$H13)*kgtoGg,"ERROR"))</f>
        <v>24.34926711420659</v>
      </c>
      <c r="AJ1076" s="93">
        <f>IF('Net zero activities &amp; levers'!$C$14="Off",('Activity data'!BC14*EF!$H13)*kgtoGg,IF('Net zero activities &amp; levers'!$C$14="On",('Net zero Activity data'!BC14*EF!$H13)*kgtoGg,"ERROR"))</f>
        <v>24.390768946966002</v>
      </c>
      <c r="AK1076" s="93">
        <f>IF('Net zero activities &amp; levers'!$C$14="Off",('Activity data'!BD14*EF!$H13)*kgtoGg,IF('Net zero activities &amp; levers'!$C$14="On",('Net zero Activity data'!BD14*EF!$H13)*kgtoGg,"ERROR"))</f>
        <v>24.434734396486487</v>
      </c>
      <c r="AL1076" s="93">
        <f>IF('Net zero activities &amp; levers'!$C$14="Off",('Activity data'!BE14*EF!$H13)*kgtoGg,IF('Net zero activities &amp; levers'!$C$14="On",('Net zero Activity data'!BE14*EF!$H13)*kgtoGg,"ERROR"))</f>
        <v>24.481740035182341</v>
      </c>
      <c r="AM1076" s="93">
        <f>IF('Net zero activities &amp; levers'!$C$14="Off",('Activity data'!BF14*EF!$H13)*kgtoGg,IF('Net zero activities &amp; levers'!$C$14="On",('Net zero Activity data'!BF14*EF!$H13)*kgtoGg,"ERROR"))</f>
        <v>24.531337269780067</v>
      </c>
      <c r="AN1076" s="93">
        <f>IF('Net zero activities &amp; levers'!$C$14="Off",('Activity data'!BG14*EF!$H13)*kgtoGg,IF('Net zero activities &amp; levers'!$C$14="On",('Net zero Activity data'!BG14*EF!$H13)*kgtoGg,"ERROR"))</f>
        <v>24.557783873371651</v>
      </c>
      <c r="AO1076" s="93">
        <f>IF('Net zero activities &amp; levers'!$C$14="Off",('Activity data'!BH14*EF!$H13)*kgtoGg,IF('Net zero activities &amp; levers'!$C$14="On",('Net zero Activity data'!BH14*EF!$H13)*kgtoGg,"ERROR"))</f>
        <v>24.586142687107124</v>
      </c>
      <c r="AP1076" s="93">
        <f>IF('Net zero activities &amp; levers'!$C$14="Off",('Activity data'!BI14*EF!$H13)*kgtoGg,IF('Net zero activities &amp; levers'!$C$14="On",('Net zero Activity data'!BI14*EF!$H13)*kgtoGg,"ERROR"))</f>
        <v>24.616851191353145</v>
      </c>
      <c r="AQ1076" s="93">
        <f>IF('Net zero activities &amp; levers'!$C$14="Off",('Activity data'!BJ14*EF!$H13)*kgtoGg,IF('Net zero activities &amp; levers'!$C$14="On",('Net zero Activity data'!BJ14*EF!$H13)*kgtoGg,"ERROR"))</f>
        <v>24.649965946419517</v>
      </c>
      <c r="AR1076" s="93">
        <f>IF('Net zero activities &amp; levers'!$C$14="Off",('Activity data'!BK14*EF!$H13)*kgtoGg,IF('Net zero activities &amp; levers'!$C$14="On",('Net zero Activity data'!BK14*EF!$H13)*kgtoGg,"ERROR"))</f>
        <v>24.685465090017612</v>
      </c>
      <c r="AS1076" s="93">
        <f>IF('Net zero activities &amp; levers'!$C$14="Off",('Activity data'!BL14*EF!$H13)*kgtoGg,IF('Net zero activities &amp; levers'!$C$14="On",('Net zero Activity data'!BL14*EF!$H13)*kgtoGg,"ERROR"))</f>
        <v>24.697541061346186</v>
      </c>
      <c r="AT1076" s="93">
        <f>IF('Net zero activities &amp; levers'!$C$14="Off",('Activity data'!BM14*EF!$H13)*kgtoGg,IF('Net zero activities &amp; levers'!$C$14="On",('Net zero Activity data'!BM14*EF!$H13)*kgtoGg,"ERROR"))</f>
        <v>24.708023548396984</v>
      </c>
      <c r="AU1076" s="93">
        <f>IF('Net zero activities &amp; levers'!$C$14="Off",('Activity data'!BN14*EF!$H13)*kgtoGg,IF('Net zero activities &amp; levers'!$C$14="On",('Net zero Activity data'!BN14*EF!$H13)*kgtoGg,"ERROR"))</f>
        <v>24.720094997310881</v>
      </c>
      <c r="AV1076" s="93">
        <f>IF('Net zero activities &amp; levers'!$C$14="Off",('Activity data'!BO14*EF!$H13)*kgtoGg,IF('Net zero activities &amp; levers'!$C$14="On",('Net zero Activity data'!BO14*EF!$H13)*kgtoGg,"ERROR"))</f>
        <v>24.734066628406943</v>
      </c>
      <c r="AW1076" s="93">
        <f>IF('Net zero activities &amp; levers'!$C$14="Off",('Activity data'!BP14*EF!$H13)*kgtoGg,IF('Net zero activities &amp; levers'!$C$14="On",('Net zero Activity data'!BP14*EF!$H13)*kgtoGg,"ERROR"))</f>
        <v>24.749722101665743</v>
      </c>
      <c r="AY1076" s="79"/>
    </row>
    <row r="1077" spans="1:51" x14ac:dyDescent="0.2">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5.5526214800767892</v>
      </c>
      <c r="L1077" s="93">
        <f>IF('Net zero activities &amp; levers'!$C$14="Off",('Activity data'!AE15*EF!$H14)*kgtoGg,IF('Net zero activities &amp; levers'!$C$14="On",('Net zero Activity data'!AE15*EF!$H14)*kgtoGg,"ERROR"))</f>
        <v>5.579523571019652</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5.6165815405282284</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5.5483103177944013</v>
      </c>
      <c r="S1077" s="93">
        <f>IF('Net zero activities &amp; levers'!$C$14="Off",('Activity data'!AL15*EF!$H14)*kgtoGg,IF('Net zero activities &amp; levers'!$C$14="On",('Net zero Activity data'!AL15*EF!$H14)*kgtoGg,"ERROR"))</f>
        <v>5.2545848231765602</v>
      </c>
      <c r="T1077" s="93">
        <f>IF('Net zero activities &amp; levers'!$C$14="Off",('Activity data'!AM15*EF!$H14)*kgtoGg,IF('Net zero activities &amp; levers'!$C$14="On",('Net zero Activity data'!AM15*EF!$H14)*kgtoGg,"ERROR"))</f>
        <v>5.3277448648735932</v>
      </c>
      <c r="U1077" s="93">
        <f>IF('Net zero activities &amp; levers'!$C$14="Off",('Activity data'!AN15*EF!$H14)*kgtoGg,IF('Net zero activities &amp; levers'!$C$14="On",('Net zero Activity data'!AN15*EF!$H14)*kgtoGg,"ERROR"))</f>
        <v>5.3771318788227438</v>
      </c>
      <c r="V1077" s="93">
        <f>IF('Net zero activities &amp; levers'!$C$14="Off",('Activity data'!AO15*EF!$H14)*kgtoGg,IF('Net zero activities &amp; levers'!$C$14="On",('Net zero Activity data'!AO15*EF!$H14)*kgtoGg,"ERROR"))</f>
        <v>5.4200550937003218</v>
      </c>
      <c r="W1077" s="93">
        <f>IF('Net zero activities &amp; levers'!$C$14="Off",('Activity data'!AP15*EF!$H14)*kgtoGg,IF('Net zero activities &amp; levers'!$C$14="On",('Net zero Activity data'!AP15*EF!$H14)*kgtoGg,"ERROR"))</f>
        <v>5.4726184084270573</v>
      </c>
      <c r="X1077" s="93">
        <f>IF('Net zero activities &amp; levers'!$C$14="Off",('Activity data'!AQ15*EF!$H14)*kgtoGg,IF('Net zero activities &amp; levers'!$C$14="On",('Net zero Activity data'!AQ15*EF!$H14)*kgtoGg,"ERROR"))</f>
        <v>5.5193093093258572</v>
      </c>
      <c r="Y1077" s="93">
        <f>IF('Net zero activities &amp; levers'!$C$14="Off",('Activity data'!AR15*EF!$H14)*kgtoGg,IF('Net zero activities &amp; levers'!$C$14="On",('Net zero Activity data'!AR15*EF!$H14)*kgtoGg,"ERROR"))</f>
        <v>5.5623143429133499</v>
      </c>
      <c r="Z1077" s="93">
        <f>IF('Net zero activities &amp; levers'!$C$14="Off",('Activity data'!AS15*EF!$H14)*kgtoGg,IF('Net zero activities &amp; levers'!$C$14="On",('Net zero Activity data'!AS15*EF!$H14)*kgtoGg,"ERROR"))</f>
        <v>5.6016190467987945</v>
      </c>
      <c r="AA1077" s="93">
        <f>IF('Net zero activities &amp; levers'!$C$14="Off",('Activity data'!AT15*EF!$H14)*kgtoGg,IF('Net zero activities &amp; levers'!$C$14="On",('Net zero Activity data'!AT15*EF!$H14)*kgtoGg,"ERROR"))</f>
        <v>5.6358734850599594</v>
      </c>
      <c r="AB1077" s="93">
        <f>IF('Net zero activities &amp; levers'!$C$14="Off",('Activity data'!AU15*EF!$H14)*kgtoGg,IF('Net zero activities &amp; levers'!$C$14="On",('Net zero Activity data'!AU15*EF!$H14)*kgtoGg,"ERROR"))</f>
        <v>5.6864221774832213</v>
      </c>
      <c r="AC1077" s="93">
        <f>IF('Net zero activities &amp; levers'!$C$14="Off",('Activity data'!AV15*EF!$H14)*kgtoGg,IF('Net zero activities &amp; levers'!$C$14="On",('Net zero Activity data'!AV15*EF!$H14)*kgtoGg,"ERROR"))</f>
        <v>5.734761216152096</v>
      </c>
      <c r="AD1077" s="93">
        <f>IF('Net zero activities &amp; levers'!$C$14="Off",('Activity data'!AW15*EF!$H14)*kgtoGg,IF('Net zero activities &amp; levers'!$C$14="On",('Net zero Activity data'!AW15*EF!$H14)*kgtoGg,"ERROR"))</f>
        <v>5.7937893665421401</v>
      </c>
      <c r="AE1077" s="93">
        <f>IF('Net zero activities &amp; levers'!$C$14="Off",('Activity data'!AX15*EF!$H14)*kgtoGg,IF('Net zero activities &amp; levers'!$C$14="On",('Net zero Activity data'!AX15*EF!$H14)*kgtoGg,"ERROR"))</f>
        <v>5.868728906856421</v>
      </c>
      <c r="AF1077" s="93">
        <f>IF('Net zero activities &amp; levers'!$C$14="Off",('Activity data'!AY15*EF!$H14)*kgtoGg,IF('Net zero activities &amp; levers'!$C$14="On",('Net zero Activity data'!AY15*EF!$H14)*kgtoGg,"ERROR"))</f>
        <v>5.95097387412393</v>
      </c>
      <c r="AG1077" s="93">
        <f>IF('Net zero activities &amp; levers'!$C$14="Off",('Activity data'!AZ15*EF!$H14)*kgtoGg,IF('Net zero activities &amp; levers'!$C$14="On",('Net zero Activity data'!AZ15*EF!$H14)*kgtoGg,"ERROR"))</f>
        <v>6.0502809540907023</v>
      </c>
      <c r="AH1077" s="93">
        <f>IF('Net zero activities &amp; levers'!$C$14="Off",('Activity data'!BA15*EF!$H14)*kgtoGg,IF('Net zero activities &amp; levers'!$C$14="On",('Net zero Activity data'!BA15*EF!$H14)*kgtoGg,"ERROR"))</f>
        <v>6.1220107529838179</v>
      </c>
      <c r="AI1077" s="93">
        <f>IF('Net zero activities &amp; levers'!$C$14="Off",('Activity data'!BB15*EF!$H14)*kgtoGg,IF('Net zero activities &amp; levers'!$C$14="On",('Net zero Activity data'!BB15*EF!$H14)*kgtoGg,"ERROR"))</f>
        <v>6.1941308642978408</v>
      </c>
      <c r="AJ1077" s="93">
        <f>IF('Net zero activities &amp; levers'!$C$14="Off",('Activity data'!BC15*EF!$H14)*kgtoGg,IF('Net zero activities &amp; levers'!$C$14="On",('Net zero Activity data'!BC15*EF!$H14)*kgtoGg,"ERROR"))</f>
        <v>6.2747694866131836</v>
      </c>
      <c r="AK1077" s="93">
        <f>IF('Net zero activities &amp; levers'!$C$14="Off",('Activity data'!BD15*EF!$H14)*kgtoGg,IF('Net zero activities &amp; levers'!$C$14="On",('Net zero Activity data'!BD15*EF!$H14)*kgtoGg,"ERROR"))</f>
        <v>6.3513096084096698</v>
      </c>
      <c r="AL1077" s="93">
        <f>IF('Net zero activities &amp; levers'!$C$14="Off",('Activity data'!BE15*EF!$H14)*kgtoGg,IF('Net zero activities &amp; levers'!$C$14="On",('Net zero Activity data'!BE15*EF!$H14)*kgtoGg,"ERROR"))</f>
        <v>6.4323283925814563</v>
      </c>
      <c r="AM1077" s="93">
        <f>IF('Net zero activities &amp; levers'!$C$14="Off",('Activity data'!BF15*EF!$H14)*kgtoGg,IF('Net zero activities &amp; levers'!$C$14="On",('Net zero Activity data'!BF15*EF!$H14)*kgtoGg,"ERROR"))</f>
        <v>6.5134158744418782</v>
      </c>
      <c r="AN1077" s="93">
        <f>IF('Net zero activities &amp; levers'!$C$14="Off",('Activity data'!BG15*EF!$H14)*kgtoGg,IF('Net zero activities &amp; levers'!$C$14="On",('Net zero Activity data'!BG15*EF!$H14)*kgtoGg,"ERROR"))</f>
        <v>6.6126163316975539</v>
      </c>
      <c r="AO1077" s="93">
        <f>IF('Net zero activities &amp; levers'!$C$14="Off",('Activity data'!BH15*EF!$H14)*kgtoGg,IF('Net zero activities &amp; levers'!$C$14="On",('Net zero Activity data'!BH15*EF!$H14)*kgtoGg,"ERROR"))</f>
        <v>6.7066735285892829</v>
      </c>
      <c r="AP1077" s="93">
        <f>IF('Net zero activities &amp; levers'!$C$14="Off",('Activity data'!BI15*EF!$H14)*kgtoGg,IF('Net zero activities &amp; levers'!$C$14="On",('Net zero Activity data'!BI15*EF!$H14)*kgtoGg,"ERROR"))</f>
        <v>6.8021224333407027</v>
      </c>
      <c r="AQ1077" s="93">
        <f>IF('Net zero activities &amp; levers'!$C$14="Off",('Activity data'!BJ15*EF!$H14)*kgtoGg,IF('Net zero activities &amp; levers'!$C$14="On",('Net zero Activity data'!BJ15*EF!$H14)*kgtoGg,"ERROR"))</f>
        <v>6.9006513009384864</v>
      </c>
      <c r="AR1077" s="93">
        <f>IF('Net zero activities &amp; levers'!$C$14="Off",('Activity data'!BK15*EF!$H14)*kgtoGg,IF('Net zero activities &amp; levers'!$C$14="On",('Net zero Activity data'!BK15*EF!$H14)*kgtoGg,"ERROR"))</f>
        <v>7.0028965831984893</v>
      </c>
      <c r="AS1077" s="93">
        <f>IF('Net zero activities &amp; levers'!$C$14="Off",('Activity data'!BL15*EF!$H14)*kgtoGg,IF('Net zero activities &amp; levers'!$C$14="On",('Net zero Activity data'!BL15*EF!$H14)*kgtoGg,"ERROR"))</f>
        <v>7.1267607896665828</v>
      </c>
      <c r="AT1077" s="93">
        <f>IF('Net zero activities &amp; levers'!$C$14="Off",('Activity data'!BM15*EF!$H14)*kgtoGg,IF('Net zero activities &amp; levers'!$C$14="On",('Net zero Activity data'!BM15*EF!$H14)*kgtoGg,"ERROR"))</f>
        <v>7.2071584727038323</v>
      </c>
      <c r="AU1077" s="93">
        <f>IF('Net zero activities &amp; levers'!$C$14="Off",('Activity data'!BN15*EF!$H14)*kgtoGg,IF('Net zero activities &amp; levers'!$C$14="On",('Net zero Activity data'!BN15*EF!$H14)*kgtoGg,"ERROR"))</f>
        <v>7.2845566532149562</v>
      </c>
      <c r="AV1077" s="93">
        <f>IF('Net zero activities &amp; levers'!$C$14="Off",('Activity data'!BO15*EF!$H14)*kgtoGg,IF('Net zero activities &amp; levers'!$C$14="On",('Net zero Activity data'!BO15*EF!$H14)*kgtoGg,"ERROR"))</f>
        <v>7.3636089922437549</v>
      </c>
      <c r="AW1077" s="93">
        <f>IF('Net zero activities &amp; levers'!$C$14="Off",('Activity data'!BP15*EF!$H14)*kgtoGg,IF('Net zero activities &amp; levers'!$C$14="On",('Net zero Activity data'!BP15*EF!$H14)*kgtoGg,"ERROR"))</f>
        <v>7.4423534956754249</v>
      </c>
      <c r="AY1077" s="79"/>
    </row>
    <row r="1078" spans="1:51" x14ac:dyDescent="0.2">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2">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1.8400999552016304</v>
      </c>
      <c r="L1079" s="93">
        <f>IF('Net zero activities &amp; levers'!$C$14="Off",('Activity data'!AE17*EF!$H16)*kgtoGg,IF('Net zero activities &amp; levers'!$C$14="On",('Net zero Activity data'!AE17*EF!$H16)*kgtoGg,"ERROR"))</f>
        <v>1.8300977880312255</v>
      </c>
      <c r="M1079" s="93">
        <f>IF('Net zero activities &amp; levers'!$C$14="Off",('Activity data'!AF17*EF!$H16)*kgtoGg,IF('Net zero activities &amp; levers'!$C$14="On",('Net zero Activity data'!AF17*EF!$H16)*kgtoGg,"ERROR"))</f>
        <v>1.8309187348828158</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1.7866561368117302</v>
      </c>
      <c r="P1079" s="93">
        <f>IF('Net zero activities &amp; levers'!$C$14="Off",('Activity data'!AI17*EF!$H16)*kgtoGg,IF('Net zero activities &amp; levers'!$C$14="On",('Net zero Activity data'!AI17*EF!$H16)*kgtoGg,"ERROR"))</f>
        <v>1.7489975228040084</v>
      </c>
      <c r="Q1079" s="93">
        <f>IF('Net zero activities &amp; levers'!$C$14="Off",('Activity data'!AJ17*EF!$H16)*kgtoGg,IF('Net zero activities &amp; levers'!$C$14="On",('Net zero Activity data'!AJ17*EF!$H16)*kgtoGg,"ERROR"))</f>
        <v>1.7216531928010095</v>
      </c>
      <c r="R1079" s="93">
        <f>IF('Net zero activities &amp; levers'!$C$14="Off",('Activity data'!AK17*EF!$H16)*kgtoGg,IF('Net zero activities &amp; levers'!$C$14="On",('Net zero Activity data'!AK17*EF!$H16)*kgtoGg,"ERROR"))</f>
        <v>1.6967284692901876</v>
      </c>
      <c r="S1079" s="93">
        <f>IF('Net zero activities &amp; levers'!$C$14="Off",('Activity data'!AL17*EF!$H16)*kgtoGg,IF('Net zero activities &amp; levers'!$C$14="On",('Net zero Activity data'!AL17*EF!$H16)*kgtoGg,"ERROR"))</f>
        <v>1.5117747469441463</v>
      </c>
      <c r="T1079" s="93">
        <f>IF('Net zero activities &amp; levers'!$C$14="Off",('Activity data'!AM17*EF!$H16)*kgtoGg,IF('Net zero activities &amp; levers'!$C$14="On",('Net zero Activity data'!AM17*EF!$H16)*kgtoGg,"ERROR"))</f>
        <v>1.5353784458928466</v>
      </c>
      <c r="U1079" s="93">
        <f>IF('Net zero activities &amp; levers'!$C$14="Off",('Activity data'!AN17*EF!$H16)*kgtoGg,IF('Net zero activities &amp; levers'!$C$14="On",('Net zero Activity data'!AN17*EF!$H16)*kgtoGg,"ERROR"))</f>
        <v>1.5454031535928081</v>
      </c>
      <c r="V1079" s="93">
        <f>IF('Net zero activities &amp; levers'!$C$14="Off",('Activity data'!AO17*EF!$H16)*kgtoGg,IF('Net zero activities &amp; levers'!$C$14="On",('Net zero Activity data'!AO17*EF!$H16)*kgtoGg,"ERROR"))</f>
        <v>1.5520051748391652</v>
      </c>
      <c r="W1079" s="93">
        <f>IF('Net zero activities &amp; levers'!$C$14="Off",('Activity data'!AP17*EF!$H16)*kgtoGg,IF('Net zero activities &amp; levers'!$C$14="On",('Net zero Activity data'!AP17*EF!$H16)*kgtoGg,"ERROR"))</f>
        <v>1.564229983889788</v>
      </c>
      <c r="X1079" s="93">
        <f>IF('Net zero activities &amp; levers'!$C$14="Off",('Activity data'!AQ17*EF!$H16)*kgtoGg,IF('Net zero activities &amp; levers'!$C$14="On",('Net zero Activity data'!AQ17*EF!$H16)*kgtoGg,"ERROR"))</f>
        <v>1.5733351038653358</v>
      </c>
      <c r="Y1079" s="93">
        <f>IF('Net zero activities &amp; levers'!$C$14="Off",('Activity data'!AR17*EF!$H16)*kgtoGg,IF('Net zero activities &amp; levers'!$C$14="On",('Net zero Activity data'!AR17*EF!$H16)*kgtoGg,"ERROR"))</f>
        <v>1.5781110770621192</v>
      </c>
      <c r="Z1079" s="93">
        <f>IF('Net zero activities &amp; levers'!$C$14="Off",('Activity data'!AS17*EF!$H16)*kgtoGg,IF('Net zero activities &amp; levers'!$C$14="On",('Net zero Activity data'!AS17*EF!$H16)*kgtoGg,"ERROR"))</f>
        <v>1.5810372890528743</v>
      </c>
      <c r="AA1079" s="93">
        <f>IF('Net zero activities &amp; levers'!$C$14="Off",('Activity data'!AT17*EF!$H16)*kgtoGg,IF('Net zero activities &amp; levers'!$C$14="On",('Net zero Activity data'!AT17*EF!$H16)*kgtoGg,"ERROR"))</f>
        <v>1.5814342334658642</v>
      </c>
      <c r="AB1079" s="93">
        <f>IF('Net zero activities &amp; levers'!$C$14="Off",('Activity data'!AU17*EF!$H16)*kgtoGg,IF('Net zero activities &amp; levers'!$C$14="On",('Net zero Activity data'!AU17*EF!$H16)*kgtoGg,"ERROR"))</f>
        <v>1.5906175911874081</v>
      </c>
      <c r="AC1079" s="93">
        <f>IF('Net zero activities &amp; levers'!$C$14="Off",('Activity data'!AV17*EF!$H16)*kgtoGg,IF('Net zero activities &amp; levers'!$C$14="On",('Net zero Activity data'!AV17*EF!$H16)*kgtoGg,"ERROR"))</f>
        <v>1.598639197477874</v>
      </c>
      <c r="AD1079" s="93">
        <f>IF('Net zero activities &amp; levers'!$C$14="Off",('Activity data'!AW17*EF!$H16)*kgtoGg,IF('Net zero activities &amp; levers'!$C$14="On",('Net zero Activity data'!AW17*EF!$H16)*kgtoGg,"ERROR"))</f>
        <v>1.6101808279098371</v>
      </c>
      <c r="AE1079" s="93">
        <f>IF('Net zero activities &amp; levers'!$C$14="Off",('Activity data'!AX17*EF!$H16)*kgtoGg,IF('Net zero activities &amp; levers'!$C$14="On",('Net zero Activity data'!AX17*EF!$H16)*kgtoGg,"ERROR"))</f>
        <v>1.6296768229523677</v>
      </c>
      <c r="AF1079" s="93">
        <f>IF('Net zero activities &amp; levers'!$C$14="Off",('Activity data'!AY17*EF!$H16)*kgtoGg,IF('Net zero activities &amp; levers'!$C$14="On",('Net zero Activity data'!AY17*EF!$H16)*kgtoGg,"ERROR"))</f>
        <v>1.6525077177354268</v>
      </c>
      <c r="AG1079" s="93">
        <f>IF('Net zero activities &amp; levers'!$C$14="Off",('Activity data'!AZ17*EF!$H16)*kgtoGg,IF('Net zero activities &amp; levers'!$C$14="On",('Net zero Activity data'!AZ17*EF!$H16)*kgtoGg,"ERROR"))</f>
        <v>1.6834189005947389</v>
      </c>
      <c r="AH1079" s="93">
        <f>IF('Net zero activities &amp; levers'!$C$14="Off",('Activity data'!BA17*EF!$H16)*kgtoGg,IF('Net zero activities &amp; levers'!$C$14="On",('Net zero Activity data'!BA17*EF!$H16)*kgtoGg,"ERROR"))</f>
        <v>1.7001060999840301</v>
      </c>
      <c r="AI1079" s="93">
        <f>IF('Net zero activities &amp; levers'!$C$14="Off",('Activity data'!BB17*EF!$H16)*kgtoGg,IF('Net zero activities &amp; levers'!$C$14="On",('Net zero Activity data'!BB17*EF!$H16)*kgtoGg,"ERROR"))</f>
        <v>1.714680678931171</v>
      </c>
      <c r="AJ1079" s="93">
        <f>IF('Net zero activities &amp; levers'!$C$14="Off",('Activity data'!BC17*EF!$H16)*kgtoGg,IF('Net zero activities &amp; levers'!$C$14="On",('Net zero Activity data'!BC17*EF!$H16)*kgtoGg,"ERROR"))</f>
        <v>1.7329967482102966</v>
      </c>
      <c r="AK1079" s="93">
        <f>IF('Net zero activities &amp; levers'!$C$14="Off",('Activity data'!BD17*EF!$H16)*kgtoGg,IF('Net zero activities &amp; levers'!$C$14="On",('Net zero Activity data'!BD17*EF!$H16)*kgtoGg,"ERROR"))</f>
        <v>1.7488990397133231</v>
      </c>
      <c r="AL1079" s="93">
        <f>IF('Net zero activities &amp; levers'!$C$14="Off",('Activity data'!BE17*EF!$H16)*kgtoGg,IF('Net zero activities &amp; levers'!$C$14="On",('Net zero Activity data'!BE17*EF!$H16)*kgtoGg,"ERROR"))</f>
        <v>1.7664947607476369</v>
      </c>
      <c r="AM1079" s="93">
        <f>IF('Net zero activities &amp; levers'!$C$14="Off",('Activity data'!BF17*EF!$H16)*kgtoGg,IF('Net zero activities &amp; levers'!$C$14="On",('Net zero Activity data'!BF17*EF!$H16)*kgtoGg,"ERROR"))</f>
        <v>1.7836580054040596</v>
      </c>
      <c r="AN1079" s="93">
        <f>IF('Net zero activities &amp; levers'!$C$14="Off",('Activity data'!BG17*EF!$H16)*kgtoGg,IF('Net zero activities &amp; levers'!$C$14="On",('Net zero Activity data'!BG17*EF!$H16)*kgtoGg,"ERROR"))</f>
        <v>1.8067654920152938</v>
      </c>
      <c r="AO1079" s="93">
        <f>IF('Net zero activities &amp; levers'!$C$14="Off",('Activity data'!BH17*EF!$H16)*kgtoGg,IF('Net zero activities &amp; levers'!$C$14="On",('Net zero Activity data'!BH17*EF!$H16)*kgtoGg,"ERROR"))</f>
        <v>1.8268312610518465</v>
      </c>
      <c r="AP1079" s="93">
        <f>IF('Net zero activities &amp; levers'!$C$14="Off",('Activity data'!BI17*EF!$H16)*kgtoGg,IF('Net zero activities &amp; levers'!$C$14="On",('Net zero Activity data'!BI17*EF!$H16)*kgtoGg,"ERROR"))</f>
        <v>1.8468791974694727</v>
      </c>
      <c r="AQ1079" s="93">
        <f>IF('Net zero activities &amp; levers'!$C$14="Off",('Activity data'!BJ17*EF!$H16)*kgtoGg,IF('Net zero activities &amp; levers'!$C$14="On",('Net zero Activity data'!BJ17*EF!$H16)*kgtoGg,"ERROR"))</f>
        <v>1.8676391522371276</v>
      </c>
      <c r="AR1079" s="93">
        <f>IF('Net zero activities &amp; levers'!$C$14="Off",('Activity data'!BK17*EF!$H16)*kgtoGg,IF('Net zero activities &amp; levers'!$C$14="On",('Net zero Activity data'!BK17*EF!$H16)*kgtoGg,"ERROR"))</f>
        <v>1.8893444874946981</v>
      </c>
      <c r="AS1079" s="93">
        <f>IF('Net zero activities &amp; levers'!$C$14="Off",('Activity data'!BL17*EF!$H16)*kgtoGg,IF('Net zero activities &amp; levers'!$C$14="On",('Net zero Activity data'!BL17*EF!$H16)*kgtoGg,"ERROR"))</f>
        <v>1.9176308190810374</v>
      </c>
      <c r="AT1079" s="93">
        <f>IF('Net zero activities &amp; levers'!$C$14="Off",('Activity data'!BM17*EF!$H16)*kgtoGg,IF('Net zero activities &amp; levers'!$C$14="On",('Net zero Activity data'!BM17*EF!$H16)*kgtoGg,"ERROR"))</f>
        <v>1.9263908565050327</v>
      </c>
      <c r="AU1079" s="93">
        <f>IF('Net zero activities &amp; levers'!$C$14="Off",('Activity data'!BN17*EF!$H16)*kgtoGg,IF('Net zero activities &amp; levers'!$C$14="On",('Net zero Activity data'!BN17*EF!$H16)*kgtoGg,"ERROR"))</f>
        <v>1.9333876275197814</v>
      </c>
      <c r="AV1079" s="93">
        <f>IF('Net zero activities &amp; levers'!$C$14="Off",('Activity data'!BO17*EF!$H16)*kgtoGg,IF('Net zero activities &amp; levers'!$C$14="On",('Net zero Activity data'!BO17*EF!$H16)*kgtoGg,"ERROR"))</f>
        <v>1.9406033255753634</v>
      </c>
      <c r="AW1079" s="93">
        <f>IF('Net zero activities &amp; levers'!$C$14="Off",('Activity data'!BP17*EF!$H16)*kgtoGg,IF('Net zero activities &amp; levers'!$C$14="On",('Net zero Activity data'!BP17*EF!$H16)*kgtoGg,"ERROR"))</f>
        <v>1.947207220691618</v>
      </c>
      <c r="AY1079" s="79"/>
    </row>
    <row r="1080" spans="1:51" x14ac:dyDescent="0.2">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0.25496723934882609</v>
      </c>
      <c r="L1080" s="93">
        <f>IF('Net zero activities &amp; levers'!$C$14="Off",('Activity data'!AE18*EF!$H17)*kgtoGg,IF('Net zero activities &amp; levers'!$C$14="On",('Net zero Activity data'!AE18*EF!$H17)*kgtoGg,"ERROR"))</f>
        <v>0.25358132281546897</v>
      </c>
      <c r="M1080" s="93">
        <f>IF('Net zero activities &amp; levers'!$C$14="Off",('Activity data'!AF18*EF!$H17)*kgtoGg,IF('Net zero activities &amp; levers'!$C$14="On",('Net zero Activity data'!AF18*EF!$H17)*kgtoGg,"ERROR"))</f>
        <v>0.25369507454499346</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0.24756197704412711</v>
      </c>
      <c r="P1080" s="93">
        <f>IF('Net zero activities &amp; levers'!$C$14="Off",('Activity data'!AI18*EF!$H17)*kgtoGg,IF('Net zero activities &amp; levers'!$C$14="On",('Net zero Activity data'!AI18*EF!$H17)*kgtoGg,"ERROR"))</f>
        <v>0.2423439383043785</v>
      </c>
      <c r="Q1080" s="93">
        <f>IF('Net zero activities &amp; levers'!$C$14="Off",('Activity data'!AJ18*EF!$H17)*kgtoGg,IF('Net zero activities &amp; levers'!$C$14="On",('Net zero Activity data'!AJ18*EF!$H17)*kgtoGg,"ERROR"))</f>
        <v>0.23855506351363703</v>
      </c>
      <c r="R1080" s="93">
        <f>IF('Net zero activities &amp; levers'!$C$14="Off",('Activity data'!AK18*EF!$H17)*kgtoGg,IF('Net zero activities &amp; levers'!$C$14="On",('Net zero Activity data'!AK18*EF!$H17)*kgtoGg,"ERROR"))</f>
        <v>0.23510145332951488</v>
      </c>
      <c r="S1080" s="93">
        <f>IF('Net zero activities &amp; levers'!$C$14="Off",('Activity data'!AL18*EF!$H17)*kgtoGg,IF('Net zero activities &amp; levers'!$C$14="On",('Net zero Activity data'!AL18*EF!$H17)*kgtoGg,"ERROR"))</f>
        <v>0.20947396507239346</v>
      </c>
      <c r="T1080" s="93">
        <f>IF('Net zero activities &amp; levers'!$C$14="Off",('Activity data'!AM18*EF!$H17)*kgtoGg,IF('Net zero activities &amp; levers'!$C$14="On",('Net zero Activity data'!AM18*EF!$H17)*kgtoGg,"ERROR"))</f>
        <v>0.21274453194695842</v>
      </c>
      <c r="U1080" s="93">
        <f>IF('Net zero activities &amp; levers'!$C$14="Off",('Activity data'!AN18*EF!$H17)*kgtoGg,IF('Net zero activities &amp; levers'!$C$14="On",('Net zero Activity data'!AN18*EF!$H17)*kgtoGg,"ERROR"))</f>
        <v>0.21413357173271183</v>
      </c>
      <c r="V1080" s="93">
        <f>IF('Net zero activities &amp; levers'!$C$14="Off",('Activity data'!AO18*EF!$H17)*kgtoGg,IF('Net zero activities &amp; levers'!$C$14="On",('Net zero Activity data'!AO18*EF!$H17)*kgtoGg,"ERROR"))</f>
        <v>0.21504835852271614</v>
      </c>
      <c r="W1080" s="93">
        <f>IF('Net zero activities &amp; levers'!$C$14="Off",('Activity data'!AP18*EF!$H17)*kgtoGg,IF('Net zero activities &amp; levers'!$C$14="On",('Net zero Activity data'!AP18*EF!$H17)*kgtoGg,"ERROR"))</f>
        <v>0.21674224792605687</v>
      </c>
      <c r="X1080" s="93">
        <f>IF('Net zero activities &amp; levers'!$C$14="Off",('Activity data'!AQ18*EF!$H17)*kgtoGg,IF('Net zero activities &amp; levers'!$C$14="On",('Net zero Activity data'!AQ18*EF!$H17)*kgtoGg,"ERROR"))</f>
        <v>0.21800386814268849</v>
      </c>
      <c r="Y1080" s="93">
        <f>IF('Net zero activities &amp; levers'!$C$14="Off",('Activity data'!AR18*EF!$H17)*kgtoGg,IF('Net zero activities &amp; levers'!$C$14="On",('Net zero Activity data'!AR18*EF!$H17)*kgtoGg,"ERROR"))</f>
        <v>0.21866563474821746</v>
      </c>
      <c r="Z1080" s="93">
        <f>IF('Net zero activities &amp; levers'!$C$14="Off",('Activity data'!AS18*EF!$H17)*kgtoGg,IF('Net zero activities &amp; levers'!$C$14="On",('Net zero Activity data'!AS18*EF!$H17)*kgtoGg,"ERROR"))</f>
        <v>0.21907109543578676</v>
      </c>
      <c r="AA1080" s="93">
        <f>IF('Net zero activities &amp; levers'!$C$14="Off",('Activity data'!AT18*EF!$H17)*kgtoGg,IF('Net zero activities &amp; levers'!$C$14="On",('Net zero Activity data'!AT18*EF!$H17)*kgtoGg,"ERROR"))</f>
        <v>0.21912609669855451</v>
      </c>
      <c r="AB1080" s="93">
        <f>IF('Net zero activities &amp; levers'!$C$14="Off",('Activity data'!AU18*EF!$H17)*kgtoGg,IF('Net zero activities &amp; levers'!$C$14="On",('Net zero Activity data'!AU18*EF!$H17)*kgtoGg,"ERROR"))</f>
        <v>0.22039855766438188</v>
      </c>
      <c r="AC1080" s="93">
        <f>IF('Net zero activities &amp; levers'!$C$14="Off",('Activity data'!AV18*EF!$H17)*kgtoGg,IF('Net zero activities &amp; levers'!$C$14="On",('Net zero Activity data'!AV18*EF!$H17)*kgtoGg,"ERROR"))</f>
        <v>0.22151004446445585</v>
      </c>
      <c r="AD1080" s="93">
        <f>IF('Net zero activities &amp; levers'!$C$14="Off",('Activity data'!AW18*EF!$H17)*kgtoGg,IF('Net zero activities &amp; levers'!$C$14="On",('Net zero Activity data'!AW18*EF!$H17)*kgtoGg,"ERROR"))</f>
        <v>0.22310927152845497</v>
      </c>
      <c r="AE1080" s="93">
        <f>IF('Net zero activities &amp; levers'!$C$14="Off",('Activity data'!AX18*EF!$H17)*kgtoGg,IF('Net zero activities &amp; levers'!$C$14="On",('Net zero Activity data'!AX18*EF!$H17)*kgtoGg,"ERROR"))</f>
        <v>0.22581066827611573</v>
      </c>
      <c r="AF1080" s="93">
        <f>IF('Net zero activities &amp; levers'!$C$14="Off",('Activity data'!AY18*EF!$H17)*kgtoGg,IF('Net zero activities &amp; levers'!$C$14="On",('Net zero Activity data'!AY18*EF!$H17)*kgtoGg,"ERROR"))</f>
        <v>0.22897415414993735</v>
      </c>
      <c r="AG1080" s="93">
        <f>IF('Net zero activities &amp; levers'!$C$14="Off",('Activity data'!AZ18*EF!$H17)*kgtoGg,IF('Net zero activities &amp; levers'!$C$14="On",('Net zero Activity data'!AZ18*EF!$H17)*kgtoGg,"ERROR"))</f>
        <v>0.23325725786741008</v>
      </c>
      <c r="AH1080" s="93">
        <f>IF('Net zero activities &amp; levers'!$C$14="Off",('Activity data'!BA18*EF!$H17)*kgtoGg,IF('Net zero activities &amp; levers'!$C$14="On",('Net zero Activity data'!BA18*EF!$H17)*kgtoGg,"ERROR"))</f>
        <v>0.2355694633259906</v>
      </c>
      <c r="AI1080" s="93">
        <f>IF('Net zero activities &amp; levers'!$C$14="Off",('Activity data'!BB18*EF!$H17)*kgtoGg,IF('Net zero activities &amp; levers'!$C$14="On",('Net zero Activity data'!BB18*EF!$H17)*kgtoGg,"ERROR"))</f>
        <v>0.23758894066379471</v>
      </c>
      <c r="AJ1080" s="93">
        <f>IF('Net zero activities &amp; levers'!$C$14="Off",('Activity data'!BC18*EF!$H17)*kgtoGg,IF('Net zero activities &amp; levers'!$C$14="On",('Net zero Activity data'!BC18*EF!$H17)*kgtoGg,"ERROR"))</f>
        <v>0.24012684498068754</v>
      </c>
      <c r="AK1080" s="93">
        <f>IF('Net zero activities &amp; levers'!$C$14="Off",('Activity data'!BD18*EF!$H17)*kgtoGg,IF('Net zero activities &amp; levers'!$C$14="On",('Net zero Activity data'!BD18*EF!$H17)*kgtoGg,"ERROR"))</f>
        <v>0.24233029232733053</v>
      </c>
      <c r="AL1080" s="93">
        <f>IF('Net zero activities &amp; levers'!$C$14="Off",('Activity data'!BE18*EF!$H17)*kgtoGg,IF('Net zero activities &amp; levers'!$C$14="On",('Net zero Activity data'!BE18*EF!$H17)*kgtoGg,"ERROR"))</f>
        <v>0.24476838402109372</v>
      </c>
      <c r="AM1080" s="93">
        <f>IF('Net zero activities &amp; levers'!$C$14="Off",('Activity data'!BF18*EF!$H17)*kgtoGg,IF('Net zero activities &amp; levers'!$C$14="On",('Net zero Activity data'!BF18*EF!$H17)*kgtoGg,"ERROR"))</f>
        <v>0.2471465510853047</v>
      </c>
      <c r="AN1080" s="93">
        <f>IF('Net zero activities &amp; levers'!$C$14="Off",('Activity data'!BG18*EF!$H17)*kgtoGg,IF('Net zero activities &amp; levers'!$C$14="On",('Net zero Activity data'!BG18*EF!$H17)*kgtoGg,"ERROR"))</f>
        <v>0.25034836197220872</v>
      </c>
      <c r="AO1080" s="93">
        <f>IF('Net zero activities &amp; levers'!$C$14="Off",('Activity data'!BH18*EF!$H17)*kgtoGg,IF('Net zero activities &amp; levers'!$C$14="On",('Net zero Activity data'!BH18*EF!$H17)*kgtoGg,"ERROR"))</f>
        <v>0.25312870753017624</v>
      </c>
      <c r="AP1080" s="93">
        <f>IF('Net zero activities &amp; levers'!$C$14="Off",('Activity data'!BI18*EF!$H17)*kgtoGg,IF('Net zero activities &amp; levers'!$C$14="On",('Net zero Activity data'!BI18*EF!$H17)*kgtoGg,"ERROR"))</f>
        <v>0.25590658217149315</v>
      </c>
      <c r="AQ1080" s="93">
        <f>IF('Net zero activities &amp; levers'!$C$14="Off",('Activity data'!BJ18*EF!$H17)*kgtoGg,IF('Net zero activities &amp; levers'!$C$14="On",('Net zero Activity data'!BJ18*EF!$H17)*kgtoGg,"ERROR"))</f>
        <v>0.25878311523218522</v>
      </c>
      <c r="AR1080" s="93">
        <f>IF('Net zero activities &amp; levers'!$C$14="Off",('Activity data'!BK18*EF!$H17)*kgtoGg,IF('Net zero activities &amp; levers'!$C$14="On",('Net zero Activity data'!BK18*EF!$H17)*kgtoGg,"ERROR"))</f>
        <v>0.26179064174949174</v>
      </c>
      <c r="AS1080" s="93">
        <f>IF('Net zero activities &amp; levers'!$C$14="Off",('Activity data'!BL18*EF!$H17)*kgtoGg,IF('Net zero activities &amp; levers'!$C$14="On",('Net zero Activity data'!BL18*EF!$H17)*kgtoGg,"ERROR"))</f>
        <v>0.26571004181006297</v>
      </c>
      <c r="AT1080" s="93">
        <f>IF('Net zero activities &amp; levers'!$C$14="Off",('Activity data'!BM18*EF!$H17)*kgtoGg,IF('Net zero activities &amp; levers'!$C$14="On",('Net zero Activity data'!BM18*EF!$H17)*kgtoGg,"ERROR"))</f>
        <v>0.26692384682770609</v>
      </c>
      <c r="AU1080" s="93">
        <f>IF('Net zero activities &amp; levers'!$C$14="Off",('Activity data'!BN18*EF!$H17)*kgtoGg,IF('Net zero activities &amp; levers'!$C$14="On",('Net zero Activity data'!BN18*EF!$H17)*kgtoGg,"ERROR"))</f>
        <v>0.26789333078695698</v>
      </c>
      <c r="AV1080" s="93">
        <f>IF('Net zero activities &amp; levers'!$C$14="Off",('Activity data'!BO18*EF!$H17)*kgtoGg,IF('Net zero activities &amp; levers'!$C$14="On",('Net zero Activity data'!BO18*EF!$H17)*kgtoGg,"ERROR"))</f>
        <v>0.26889314963267008</v>
      </c>
      <c r="AW1080" s="93">
        <f>IF('Net zero activities &amp; levers'!$C$14="Off",('Activity data'!BP18*EF!$H17)*kgtoGg,IF('Net zero activities &amp; levers'!$C$14="On",('Net zero Activity data'!BP18*EF!$H17)*kgtoGg,"ERROR"))</f>
        <v>0.26980819606913181</v>
      </c>
      <c r="AY1080" s="79"/>
    </row>
    <row r="1081" spans="1:51" x14ac:dyDescent="0.2">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7.3924283487896005</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7.5131092090175455</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7.5825135825669046</v>
      </c>
      <c r="S1081" s="93">
        <f>IF('Net zero activities &amp; levers'!$C$14="Off",('Activity data'!AL5*EF!$H18)*kgtoGg,IF('Net zero activities &amp; levers'!$C$14="On",('Net zero Activity data'!AL5*EF!$H18)*kgtoGg,"ERROR"))</f>
        <v>7.3749406226465846</v>
      </c>
      <c r="T1081" s="93">
        <f>IF('Net zero activities &amp; levers'!$C$14="Off",('Activity data'!AM5*EF!$H18)*kgtoGg,IF('Net zero activities &amp; levers'!$C$14="On",('Net zero Activity data'!AM5*EF!$H18)*kgtoGg,"ERROR"))</f>
        <v>7.4596947338228921</v>
      </c>
      <c r="U1081" s="93">
        <f>IF('Net zero activities &amp; levers'!$C$14="Off",('Activity data'!AN5*EF!$H18)*kgtoGg,IF('Net zero activities &amp; levers'!$C$14="On",('Net zero Activity data'!AN5*EF!$H18)*kgtoGg,"ERROR"))</f>
        <v>7.5261085209621994</v>
      </c>
      <c r="V1081" s="93">
        <f>IF('Net zero activities &amp; levers'!$C$14="Off",('Activity data'!AO5*EF!$H18)*kgtoGg,IF('Net zero activities &amp; levers'!$C$14="On",('Net zero Activity data'!AO5*EF!$H18)*kgtoGg,"ERROR"))</f>
        <v>7.5890282866946253</v>
      </c>
      <c r="W1081" s="93">
        <f>IF('Net zero activities &amp; levers'!$C$14="Off",('Activity data'!AP5*EF!$H18)*kgtoGg,IF('Net zero activities &amp; levers'!$C$14="On",('Net zero Activity data'!AP5*EF!$H18)*kgtoGg,"ERROR"))</f>
        <v>7.6625876396153867</v>
      </c>
      <c r="X1081" s="93">
        <f>IF('Net zero activities &amp; levers'!$C$14="Off",('Activity data'!AQ5*EF!$H18)*kgtoGg,IF('Net zero activities &amp; levers'!$C$14="On",('Net zero Activity data'!AQ5*EF!$H18)*kgtoGg,"ERROR"))</f>
        <v>7.733033452737752</v>
      </c>
      <c r="Y1081" s="93">
        <f>IF('Net zero activities &amp; levers'!$C$14="Off",('Activity data'!AR5*EF!$H18)*kgtoGg,IF('Net zero activities &amp; levers'!$C$14="On",('Net zero Activity data'!AR5*EF!$H18)*kgtoGg,"ERROR"))</f>
        <v>7.7921158726045912</v>
      </c>
      <c r="Z1081" s="93">
        <f>IF('Net zero activities &amp; levers'!$C$14="Off",('Activity data'!AS5*EF!$H18)*kgtoGg,IF('Net zero activities &amp; levers'!$C$14="On",('Net zero Activity data'!AS5*EF!$H18)*kgtoGg,"ERROR"))</f>
        <v>7.8495573007710338</v>
      </c>
      <c r="AA1081" s="93">
        <f>IF('Net zero activities &amp; levers'!$C$14="Off",('Activity data'!AT5*EF!$H18)*kgtoGg,IF('Net zero activities &amp; levers'!$C$14="On",('Net zero Activity data'!AT5*EF!$H18)*kgtoGg,"ERROR"))</f>
        <v>7.9040412638168576</v>
      </c>
      <c r="AB1081" s="93">
        <f>IF('Net zero activities &amp; levers'!$C$14="Off",('Activity data'!AU5*EF!$H18)*kgtoGg,IF('Net zero activities &amp; levers'!$C$14="On",('Net zero Activity data'!AU5*EF!$H18)*kgtoGg,"ERROR"))</f>
        <v>7.9749152148387106</v>
      </c>
      <c r="AC1081" s="93">
        <f>IF('Net zero activities &amp; levers'!$C$14="Off",('Activity data'!AV5*EF!$H18)*kgtoGg,IF('Net zero activities &amp; levers'!$C$14="On",('Net zero Activity data'!AV5*EF!$H18)*kgtoGg,"ERROR"))</f>
        <v>8.0454247210614032</v>
      </c>
      <c r="AD1081" s="93">
        <f>IF('Net zero activities &amp; levers'!$C$14="Off",('Activity data'!AW5*EF!$H18)*kgtoGg,IF('Net zero activities &amp; levers'!$C$14="On",('Net zero Activity data'!AW5*EF!$H18)*kgtoGg,"ERROR"))</f>
        <v>8.118986526852904</v>
      </c>
      <c r="AE1081" s="93">
        <f>IF('Net zero activities &amp; levers'!$C$14="Off",('Activity data'!AX5*EF!$H18)*kgtoGg,IF('Net zero activities &amp; levers'!$C$14="On",('Net zero Activity data'!AX5*EF!$H18)*kgtoGg,"ERROR"))</f>
        <v>8.2087302780498543</v>
      </c>
      <c r="AF1081" s="93">
        <f>IF('Net zero activities &amp; levers'!$C$14="Off",('Activity data'!AY5*EF!$H18)*kgtoGg,IF('Net zero activities &amp; levers'!$C$14="On",('Net zero Activity data'!AY5*EF!$H18)*kgtoGg,"ERROR"))</f>
        <v>8.3068407116005449</v>
      </c>
      <c r="AG1081" s="93">
        <f>IF('Net zero activities &amp; levers'!$C$14="Off",('Activity data'!AZ5*EF!$H18)*kgtoGg,IF('Net zero activities &amp; levers'!$C$14="On",('Net zero Activity data'!AZ5*EF!$H18)*kgtoGg,"ERROR"))</f>
        <v>8.4224927361534156</v>
      </c>
      <c r="AH1081" s="93">
        <f>IF('Net zero activities &amp; levers'!$C$14="Off",('Activity data'!BA5*EF!$H18)*kgtoGg,IF('Net zero activities &amp; levers'!$C$14="On",('Net zero Activity data'!BA5*EF!$H18)*kgtoGg,"ERROR"))</f>
        <v>8.5140894306414694</v>
      </c>
      <c r="AI1081" s="93">
        <f>IF('Net zero activities &amp; levers'!$C$14="Off",('Activity data'!BB5*EF!$H18)*kgtoGg,IF('Net zero activities &amp; levers'!$C$14="On",('Net zero Activity data'!BB5*EF!$H18)*kgtoGg,"ERROR"))</f>
        <v>8.5991817671771109</v>
      </c>
      <c r="AJ1081" s="93">
        <f>IF('Net zero activities &amp; levers'!$C$14="Off",('Activity data'!BC5*EF!$H18)*kgtoGg,IF('Net zero activities &amp; levers'!$C$14="On",('Net zero Activity data'!BC5*EF!$H18)*kgtoGg,"ERROR"))</f>
        <v>8.6936031201600006</v>
      </c>
      <c r="AK1081" s="93">
        <f>IF('Net zero activities &amp; levers'!$C$14="Off",('Activity data'!BD5*EF!$H18)*kgtoGg,IF('Net zero activities &amp; levers'!$C$14="On",('Net zero Activity data'!BD5*EF!$H18)*kgtoGg,"ERROR"))</f>
        <v>8.7854891773357977</v>
      </c>
      <c r="AL1081" s="93">
        <f>IF('Net zero activities &amp; levers'!$C$14="Off",('Activity data'!BE5*EF!$H18)*kgtoGg,IF('Net zero activities &amp; levers'!$C$14="On",('Net zero Activity data'!BE5*EF!$H18)*kgtoGg,"ERROR"))</f>
        <v>8.8829387927935777</v>
      </c>
      <c r="AM1081" s="93">
        <f>IF('Net zero activities &amp; levers'!$C$14="Off",('Activity data'!BF5*EF!$H18)*kgtoGg,IF('Net zero activities &amp; levers'!$C$14="On",('Net zero Activity data'!BF5*EF!$H18)*kgtoGg,"ERROR"))</f>
        <v>8.981789259815093</v>
      </c>
      <c r="AN1081" s="93">
        <f>IF('Net zero activities &amp; levers'!$C$14="Off",('Activity data'!BG5*EF!$H18)*kgtoGg,IF('Net zero activities &amp; levers'!$C$14="On",('Net zero Activity data'!BG5*EF!$H18)*kgtoGg,"ERROR"))</f>
        <v>9.0910335877436168</v>
      </c>
      <c r="AO1081" s="93">
        <f>IF('Net zero activities &amp; levers'!$C$14="Off",('Activity data'!BH5*EF!$H18)*kgtoGg,IF('Net zero activities &amp; levers'!$C$14="On",('Net zero Activity data'!BH5*EF!$H18)*kgtoGg,"ERROR"))</f>
        <v>9.1965466271076242</v>
      </c>
      <c r="AP1081" s="93">
        <f>IF('Net zero activities &amp; levers'!$C$14="Off",('Activity data'!BI5*EF!$H18)*kgtoGg,IF('Net zero activities &amp; levers'!$C$14="On",('Net zero Activity data'!BI5*EF!$H18)*kgtoGg,"ERROR"))</f>
        <v>9.3045679627692603</v>
      </c>
      <c r="AQ1081" s="93">
        <f>IF('Net zero activities &amp; levers'!$C$14="Off",('Activity data'!BJ5*EF!$H18)*kgtoGg,IF('Net zero activities &amp; levers'!$C$14="On",('Net zero Activity data'!BJ5*EF!$H18)*kgtoGg,"ERROR"))</f>
        <v>9.416735487095643</v>
      </c>
      <c r="AR1081" s="93">
        <f>IF('Net zero activities &amp; levers'!$C$14="Off",('Activity data'!BK5*EF!$H18)*kgtoGg,IF('Net zero activities &amp; levers'!$C$14="On",('Net zero Activity data'!BK5*EF!$H18)*kgtoGg,"ERROR"))</f>
        <v>9.5336904606360946</v>
      </c>
      <c r="AS1081" s="93">
        <f>IF('Net zero activities &amp; levers'!$C$14="Off",('Activity data'!BL5*EF!$H18)*kgtoGg,IF('Net zero activities &amp; levers'!$C$14="On",('Net zero Activity data'!BL5*EF!$H18)*kgtoGg,"ERROR"))</f>
        <v>9.6639189531179213</v>
      </c>
      <c r="AT1081" s="93">
        <f>IF('Net zero activities &amp; levers'!$C$14="Off",('Activity data'!BM5*EF!$H18)*kgtoGg,IF('Net zero activities &amp; levers'!$C$14="On",('Net zero Activity data'!BM5*EF!$H18)*kgtoGg,"ERROR"))</f>
        <v>9.7529871408715216</v>
      </c>
      <c r="AU1081" s="93">
        <f>IF('Net zero activities &amp; levers'!$C$14="Off",('Activity data'!BN5*EF!$H18)*kgtoGg,IF('Net zero activities &amp; levers'!$C$14="On",('Net zero Activity data'!BN5*EF!$H18)*kgtoGg,"ERROR"))</f>
        <v>9.8400068754522785</v>
      </c>
      <c r="AV1081" s="93">
        <f>IF('Net zero activities &amp; levers'!$C$14="Off",('Activity data'!BO5*EF!$H18)*kgtoGg,IF('Net zero activities &amp; levers'!$C$14="On",('Net zero Activity data'!BO5*EF!$H18)*kgtoGg,"ERROR"))</f>
        <v>9.9294924345892497</v>
      </c>
      <c r="AW1081" s="93">
        <f>IF('Net zero activities &amp; levers'!$C$14="Off",('Activity data'!BP5*EF!$H18)*kgtoGg,IF('Net zero activities &amp; levers'!$C$14="On",('Net zero Activity data'!BP5*EF!$H18)*kgtoGg,"ERROR"))</f>
        <v>10.019533761751701</v>
      </c>
      <c r="AY1081" s="79"/>
    </row>
    <row r="1082" spans="1:51" x14ac:dyDescent="0.2">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2.1061581299686476</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2.1405410097083362</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2.1603148348588084</v>
      </c>
      <c r="S1082" s="93">
        <f>IF('Net zero activities &amp; levers'!$C$14="Off",('Activity data'!AL6*EF!$H19)*kgtoGg,IF('Net zero activities &amp; levers'!$C$14="On",('Net zero Activity data'!AL6*EF!$H19)*kgtoGg,"ERROR"))</f>
        <v>2.1011757459869611</v>
      </c>
      <c r="T1082" s="93">
        <f>IF('Net zero activities &amp; levers'!$C$14="Off",('Activity data'!AM6*EF!$H19)*kgtoGg,IF('Net zero activities &amp; levers'!$C$14="On",('Net zero Activity data'!AM6*EF!$H19)*kgtoGg,"ERROR"))</f>
        <v>2.1253228261993073</v>
      </c>
      <c r="U1082" s="93">
        <f>IF('Net zero activities &amp; levers'!$C$14="Off",('Activity data'!AN6*EF!$H19)*kgtoGg,IF('Net zero activities &amp; levers'!$C$14="On",('Net zero Activity data'!AN6*EF!$H19)*kgtoGg,"ERROR"))</f>
        <v>2.1442446109127653</v>
      </c>
      <c r="V1082" s="93">
        <f>IF('Net zero activities &amp; levers'!$C$14="Off",('Activity data'!AO6*EF!$H19)*kgtoGg,IF('Net zero activities &amp; levers'!$C$14="On",('Net zero Activity data'!AO6*EF!$H19)*kgtoGg,"ERROR"))</f>
        <v>2.162170922793051</v>
      </c>
      <c r="W1082" s="93">
        <f>IF('Net zero activities &amp; levers'!$C$14="Off",('Activity data'!AP6*EF!$H19)*kgtoGg,IF('Net zero activities &amp; levers'!$C$14="On",('Net zero Activity data'!AP6*EF!$H19)*kgtoGg,"ERROR"))</f>
        <v>2.1831285326445773</v>
      </c>
      <c r="X1082" s="93">
        <f>IF('Net zero activities &amp; levers'!$C$14="Off",('Activity data'!AQ6*EF!$H19)*kgtoGg,IF('Net zero activities &amp; levers'!$C$14="On",('Net zero Activity data'!AQ6*EF!$H19)*kgtoGg,"ERROR"))</f>
        <v>2.2031990717190912</v>
      </c>
      <c r="Y1082" s="93">
        <f>IF('Net zero activities &amp; levers'!$C$14="Off",('Activity data'!AR6*EF!$H19)*kgtoGg,IF('Net zero activities &amp; levers'!$C$14="On",('Net zero Activity data'!AR6*EF!$H19)*kgtoGg,"ERROR"))</f>
        <v>2.2200320950599446</v>
      </c>
      <c r="Z1082" s="93">
        <f>IF('Net zero activities &amp; levers'!$C$14="Off",('Activity data'!AS6*EF!$H19)*kgtoGg,IF('Net zero activities &amp; levers'!$C$14="On",('Net zero Activity data'!AS6*EF!$H19)*kgtoGg,"ERROR"))</f>
        <v>2.2363975875911741</v>
      </c>
      <c r="AA1082" s="93">
        <f>IF('Net zero activities &amp; levers'!$C$14="Off",('Activity data'!AT6*EF!$H19)*kgtoGg,IF('Net zero activities &amp; levers'!$C$14="On",('Net zero Activity data'!AT6*EF!$H19)*kgtoGg,"ERROR"))</f>
        <v>2.2519204761884857</v>
      </c>
      <c r="AB1082" s="93">
        <f>IF('Net zero activities &amp; levers'!$C$14="Off",('Activity data'!AU6*EF!$H19)*kgtoGg,IF('Net zero activities &amp; levers'!$C$14="On",('Net zero Activity data'!AU6*EF!$H19)*kgtoGg,"ERROR"))</f>
        <v>2.2721129949529209</v>
      </c>
      <c r="AC1082" s="93">
        <f>IF('Net zero activities &amp; levers'!$C$14="Off",('Activity data'!AV6*EF!$H19)*kgtoGg,IF('Net zero activities &amp; levers'!$C$14="On",('Net zero Activity data'!AV6*EF!$H19)*kgtoGg,"ERROR"))</f>
        <v>2.2922016806681249</v>
      </c>
      <c r="AD1082" s="93">
        <f>IF('Net zero activities &amp; levers'!$C$14="Off",('Activity data'!AW6*EF!$H19)*kgtoGg,IF('Net zero activities &amp; levers'!$C$14="On",('Net zero Activity data'!AW6*EF!$H19)*kgtoGg,"ERROR"))</f>
        <v>2.3131599893608721</v>
      </c>
      <c r="AE1082" s="93">
        <f>IF('Net zero activities &amp; levers'!$C$14="Off",('Activity data'!AX6*EF!$H19)*kgtoGg,IF('Net zero activities &amp; levers'!$C$14="On",('Net zero Activity data'!AX6*EF!$H19)*kgtoGg,"ERROR"))</f>
        <v>2.3387286553362805</v>
      </c>
      <c r="AF1082" s="93">
        <f>IF('Net zero activities &amp; levers'!$C$14="Off",('Activity data'!AY6*EF!$H19)*kgtoGg,IF('Net zero activities &amp; levers'!$C$14="On",('Net zero Activity data'!AY6*EF!$H19)*kgtoGg,"ERROR"))</f>
        <v>2.3666810516948278</v>
      </c>
      <c r="AG1082" s="93">
        <f>IF('Net zero activities &amp; levers'!$C$14="Off",('Activity data'!AZ6*EF!$H19)*kgtoGg,IF('Net zero activities &amp; levers'!$C$14="On",('Net zero Activity data'!AZ6*EF!$H19)*kgtoGg,"ERROR"))</f>
        <v>2.3996311785363349</v>
      </c>
      <c r="AH1082" s="93">
        <f>IF('Net zero activities &amp; levers'!$C$14="Off",('Activity data'!BA6*EF!$H19)*kgtoGg,IF('Net zero activities &amp; levers'!$C$14="On",('Net zero Activity data'!BA6*EF!$H19)*kgtoGg,"ERROR"))</f>
        <v>2.4257277619149016</v>
      </c>
      <c r="AI1082" s="93">
        <f>IF('Net zero activities &amp; levers'!$C$14="Off",('Activity data'!BB6*EF!$H19)*kgtoGg,IF('Net zero activities &amp; levers'!$C$14="On",('Net zero Activity data'!BB6*EF!$H19)*kgtoGg,"ERROR"))</f>
        <v>2.4499712050619578</v>
      </c>
      <c r="AJ1082" s="93">
        <f>IF('Net zero activities &amp; levers'!$C$14="Off",('Activity data'!BC6*EF!$H19)*kgtoGg,IF('Net zero activities &amp; levers'!$C$14="On",('Net zero Activity data'!BC6*EF!$H19)*kgtoGg,"ERROR"))</f>
        <v>2.4768725547733976</v>
      </c>
      <c r="AK1082" s="93">
        <f>IF('Net zero activities &amp; levers'!$C$14="Off",('Activity data'!BD6*EF!$H19)*kgtoGg,IF('Net zero activities &amp; levers'!$C$14="On",('Net zero Activity data'!BD6*EF!$H19)*kgtoGg,"ERROR"))</f>
        <v>2.5030515797460584</v>
      </c>
      <c r="AL1082" s="93">
        <f>IF('Net zero activities &amp; levers'!$C$14="Off",('Activity data'!BE6*EF!$H19)*kgtoGg,IF('Net zero activities &amp; levers'!$C$14="On",('Net zero Activity data'!BE6*EF!$H19)*kgtoGg,"ERROR"))</f>
        <v>2.5308157040871935</v>
      </c>
      <c r="AM1082" s="93">
        <f>IF('Net zero activities &amp; levers'!$C$14="Off",('Activity data'!BF6*EF!$H19)*kgtoGg,IF('Net zero activities &amp; levers'!$C$14="On",('Net zero Activity data'!BF6*EF!$H19)*kgtoGg,"ERROR"))</f>
        <v>2.5589789415168327</v>
      </c>
      <c r="AN1082" s="93">
        <f>IF('Net zero activities &amp; levers'!$C$14="Off",('Activity data'!BG6*EF!$H19)*kgtoGg,IF('Net zero activities &amp; levers'!$C$14="On",('Net zero Activity data'!BG6*EF!$H19)*kgtoGg,"ERROR"))</f>
        <v>2.5901034676621961</v>
      </c>
      <c r="AO1082" s="93">
        <f>IF('Net zero activities &amp; levers'!$C$14="Off",('Activity data'!BH6*EF!$H19)*kgtoGg,IF('Net zero activities &amp; levers'!$C$14="On",('Net zero Activity data'!BH6*EF!$H19)*kgtoGg,"ERROR"))</f>
        <v>2.6201649217864809</v>
      </c>
      <c r="AP1082" s="93">
        <f>IF('Net zero activities &amp; levers'!$C$14="Off",('Activity data'!BI6*EF!$H19)*kgtoGg,IF('Net zero activities &amp; levers'!$C$14="On",('Net zero Activity data'!BI6*EF!$H19)*kgtoGg,"ERROR"))</f>
        <v>2.6509410082873499</v>
      </c>
      <c r="AQ1082" s="93">
        <f>IF('Net zero activities &amp; levers'!$C$14="Off",('Activity data'!BJ6*EF!$H19)*kgtoGg,IF('Net zero activities &amp; levers'!$C$14="On",('Net zero Activity data'!BJ6*EF!$H19)*kgtoGg,"ERROR"))</f>
        <v>2.6828983749511943</v>
      </c>
      <c r="AR1082" s="93">
        <f>IF('Net zero activities &amp; levers'!$C$14="Off",('Activity data'!BK6*EF!$H19)*kgtoGg,IF('Net zero activities &amp; levers'!$C$14="On",('Net zero Activity data'!BK6*EF!$H19)*kgtoGg,"ERROR"))</f>
        <v>2.7162197217049746</v>
      </c>
      <c r="AS1082" s="93">
        <f>IF('Net zero activities &amp; levers'!$C$14="Off",('Activity data'!BL6*EF!$H19)*kgtoGg,IF('Net zero activities &amp; levers'!$C$14="On",('Net zero Activity data'!BL6*EF!$H19)*kgtoGg,"ERROR"))</f>
        <v>2.7533227932875448</v>
      </c>
      <c r="AT1082" s="93">
        <f>IF('Net zero activities &amp; levers'!$C$14="Off",('Activity data'!BM6*EF!$H19)*kgtoGg,IF('Net zero activities &amp; levers'!$C$14="On",('Net zero Activity data'!BM6*EF!$H19)*kgtoGg,"ERROR"))</f>
        <v>2.7786989861849074</v>
      </c>
      <c r="AU1082" s="93">
        <f>IF('Net zero activities &amp; levers'!$C$14="Off",('Activity data'!BN6*EF!$H19)*kgtoGg,IF('Net zero activities &amp; levers'!$C$14="On",('Net zero Activity data'!BN6*EF!$H19)*kgtoGg,"ERROR"))</f>
        <v>2.8034915594514418</v>
      </c>
      <c r="AV1082" s="93">
        <f>IF('Net zero activities &amp; levers'!$C$14="Off",('Activity data'!BO6*EF!$H19)*kgtoGg,IF('Net zero activities &amp; levers'!$C$14="On",('Net zero Activity data'!BO6*EF!$H19)*kgtoGg,"ERROR"))</f>
        <v>2.8289866645777546</v>
      </c>
      <c r="AW1082" s="93">
        <f>IF('Net zero activities &amp; levers'!$C$14="Off",('Activity data'!BP6*EF!$H19)*kgtoGg,IF('Net zero activities &amp; levers'!$C$14="On",('Net zero Activity data'!BP6*EF!$H19)*kgtoGg,"ERROR"))</f>
        <v>2.854640112171523</v>
      </c>
      <c r="AY1082" s="79"/>
    </row>
    <row r="1083" spans="1:51" x14ac:dyDescent="0.2">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0.43500213637199753</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0.44210351490980404</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0.44618756541973886</v>
      </c>
      <c r="S1083" s="93">
        <f>IF('Net zero activities &amp; levers'!$C$14="Off",('Activity data'!AL7*EF!$H20)*kgtoGg,IF('Net zero activities &amp; levers'!$C$14="On",('Net zero Activity data'!AL7*EF!$H20)*kgtoGg,"ERROR"))</f>
        <v>0.43397308368814624</v>
      </c>
      <c r="T1083" s="93">
        <f>IF('Net zero activities &amp; levers'!$C$14="Off",('Activity data'!AM7*EF!$H20)*kgtoGg,IF('Net zero activities &amp; levers'!$C$14="On",('Net zero Activity data'!AM7*EF!$H20)*kgtoGg,"ERROR"))</f>
        <v>0.43896037848337277</v>
      </c>
      <c r="U1083" s="93">
        <f>IF('Net zero activities &amp; levers'!$C$14="Off",('Activity data'!AN7*EF!$H20)*kgtoGg,IF('Net zero activities &amp; levers'!$C$14="On",('Net zero Activity data'!AN7*EF!$H20)*kgtoGg,"ERROR"))</f>
        <v>0.4428684500840781</v>
      </c>
      <c r="V1083" s="93">
        <f>IF('Net zero activities &amp; levers'!$C$14="Off",('Activity data'!AO7*EF!$H20)*kgtoGg,IF('Net zero activities &amp; levers'!$C$14="On",('Net zero Activity data'!AO7*EF!$H20)*kgtoGg,"ERROR"))</f>
        <v>0.44657091850477143</v>
      </c>
      <c r="W1083" s="93">
        <f>IF('Net zero activities &amp; levers'!$C$14="Off",('Activity data'!AP7*EF!$H20)*kgtoGg,IF('Net zero activities &amp; levers'!$C$14="On",('Net zero Activity data'!AP7*EF!$H20)*kgtoGg,"ERROR"))</f>
        <v>0.45089946579138956</v>
      </c>
      <c r="X1083" s="93">
        <f>IF('Net zero activities &amp; levers'!$C$14="Off",('Activity data'!AQ7*EF!$H20)*kgtoGg,IF('Net zero activities &amp; levers'!$C$14="On",('Net zero Activity data'!AQ7*EF!$H20)*kgtoGg,"ERROR"))</f>
        <v>0.45504479906495582</v>
      </c>
      <c r="Y1083" s="93">
        <f>IF('Net zero activities &amp; levers'!$C$14="Off",('Activity data'!AR7*EF!$H20)*kgtoGg,IF('Net zero activities &amp; levers'!$C$14="On",('Net zero Activity data'!AR7*EF!$H20)*kgtoGg,"ERROR"))</f>
        <v>0.4585214616244665</v>
      </c>
      <c r="Z1083" s="93">
        <f>IF('Net zero activities &amp; levers'!$C$14="Off",('Activity data'!AS7*EF!$H20)*kgtoGg,IF('Net zero activities &amp; levers'!$C$14="On",('Net zero Activity data'!AS7*EF!$H20)*kgtoGg,"ERROR"))</f>
        <v>0.46190156120605425</v>
      </c>
      <c r="AA1083" s="93">
        <f>IF('Net zero activities &amp; levers'!$C$14="Off",('Activity data'!AT7*EF!$H20)*kgtoGg,IF('Net zero activities &amp; levers'!$C$14="On",('Net zero Activity data'!AT7*EF!$H20)*kgtoGg,"ERROR"))</f>
        <v>0.46510763087689888</v>
      </c>
      <c r="AB1083" s="93">
        <f>IF('Net zero activities &amp; levers'!$C$14="Off",('Activity data'!AU7*EF!$H20)*kgtoGg,IF('Net zero activities &amp; levers'!$C$14="On",('Net zero Activity data'!AU7*EF!$H20)*kgtoGg,"ERROR"))</f>
        <v>0.46927815761763869</v>
      </c>
      <c r="AC1083" s="93">
        <f>IF('Net zero activities &amp; levers'!$C$14="Off",('Activity data'!AV7*EF!$H20)*kgtoGg,IF('Net zero activities &amp; levers'!$C$14="On",('Net zero Activity data'!AV7*EF!$H20)*kgtoGg,"ERROR"))</f>
        <v>0.47342723886594434</v>
      </c>
      <c r="AD1083" s="93">
        <f>IF('Net zero activities &amp; levers'!$C$14="Off",('Activity data'!AW7*EF!$H20)*kgtoGg,IF('Net zero activities &amp; levers'!$C$14="On",('Net zero Activity data'!AW7*EF!$H20)*kgtoGg,"ERROR"))</f>
        <v>0.4777559304899795</v>
      </c>
      <c r="AE1083" s="93">
        <f>IF('Net zero activities &amp; levers'!$C$14="Off",('Activity data'!AX7*EF!$H20)*kgtoGg,IF('Net zero activities &amp; levers'!$C$14="On",('Net zero Activity data'!AX7*EF!$H20)*kgtoGg,"ERROR"))</f>
        <v>0.48303683706827621</v>
      </c>
      <c r="AF1083" s="93">
        <f>IF('Net zero activities &amp; levers'!$C$14="Off",('Activity data'!AY7*EF!$H20)*kgtoGg,IF('Net zero activities &amp; levers'!$C$14="On",('Net zero Activity data'!AY7*EF!$H20)*kgtoGg,"ERROR"))</f>
        <v>0.48881007506008173</v>
      </c>
      <c r="AG1083" s="93">
        <f>IF('Net zero activities &amp; levers'!$C$14="Off",('Activity data'!AZ7*EF!$H20)*kgtoGg,IF('Net zero activities &amp; levers'!$C$14="On",('Net zero Activity data'!AZ7*EF!$H20)*kgtoGg,"ERROR"))</f>
        <v>0.49561553537468644</v>
      </c>
      <c r="AH1083" s="93">
        <f>IF('Net zero activities &amp; levers'!$C$14="Off",('Activity data'!BA7*EF!$H20)*kgtoGg,IF('Net zero activities &amp; levers'!$C$14="On",('Net zero Activity data'!BA7*EF!$H20)*kgtoGg,"ERROR"))</f>
        <v>0.50100547707002141</v>
      </c>
      <c r="AI1083" s="93">
        <f>IF('Net zero activities &amp; levers'!$C$14="Off",('Activity data'!BB7*EF!$H20)*kgtoGg,IF('Net zero activities &amp; levers'!$C$14="On",('Net zero Activity data'!BB7*EF!$H20)*kgtoGg,"ERROR"))</f>
        <v>0.50601267449357823</v>
      </c>
      <c r="AJ1083" s="93">
        <f>IF('Net zero activities &amp; levers'!$C$14="Off",('Activity data'!BC7*EF!$H20)*kgtoGg,IF('Net zero activities &amp; levers'!$C$14="On",('Net zero Activity data'!BC7*EF!$H20)*kgtoGg,"ERROR"))</f>
        <v>0.51156883118915397</v>
      </c>
      <c r="AK1083" s="93">
        <f>IF('Net zero activities &amp; levers'!$C$14="Off",('Activity data'!BD7*EF!$H20)*kgtoGg,IF('Net zero activities &amp; levers'!$C$14="On",('Net zero Activity data'!BD7*EF!$H20)*kgtoGg,"ERROR"))</f>
        <v>0.51697580022400658</v>
      </c>
      <c r="AL1083" s="93">
        <f>IF('Net zero activities &amp; levers'!$C$14="Off",('Activity data'!BE7*EF!$H20)*kgtoGg,IF('Net zero activities &amp; levers'!$C$14="On",('Net zero Activity data'!BE7*EF!$H20)*kgtoGg,"ERROR"))</f>
        <v>0.52271015284978539</v>
      </c>
      <c r="AM1083" s="93">
        <f>IF('Net zero activities &amp; levers'!$C$14="Off",('Activity data'!BF7*EF!$H20)*kgtoGg,IF('Net zero activities &amp; levers'!$C$14="On",('Net zero Activity data'!BF7*EF!$H20)*kgtoGg,"ERROR"))</f>
        <v>0.52852693757963265</v>
      </c>
      <c r="AN1083" s="93">
        <f>IF('Net zero activities &amp; levers'!$C$14="Off",('Activity data'!BG7*EF!$H20)*kgtoGg,IF('Net zero activities &amp; levers'!$C$14="On",('Net zero Activity data'!BG7*EF!$H20)*kgtoGg,"ERROR"))</f>
        <v>0.5349553415888797</v>
      </c>
      <c r="AO1083" s="93">
        <f>IF('Net zero activities &amp; levers'!$C$14="Off",('Activity data'!BH7*EF!$H20)*kgtoGg,IF('Net zero activities &amp; levers'!$C$14="On",('Net zero Activity data'!BH7*EF!$H20)*kgtoGg,"ERROR"))</f>
        <v>0.54116418060264715</v>
      </c>
      <c r="AP1083" s="93">
        <f>IF('Net zero activities &amp; levers'!$C$14="Off",('Activity data'!BI7*EF!$H20)*kgtoGg,IF('Net zero activities &amp; levers'!$C$14="On",('Net zero Activity data'!BI7*EF!$H20)*kgtoGg,"ERROR"))</f>
        <v>0.54752061851039679</v>
      </c>
      <c r="AQ1083" s="93">
        <f>IF('Net zero activities &amp; levers'!$C$14="Off",('Activity data'!BJ7*EF!$H20)*kgtoGg,IF('Net zero activities &amp; levers'!$C$14="On",('Net zero Activity data'!BJ7*EF!$H20)*kgtoGg,"ERROR"))</f>
        <v>0.55412103591201056</v>
      </c>
      <c r="AR1083" s="93">
        <f>IF('Net zero activities &amp; levers'!$C$14="Off",('Activity data'!BK7*EF!$H20)*kgtoGg,IF('Net zero activities &amp; levers'!$C$14="On",('Net zero Activity data'!BK7*EF!$H20)*kgtoGg,"ERROR"))</f>
        <v>0.56100316732391087</v>
      </c>
      <c r="AS1083" s="93">
        <f>IF('Net zero activities &amp; levers'!$C$14="Off",('Activity data'!BL7*EF!$H20)*kgtoGg,IF('Net zero activities &amp; levers'!$C$14="On",('Net zero Activity data'!BL7*EF!$H20)*kgtoGg,"ERROR"))</f>
        <v>0.56866636942385063</v>
      </c>
      <c r="AT1083" s="93">
        <f>IF('Net zero activities &amp; levers'!$C$14="Off",('Activity data'!BM7*EF!$H20)*kgtoGg,IF('Net zero activities &amp; levers'!$C$14="On",('Net zero Activity data'!BM7*EF!$H20)*kgtoGg,"ERROR"))</f>
        <v>0.57390752295656533</v>
      </c>
      <c r="AU1083" s="93">
        <f>IF('Net zero activities &amp; levers'!$C$14="Off",('Activity data'!BN7*EF!$H20)*kgtoGg,IF('Net zero activities &amp; levers'!$C$14="On",('Net zero Activity data'!BN7*EF!$H20)*kgtoGg,"ERROR"))</f>
        <v>0.57902813673368103</v>
      </c>
      <c r="AV1083" s="93">
        <f>IF('Net zero activities &amp; levers'!$C$14="Off",('Activity data'!BO7*EF!$H20)*kgtoGg,IF('Net zero activities &amp; levers'!$C$14="On",('Net zero Activity data'!BO7*EF!$H20)*kgtoGg,"ERROR"))</f>
        <v>0.58429385018566193</v>
      </c>
      <c r="AW1083" s="93">
        <f>IF('Net zero activities &amp; levers'!$C$14="Off",('Activity data'!BP7*EF!$H20)*kgtoGg,IF('Net zero activities &amp; levers'!$C$14="On",('Net zero Activity data'!BP7*EF!$H20)*kgtoGg,"ERROR"))</f>
        <v>0.5895922674079066</v>
      </c>
      <c r="AY1083" s="79"/>
    </row>
    <row r="1084" spans="1:51" x14ac:dyDescent="0.2">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9.4871637196006553E-2</v>
      </c>
      <c r="L1084" s="93">
        <f>IF('Net zero activities &amp; levers'!$C$14="Off",('Activity data'!AE8*EF!$H21)*kgtoGg,IF('Net zero activities &amp; levers'!$C$14="On",('Net zero Activity data'!AE8*EF!$H21)*kgtoGg,"ERROR"))</f>
        <v>9.4048845784615531E-2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9.0667019955957398E-2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7.5194221843696937E-2</v>
      </c>
      <c r="T1084" s="93">
        <f>IF('Net zero activities &amp; levers'!$C$14="Off",('Activity data'!AM8*EF!$H21)*kgtoGg,IF('Net zero activities &amp; levers'!$C$14="On",('Net zero Activity data'!AM8*EF!$H21)*kgtoGg,"ERROR"))</f>
        <v>7.6632536915557561E-2</v>
      </c>
      <c r="U1084" s="93">
        <f>IF('Net zero activities &amp; levers'!$C$14="Off",('Activity data'!AN8*EF!$H21)*kgtoGg,IF('Net zero activities &amp; levers'!$C$14="On",('Net zero Activity data'!AN8*EF!$H21)*kgtoGg,"ERROR"))</f>
        <v>7.7401549005272907E-2</v>
      </c>
      <c r="V1084" s="93">
        <f>IF('Net zero activities &amp; levers'!$C$14="Off",('Activity data'!AO8*EF!$H21)*kgtoGg,IF('Net zero activities &amp; levers'!$C$14="On",('Net zero Activity data'!AO8*EF!$H21)*kgtoGg,"ERROR"))</f>
        <v>7.7993527400119084E-2</v>
      </c>
      <c r="W1084" s="93">
        <f>IF('Net zero activities &amp; levers'!$C$14="Off",('Activity data'!AP8*EF!$H21)*kgtoGg,IF('Net zero activities &amp; levers'!$C$14="On",('Net zero Activity data'!AP8*EF!$H21)*kgtoGg,"ERROR"))</f>
        <v>7.8850028173398812E-2</v>
      </c>
      <c r="X1084" s="93">
        <f>IF('Net zero activities &amp; levers'!$C$14="Off",('Activity data'!AQ8*EF!$H21)*kgtoGg,IF('Net zero activities &amp; levers'!$C$14="On",('Net zero Activity data'!AQ8*EF!$H21)*kgtoGg,"ERROR"))</f>
        <v>7.9545124288710786E-2</v>
      </c>
      <c r="Y1084" s="93">
        <f>IF('Net zero activities &amp; levers'!$C$14="Off",('Activity data'!AR8*EF!$H21)*kgtoGg,IF('Net zero activities &amp; levers'!$C$14="On",('Net zero Activity data'!AR8*EF!$H21)*kgtoGg,"ERROR"))</f>
        <v>7.9993221888415164E-2</v>
      </c>
      <c r="Z1084" s="93">
        <f>IF('Net zero activities &amp; levers'!$C$14="Off",('Activity data'!AS8*EF!$H21)*kgtoGg,IF('Net zero activities &amp; levers'!$C$14="On",('Net zero Activity data'!AS8*EF!$H21)*kgtoGg,"ERROR"))</f>
        <v>8.0342032341122221E-2</v>
      </c>
      <c r="AA1084" s="93">
        <f>IF('Net zero activities &amp; levers'!$C$14="Off",('Activity data'!AT8*EF!$H21)*kgtoGg,IF('Net zero activities &amp; levers'!$C$14="On",('Net zero Activity data'!AT8*EF!$H21)*kgtoGg,"ERROR"))</f>
        <v>8.0558218611879576E-2</v>
      </c>
      <c r="AB1084" s="93">
        <f>IF('Net zero activities &amp; levers'!$C$14="Off",('Activity data'!AU8*EF!$H21)*kgtoGg,IF('Net zero activities &amp; levers'!$C$14="On",('Net zero Activity data'!AU8*EF!$H21)*kgtoGg,"ERROR"))</f>
        <v>8.1198214942881639E-2</v>
      </c>
      <c r="AC1084" s="93">
        <f>IF('Net zero activities &amp; levers'!$C$14="Off",('Activity data'!AV8*EF!$H21)*kgtoGg,IF('Net zero activities &amp; levers'!$C$14="On",('Net zero Activity data'!AV8*EF!$H21)*kgtoGg,"ERROR"))</f>
        <v>8.1774057106542911E-2</v>
      </c>
      <c r="AD1084" s="93">
        <f>IF('Net zero activities &amp; levers'!$C$14="Off",('Activity data'!AW8*EF!$H21)*kgtoGg,IF('Net zero activities &amp; levers'!$C$14="On",('Net zero Activity data'!AW8*EF!$H21)*kgtoGg,"ERROR"))</f>
        <v>8.1803756887802739E-2</v>
      </c>
      <c r="AE1084" s="93">
        <f>IF('Net zero activities &amp; levers'!$C$14="Off",('Activity data'!AX8*EF!$H21)*kgtoGg,IF('Net zero activities &amp; levers'!$C$14="On",('Net zero Activity data'!AX8*EF!$H21)*kgtoGg,"ERROR"))</f>
        <v>8.2189518118440233E-2</v>
      </c>
      <c r="AF1084" s="93">
        <f>IF('Net zero activities &amp; levers'!$C$14="Off",('Activity data'!AY8*EF!$H21)*kgtoGg,IF('Net zero activities &amp; levers'!$C$14="On",('Net zero Activity data'!AY8*EF!$H21)*kgtoGg,"ERROR"))</f>
        <v>8.2699636683975147E-2</v>
      </c>
      <c r="AG1084" s="93">
        <f>IF('Net zero activities &amp; levers'!$C$14="Off",('Activity data'!AZ8*EF!$H21)*kgtoGg,IF('Net zero activities &amp; levers'!$C$14="On",('Net zero Activity data'!AZ8*EF!$H21)*kgtoGg,"ERROR"))</f>
        <v>8.3556074547621109E-2</v>
      </c>
      <c r="AH1084" s="93">
        <f>IF('Net zero activities &amp; levers'!$C$14="Off",('Activity data'!BA8*EF!$H21)*kgtoGg,IF('Net zero activities &amp; levers'!$C$14="On",('Net zero Activity data'!BA8*EF!$H21)*kgtoGg,"ERROR"))</f>
        <v>8.3692861347297365E-2</v>
      </c>
      <c r="AI1084" s="93">
        <f>IF('Net zero activities &amp; levers'!$C$14="Off",('Activity data'!BB8*EF!$H21)*kgtoGg,IF('Net zero activities &amp; levers'!$C$14="On",('Net zero Activity data'!BB8*EF!$H21)*kgtoGg,"ERROR"))</f>
        <v>8.3678502694708126E-2</v>
      </c>
      <c r="AJ1084" s="93">
        <f>IF('Net zero activities &amp; levers'!$C$14="Off",('Activity data'!BC8*EF!$H21)*kgtoGg,IF('Net zero activities &amp; levers'!$C$14="On",('Net zero Activity data'!BC8*EF!$H21)*kgtoGg,"ERROR"))</f>
        <v>8.380415826329729E-2</v>
      </c>
      <c r="AK1084" s="93">
        <f>IF('Net zero activities &amp; levers'!$C$14="Off",('Activity data'!BD8*EF!$H21)*kgtoGg,IF('Net zero activities &amp; levers'!$C$14="On",('Net zero Activity data'!BD8*EF!$H21)*kgtoGg,"ERROR"))</f>
        <v>8.3780965761712248E-2</v>
      </c>
      <c r="AL1084" s="93">
        <f>IF('Net zero activities &amp; levers'!$C$14="Off",('Activity data'!BE8*EF!$H21)*kgtoGg,IF('Net zero activities &amp; levers'!$C$14="On",('Net zero Activity data'!BE8*EF!$H21)*kgtoGg,"ERROR"))</f>
        <v>8.3798710851856847E-2</v>
      </c>
      <c r="AM1084" s="93">
        <f>IF('Net zero activities &amp; levers'!$C$14="Off",('Activity data'!BF8*EF!$H21)*kgtoGg,IF('Net zero activities &amp; levers'!$C$14="On",('Net zero Activity data'!BF8*EF!$H21)*kgtoGg,"ERROR"))</f>
        <v>8.3758438816059183E-2</v>
      </c>
      <c r="AN1084" s="93">
        <f>IF('Net zero activities &amp; levers'!$C$14="Off",('Activity data'!BG8*EF!$H21)*kgtoGg,IF('Net zero activities &amp; levers'!$C$14="On",('Net zero Activity data'!BG8*EF!$H21)*kgtoGg,"ERROR"))</f>
        <v>8.4359602001058728E-2</v>
      </c>
      <c r="AO1084" s="93">
        <f>IF('Net zero activities &amp; levers'!$C$14="Off",('Activity data'!BH8*EF!$H21)*kgtoGg,IF('Net zero activities &amp; levers'!$C$14="On",('Net zero Activity data'!BH8*EF!$H21)*kgtoGg,"ERROR"))</f>
        <v>8.4799386999346651E-2</v>
      </c>
      <c r="AP1084" s="93">
        <f>IF('Net zero activities &amp; levers'!$C$14="Off",('Activity data'!BI8*EF!$H21)*kgtoGg,IF('Net zero activities &amp; levers'!$C$14="On",('Net zero Activity data'!BI8*EF!$H21)*kgtoGg,"ERROR"))</f>
        <v>8.5213797519739967E-2</v>
      </c>
      <c r="AQ1084" s="93">
        <f>IF('Net zero activities &amp; levers'!$C$14="Off",('Activity data'!BJ8*EF!$H21)*kgtoGg,IF('Net zero activities &amp; levers'!$C$14="On",('Net zero Activity data'!BJ8*EF!$H21)*kgtoGg,"ERROR"))</f>
        <v>8.5634541045958551E-2</v>
      </c>
      <c r="AR1084" s="93">
        <f>IF('Net zero activities &amp; levers'!$C$14="Off",('Activity data'!BK8*EF!$H21)*kgtoGg,IF('Net zero activities &amp; levers'!$C$14="On",('Net zero Activity data'!BK8*EF!$H21)*kgtoGg,"ERROR"))</f>
        <v>8.6070741793779534E-2</v>
      </c>
      <c r="AS1084" s="93">
        <f>IF('Net zero activities &amp; levers'!$C$14="Off",('Activity data'!BL8*EF!$H21)*kgtoGg,IF('Net zero activities &amp; levers'!$C$14="On",('Net zero Activity data'!BL8*EF!$H21)*kgtoGg,"ERROR"))</f>
        <v>8.6754318409979284E-2</v>
      </c>
      <c r="AT1084" s="93">
        <f>IF('Net zero activities &amp; levers'!$C$14="Off",('Activity data'!BM8*EF!$H21)*kgtoGg,IF('Net zero activities &amp; levers'!$C$14="On",('Net zero Activity data'!BM8*EF!$H21)*kgtoGg,"ERROR"))</f>
        <v>8.6561782662480824E-2</v>
      </c>
      <c r="AU1084" s="93">
        <f>IF('Net zero activities &amp; levers'!$C$14="Off",('Activity data'!BN8*EF!$H21)*kgtoGg,IF('Net zero activities &amp; levers'!$C$14="On",('Net zero Activity data'!BN8*EF!$H21)*kgtoGg,"ERROR"))</f>
        <v>8.6273112387571071E-2</v>
      </c>
      <c r="AV1084" s="93">
        <f>IF('Net zero activities &amp; levers'!$C$14="Off",('Activity data'!BO8*EF!$H21)*kgtoGg,IF('Net zero activities &amp; levers'!$C$14="On",('Net zero Activity data'!BO8*EF!$H21)*kgtoGg,"ERROR"))</f>
        <v>8.5974128279328724E-2</v>
      </c>
      <c r="AW1084" s="93">
        <f>IF('Net zero activities &amp; levers'!$C$14="Off",('Activity data'!BP8*EF!$H21)*kgtoGg,IF('Net zero activities &amp; levers'!$C$14="On",('Net zero Activity data'!BP8*EF!$H21)*kgtoGg,"ERROR"))</f>
        <v>8.5629055859458861E-2</v>
      </c>
      <c r="AY1084" s="79"/>
    </row>
    <row r="1085" spans="1:51" x14ac:dyDescent="0.2">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6.9689449734106304E-2</v>
      </c>
      <c r="L1085" s="93">
        <f>IF('Net zero activities &amp; levers'!$C$14="Off",('Activity data'!AE9*EF!$H22)*kgtoGg,IF('Net zero activities &amp; levers'!$C$14="On",('Net zero Activity data'!AE9*EF!$H22)*kgtoGg,"ERROR"))</f>
        <v>6.908505539244103E-2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6.6600882165738284E-2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5.5235095528552075E-2</v>
      </c>
      <c r="T1085" s="93">
        <f>IF('Net zero activities &amp; levers'!$C$14="Off",('Activity data'!AM9*EF!$H22)*kgtoGg,IF('Net zero activities &amp; levers'!$C$14="On",('Net zero Activity data'!AM9*EF!$H22)*kgtoGg,"ERROR"))</f>
        <v>5.629163243320303E-2</v>
      </c>
      <c r="U1085" s="93">
        <f>IF('Net zero activities &amp; levers'!$C$14="Off",('Activity data'!AN9*EF!$H22)*kgtoGg,IF('Net zero activities &amp; levers'!$C$14="On",('Net zero Activity data'!AN9*EF!$H22)*kgtoGg,"ERROR"))</f>
        <v>5.6856522330279623E-2</v>
      </c>
      <c r="V1085" s="93">
        <f>IF('Net zero activities &amp; levers'!$C$14="Off",('Activity data'!AO9*EF!$H22)*kgtoGg,IF('Net zero activities &amp; levers'!$C$14="On",('Net zero Activity data'!AO9*EF!$H22)*kgtoGg,"ERROR"))</f>
        <v>5.7291369348952612E-2</v>
      </c>
      <c r="W1085" s="93">
        <f>IF('Net zero activities &amp; levers'!$C$14="Off",('Activity data'!AP9*EF!$H22)*kgtoGg,IF('Net zero activities &amp; levers'!$C$14="On",('Net zero Activity data'!AP9*EF!$H22)*kgtoGg,"ERROR"))</f>
        <v>5.7920525431327162E-2</v>
      </c>
      <c r="X1085" s="93">
        <f>IF('Net zero activities &amp; levers'!$C$14="Off",('Activity data'!AQ9*EF!$H22)*kgtoGg,IF('Net zero activities &amp; levers'!$C$14="On",('Net zero Activity data'!AQ9*EF!$H22)*kgtoGg,"ERROR"))</f>
        <v>5.8431119189589487E-2</v>
      </c>
      <c r="Y1085" s="93">
        <f>IF('Net zero activities &amp; levers'!$C$14="Off",('Activity data'!AR9*EF!$H22)*kgtoGg,IF('Net zero activities &amp; levers'!$C$14="On",('Net zero Activity data'!AR9*EF!$H22)*kgtoGg,"ERROR"))</f>
        <v>5.8760276312556113E-2</v>
      </c>
      <c r="Z1085" s="93">
        <f>IF('Net zero activities &amp; levers'!$C$14="Off",('Activity data'!AS9*EF!$H22)*kgtoGg,IF('Net zero activities &amp; levers'!$C$14="On",('Net zero Activity data'!AS9*EF!$H22)*kgtoGg,"ERROR"))</f>
        <v>5.9016500503780274E-2</v>
      </c>
      <c r="AA1085" s="93">
        <f>IF('Net zero activities &amp; levers'!$C$14="Off",('Activity data'!AT9*EF!$H22)*kgtoGg,IF('Net zero activities &amp; levers'!$C$14="On",('Net zero Activity data'!AT9*EF!$H22)*kgtoGg,"ERROR"))</f>
        <v>5.9175303521145986E-2</v>
      </c>
      <c r="AB1085" s="93">
        <f>IF('Net zero activities &amp; levers'!$C$14="Off",('Activity data'!AU9*EF!$H22)*kgtoGg,IF('Net zero activities &amp; levers'!$C$14="On",('Net zero Activity data'!AU9*EF!$H22)*kgtoGg,"ERROR"))</f>
        <v>5.9645422868272187E-2</v>
      </c>
      <c r="AC1085" s="93">
        <f>IF('Net zero activities &amp; levers'!$C$14="Off",('Activity data'!AV9*EF!$H22)*kgtoGg,IF('Net zero activities &amp; levers'!$C$14="On",('Net zero Activity data'!AV9*EF!$H22)*kgtoGg,"ERROR"))</f>
        <v>6.0068416765134525E-2</v>
      </c>
      <c r="AD1085" s="93">
        <f>IF('Net zero activities &amp; levers'!$C$14="Off",('Activity data'!AW9*EF!$H22)*kgtoGg,IF('Net zero activities &amp; levers'!$C$14="On",('Net zero Activity data'!AW9*EF!$H22)*kgtoGg,"ERROR"))</f>
        <v>6.0090233205478502E-2</v>
      </c>
      <c r="AE1085" s="93">
        <f>IF('Net zero activities &amp; levers'!$C$14="Off",('Activity data'!AX9*EF!$H22)*kgtoGg,IF('Net zero activities &amp; levers'!$C$14="On",('Net zero Activity data'!AX9*EF!$H22)*kgtoGg,"ERROR"))</f>
        <v>6.0373600170426478E-2</v>
      </c>
      <c r="AF1085" s="93">
        <f>IF('Net zero activities &amp; levers'!$C$14="Off",('Activity data'!AY9*EF!$H22)*kgtoGg,IF('Net zero activities &amp; levers'!$C$14="On",('Net zero Activity data'!AY9*EF!$H22)*kgtoGg,"ERROR"))</f>
        <v>6.0748315767015518E-2</v>
      </c>
      <c r="AG1085" s="93">
        <f>IF('Net zero activities &amp; levers'!$C$14="Off",('Activity data'!AZ9*EF!$H22)*kgtoGg,IF('Net zero activities &amp; levers'!$C$14="On",('Net zero Activity data'!AZ9*EF!$H22)*kgtoGg,"ERROR"))</f>
        <v>6.1377425638131498E-2</v>
      </c>
      <c r="AH1085" s="93">
        <f>IF('Net zero activities &amp; levers'!$C$14="Off",('Activity data'!BA9*EF!$H22)*kgtoGg,IF('Net zero activities &amp; levers'!$C$14="On",('Net zero Activity data'!BA9*EF!$H22)*kgtoGg,"ERROR"))</f>
        <v>6.1477904528156692E-2</v>
      </c>
      <c r="AI1085" s="93">
        <f>IF('Net zero activities &amp; levers'!$C$14="Off",('Activity data'!BB9*EF!$H22)*kgtoGg,IF('Net zero activities &amp; levers'!$C$14="On",('Net zero Activity data'!BB9*EF!$H22)*kgtoGg,"ERROR"))</f>
        <v>6.1467357154595496E-2</v>
      </c>
      <c r="AJ1085" s="93">
        <f>IF('Net zero activities &amp; levers'!$C$14="Off",('Activity data'!BC9*EF!$H22)*kgtoGg,IF('Net zero activities &amp; levers'!$C$14="On",('Net zero Activity data'!BC9*EF!$H22)*kgtoGg,"ERROR"))</f>
        <v>6.1559659424165428E-2</v>
      </c>
      <c r="AK1085" s="93">
        <f>IF('Net zero activities &amp; levers'!$C$14="Off",('Activity data'!BD9*EF!$H22)*kgtoGg,IF('Net zero activities &amp; levers'!$C$14="On",('Net zero Activity data'!BD9*EF!$H22)*kgtoGg,"ERROR"))</f>
        <v>6.1542623008212359E-2</v>
      </c>
      <c r="AL1085" s="93">
        <f>IF('Net zero activities &amp; levers'!$C$14="Off",('Activity data'!BE9*EF!$H22)*kgtoGg,IF('Net zero activities &amp; levers'!$C$14="On",('Net zero Activity data'!BE9*EF!$H22)*kgtoGg,"ERROR"))</f>
        <v>6.155565794261645E-2</v>
      </c>
      <c r="AM1085" s="93">
        <f>IF('Net zero activities &amp; levers'!$C$14="Off",('Activity data'!BF9*EF!$H22)*kgtoGg,IF('Net zero activities &amp; levers'!$C$14="On",('Net zero Activity data'!BF9*EF!$H22)*kgtoGg,"ERROR"))</f>
        <v>6.1526075486812389E-2</v>
      </c>
      <c r="AN1085" s="93">
        <f>IF('Net zero activities &amp; levers'!$C$14="Off",('Activity data'!BG9*EF!$H22)*kgtoGg,IF('Net zero activities &amp; levers'!$C$14="On",('Net zero Activity data'!BG9*EF!$H22)*kgtoGg,"ERROR"))</f>
        <v>6.1967669337211172E-2</v>
      </c>
      <c r="AO1085" s="93">
        <f>IF('Net zero activities &amp; levers'!$C$14="Off",('Activity data'!BH9*EF!$H22)*kgtoGg,IF('Net zero activities &amp; levers'!$C$14="On",('Net zero Activity data'!BH9*EF!$H22)*kgtoGg,"ERROR"))</f>
        <v>6.2290720308374216E-2</v>
      </c>
      <c r="AP1085" s="93">
        <f>IF('Net zero activities &amp; levers'!$C$14="Off",('Activity data'!BI9*EF!$H22)*kgtoGg,IF('Net zero activities &amp; levers'!$C$14="On",('Net zero Activity data'!BI9*EF!$H22)*kgtoGg,"ERROR"))</f>
        <v>6.2595132058648639E-2</v>
      </c>
      <c r="AQ1085" s="93">
        <f>IF('Net zero activities &amp; levers'!$C$14="Off",('Activity data'!BJ9*EF!$H22)*kgtoGg,IF('Net zero activities &amp; levers'!$C$14="On",('Net zero Activity data'!BJ9*EF!$H22)*kgtoGg,"ERROR"))</f>
        <v>6.2904195817723246E-2</v>
      </c>
      <c r="AR1085" s="93">
        <f>IF('Net zero activities &amp; levers'!$C$14="Off",('Activity data'!BK9*EF!$H22)*kgtoGg,IF('Net zero activities &amp; levers'!$C$14="On",('Net zero Activity data'!BK9*EF!$H22)*kgtoGg,"ERROR"))</f>
        <v>6.3224613921465334E-2</v>
      </c>
      <c r="AS1085" s="93">
        <f>IF('Net zero activities &amp; levers'!$C$14="Off",('Activity data'!BL9*EF!$H22)*kgtoGg,IF('Net zero activities &amp; levers'!$C$14="On",('Net zero Activity data'!BL9*EF!$H22)*kgtoGg,"ERROR"))</f>
        <v>6.3726745850902156E-2</v>
      </c>
      <c r="AT1085" s="93">
        <f>IF('Net zero activities &amp; levers'!$C$14="Off",('Activity data'!BM9*EF!$H22)*kgtoGg,IF('Net zero activities &amp; levers'!$C$14="On",('Net zero Activity data'!BM9*EF!$H22)*kgtoGg,"ERROR"))</f>
        <v>6.3585315696496877E-2</v>
      </c>
      <c r="AU1085" s="93">
        <f>IF('Net zero activities &amp; levers'!$C$14="Off",('Activity data'!BN9*EF!$H22)*kgtoGg,IF('Net zero activities &amp; levers'!$C$14="On",('Net zero Activity data'!BN9*EF!$H22)*kgtoGg,"ERROR"))</f>
        <v>6.3373268416533846E-2</v>
      </c>
      <c r="AV1085" s="93">
        <f>IF('Net zero activities &amp; levers'!$C$14="Off",('Activity data'!BO9*EF!$H22)*kgtoGg,IF('Net zero activities &amp; levers'!$C$14="On",('Net zero Activity data'!BO9*EF!$H22)*kgtoGg,"ERROR"))</f>
        <v>6.3153644948461887E-2</v>
      </c>
      <c r="AW1085" s="93">
        <f>IF('Net zero activities &amp; levers'!$C$14="Off",('Activity data'!BP9*EF!$H22)*kgtoGg,IF('Net zero activities &amp; levers'!$C$14="On",('Net zero Activity data'!BP9*EF!$H22)*kgtoGg,"ERROR"))</f>
        <v>6.2900166587911782E-2</v>
      </c>
      <c r="AY1085" s="79"/>
    </row>
    <row r="1086" spans="1:51" x14ac:dyDescent="0.2">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0.48695387967725956</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0.53070826286138573</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0.51624279949509155</v>
      </c>
      <c r="T1086" s="93">
        <f>IF('Net zero activities &amp; levers'!$C$14="Off",('Activity data'!AM10*EF!$H23)*kgtoGg,IF('Net zero activities &amp; levers'!$C$14="On",('Net zero Activity data'!AM10*EF!$H23)*kgtoGg,"ERROR"))</f>
        <v>0.53879307932677856</v>
      </c>
      <c r="U1086" s="93">
        <f>IF('Net zero activities &amp; levers'!$C$14="Off",('Activity data'!AN10*EF!$H23)*kgtoGg,IF('Net zero activities &amp; levers'!$C$14="On",('Net zero Activity data'!AN10*EF!$H23)*kgtoGg,"ERROR"))</f>
        <v>0.55713109899852753</v>
      </c>
      <c r="V1086" s="93">
        <f>IF('Net zero activities &amp; levers'!$C$14="Off",('Activity data'!AO10*EF!$H23)*kgtoGg,IF('Net zero activities &amp; levers'!$C$14="On",('Net zero Activity data'!AO10*EF!$H23)*kgtoGg,"ERROR"))</f>
        <v>0.57456229359809852</v>
      </c>
      <c r="W1086" s="93">
        <f>IF('Net zero activities &amp; levers'!$C$14="Off",('Activity data'!AP10*EF!$H23)*kgtoGg,IF('Net zero activities &amp; levers'!$C$14="On",('Net zero Activity data'!AP10*EF!$H23)*kgtoGg,"ERROR"))</f>
        <v>0.59433872658918863</v>
      </c>
      <c r="X1086" s="93">
        <f>IF('Net zero activities &amp; levers'!$C$14="Off",('Activity data'!AQ10*EF!$H23)*kgtoGg,IF('Net zero activities &amp; levers'!$C$14="On",('Net zero Activity data'!AQ10*EF!$H23)*kgtoGg,"ERROR"))</f>
        <v>0.61332693480888556</v>
      </c>
      <c r="Y1086" s="93">
        <f>IF('Net zero activities &amp; levers'!$C$14="Off",('Activity data'!AR10*EF!$H23)*kgtoGg,IF('Net zero activities &amp; levers'!$C$14="On",('Net zero Activity data'!AR10*EF!$H23)*kgtoGg,"ERROR"))</f>
        <v>0.63078242094770143</v>
      </c>
      <c r="Z1086" s="93">
        <f>IF('Net zero activities &amp; levers'!$C$14="Off",('Activity data'!AS10*EF!$H23)*kgtoGg,IF('Net zero activities &amp; levers'!$C$14="On",('Net zero Activity data'!AS10*EF!$H23)*kgtoGg,"ERROR"))</f>
        <v>0.64777903840881934</v>
      </c>
      <c r="AA1086" s="93">
        <f>IF('Net zero activities &amp; levers'!$C$14="Off",('Activity data'!AT10*EF!$H23)*kgtoGg,IF('Net zero activities &amp; levers'!$C$14="On",('Net zero Activity data'!AT10*EF!$H23)*kgtoGg,"ERROR"))</f>
        <v>0.66400113500174907</v>
      </c>
      <c r="AB1086" s="93">
        <f>IF('Net zero activities &amp; levers'!$C$14="Off",('Activity data'!AU10*EF!$H23)*kgtoGg,IF('Net zero activities &amp; levers'!$C$14="On",('Net zero Activity data'!AU10*EF!$H23)*kgtoGg,"ERROR"))</f>
        <v>0.68407603128870909</v>
      </c>
      <c r="AC1086" s="93">
        <f>IF('Net zero activities &amp; levers'!$C$14="Off",('Activity data'!AV10*EF!$H23)*kgtoGg,IF('Net zero activities &amp; levers'!$C$14="On",('Net zero Activity data'!AV10*EF!$H23)*kgtoGg,"ERROR"))</f>
        <v>0.70404867201485544</v>
      </c>
      <c r="AD1086" s="93">
        <f>IF('Net zero activities &amp; levers'!$C$14="Off",('Activity data'!AW10*EF!$H23)*kgtoGg,IF('Net zero activities &amp; levers'!$C$14="On",('Net zero Activity data'!AW10*EF!$H23)*kgtoGg,"ERROR"))</f>
        <v>0.72766101903000513</v>
      </c>
      <c r="AE1086" s="93">
        <f>IF('Net zero activities &amp; levers'!$C$14="Off",('Activity data'!AX10*EF!$H23)*kgtoGg,IF('Net zero activities &amp; levers'!$C$14="On",('Net zero Activity data'!AX10*EF!$H23)*kgtoGg,"ERROR"))</f>
        <v>0.75538392864169213</v>
      </c>
      <c r="AF1086" s="93">
        <f>IF('Net zero activities &amp; levers'!$C$14="Off",('Activity data'!AY10*EF!$H23)*kgtoGg,IF('Net zero activities &amp; levers'!$C$14="On",('Net zero Activity data'!AY10*EF!$H23)*kgtoGg,"ERROR"))</f>
        <v>0.78539118200338776</v>
      </c>
      <c r="AG1086" s="93">
        <f>IF('Net zero activities &amp; levers'!$C$14="Off",('Activity data'!AZ10*EF!$H23)*kgtoGg,IF('Net zero activities &amp; levers'!$C$14="On",('Net zero Activity data'!AZ10*EF!$H23)*kgtoGg,"ERROR"))</f>
        <v>0.8200419216488164</v>
      </c>
      <c r="AH1086" s="93">
        <f>IF('Net zero activities &amp; levers'!$C$14="Off",('Activity data'!BA10*EF!$H23)*kgtoGg,IF('Net zero activities &amp; levers'!$C$14="On",('Net zero Activity data'!BA10*EF!$H23)*kgtoGg,"ERROR"))</f>
        <v>0.8489366901406914</v>
      </c>
      <c r="AI1086" s="93">
        <f>IF('Net zero activities &amp; levers'!$C$14="Off",('Activity data'!BB10*EF!$H23)*kgtoGg,IF('Net zero activities &amp; levers'!$C$14="On",('Net zero Activity data'!BB10*EF!$H23)*kgtoGg,"ERROR"))</f>
        <v>0.87738791798686844</v>
      </c>
      <c r="AJ1086" s="93">
        <f>IF('Net zero activities &amp; levers'!$C$14="Off",('Activity data'!BC10*EF!$H23)*kgtoGg,IF('Net zero activities &amp; levers'!$C$14="On",('Net zero Activity data'!BC10*EF!$H23)*kgtoGg,"ERROR"))</f>
        <v>0.90845821020325546</v>
      </c>
      <c r="AK1086" s="93">
        <f>IF('Net zero activities &amp; levers'!$C$14="Off",('Activity data'!BD10*EF!$H23)*kgtoGg,IF('Net zero activities &amp; levers'!$C$14="On",('Net zero Activity data'!BD10*EF!$H23)*kgtoGg,"ERROR"))</f>
        <v>0.93913064377113187</v>
      </c>
      <c r="AL1086" s="93">
        <f>IF('Net zero activities &amp; levers'!$C$14="Off",('Activity data'!BE10*EF!$H23)*kgtoGg,IF('Net zero activities &amp; levers'!$C$14="On",('Net zero Activity data'!BE10*EF!$H23)*kgtoGg,"ERROR"))</f>
        <v>0.97151128715932467</v>
      </c>
      <c r="AM1086" s="93">
        <f>IF('Net zero activities &amp; levers'!$C$14="Off",('Activity data'!BF10*EF!$H23)*kgtoGg,IF('Net zero activities &amp; levers'!$C$14="On",('Net zero Activity data'!BF10*EF!$H23)*kgtoGg,"ERROR"))</f>
        <v>1.0045387395175103</v>
      </c>
      <c r="AN1086" s="93">
        <f>IF('Net zero activities &amp; levers'!$C$14="Off",('Activity data'!BG10*EF!$H23)*kgtoGg,IF('Net zero activities &amp; levers'!$C$14="On",('Net zero Activity data'!BG10*EF!$H23)*kgtoGg,"ERROR"))</f>
        <v>1.0402953867873999</v>
      </c>
      <c r="AO1086" s="93">
        <f>IF('Net zero activities &amp; levers'!$C$14="Off",('Activity data'!BH10*EF!$H23)*kgtoGg,IF('Net zero activities &amp; levers'!$C$14="On",('Net zero Activity data'!BH10*EF!$H23)*kgtoGg,"ERROR"))</f>
        <v>1.0753258690752492</v>
      </c>
      <c r="AP1086" s="93">
        <f>IF('Net zero activities &amp; levers'!$C$14="Off",('Activity data'!BI10*EF!$H23)*kgtoGg,IF('Net zero activities &amp; levers'!$C$14="On",('Net zero Activity data'!BI10*EF!$H23)*kgtoGg,"ERROR"))</f>
        <v>1.1112943424505797</v>
      </c>
      <c r="AQ1086" s="93">
        <f>IF('Net zero activities &amp; levers'!$C$14="Off",('Activity data'!BJ10*EF!$H23)*kgtoGg,IF('Net zero activities &amp; levers'!$C$14="On",('Net zero Activity data'!BJ10*EF!$H23)*kgtoGg,"ERROR"))</f>
        <v>1.1486611306142331</v>
      </c>
      <c r="AR1086" s="93">
        <f>IF('Net zero activities &amp; levers'!$C$14="Off",('Activity data'!BK10*EF!$H23)*kgtoGg,IF('Net zero activities &amp; levers'!$C$14="On",('Net zero Activity data'!BK10*EF!$H23)*kgtoGg,"ERROR"))</f>
        <v>1.1876258937828315</v>
      </c>
      <c r="AS1086" s="93">
        <f>IF('Net zero activities &amp; levers'!$C$14="Off",('Activity data'!BL10*EF!$H23)*kgtoGg,IF('Net zero activities &amp; levers'!$C$14="On",('Net zero Activity data'!BL10*EF!$H23)*kgtoGg,"ERROR"))</f>
        <v>1.2315704356820807</v>
      </c>
      <c r="AT1086" s="93">
        <f>IF('Net zero activities &amp; levers'!$C$14="Off",('Activity data'!BM10*EF!$H23)*kgtoGg,IF('Net zero activities &amp; levers'!$C$14="On",('Net zero Activity data'!BM10*EF!$H23)*kgtoGg,"ERROR"))</f>
        <v>1.2644650423303223</v>
      </c>
      <c r="AU1086" s="93">
        <f>IF('Net zero activities &amp; levers'!$C$14="Off",('Activity data'!BN10*EF!$H23)*kgtoGg,IF('Net zero activities &amp; levers'!$C$14="On",('Net zero Activity data'!BN10*EF!$H23)*kgtoGg,"ERROR"))</f>
        <v>1.2970080883934705</v>
      </c>
      <c r="AV1086" s="93">
        <f>IF('Net zero activities &amp; levers'!$C$14="Off",('Activity data'!BO10*EF!$H23)*kgtoGg,IF('Net zero activities &amp; levers'!$C$14="On",('Net zero Activity data'!BO10*EF!$H23)*kgtoGg,"ERROR"))</f>
        <v>1.3304588860507658</v>
      </c>
      <c r="AW1086" s="93">
        <f>IF('Net zero activities &amp; levers'!$C$14="Off",('Activity data'!BP10*EF!$H23)*kgtoGg,IF('Net zero activities &amp; levers'!$C$14="On",('Net zero Activity data'!BP10*EF!$H23)*kgtoGg,"ERROR"))</f>
        <v>1.3642912097880298</v>
      </c>
      <c r="AY1086" s="79"/>
    </row>
    <row r="1087" spans="1:51" x14ac:dyDescent="0.2">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3.6781380176720842E-2</v>
      </c>
      <c r="T1087" s="93">
        <f>IF('Net zero activities &amp; levers'!$C$14="Off",('Activity data'!AM11*EF!$H24)*kgtoGg,IF('Net zero activities &amp; levers'!$C$14="On",('Net zero Activity data'!AM11*EF!$H24)*kgtoGg,"ERROR"))</f>
        <v>3.6837395233082854E-2</v>
      </c>
      <c r="U1087" s="93">
        <f>IF('Net zero activities &amp; levers'!$C$14="Off",('Activity data'!AN11*EF!$H24)*kgtoGg,IF('Net zero activities &amp; levers'!$C$14="On",('Net zero Activity data'!AN11*EF!$H24)*kgtoGg,"ERROR"))</f>
        <v>3.6900705652170011E-2</v>
      </c>
      <c r="V1087" s="93">
        <f>IF('Net zero activities &amp; levers'!$C$14="Off",('Activity data'!AO11*EF!$H24)*kgtoGg,IF('Net zero activities &amp; levers'!$C$14="On",('Net zero Activity data'!AO11*EF!$H24)*kgtoGg,"ERROR"))</f>
        <v>3.6972125402225033E-2</v>
      </c>
      <c r="W1087" s="93">
        <f>IF('Net zero activities &amp; levers'!$C$14="Off",('Activity data'!AP11*EF!$H24)*kgtoGg,IF('Net zero activities &amp; levers'!$C$14="On",('Net zero Activity data'!AP11*EF!$H24)*kgtoGg,"ERROR"))</f>
        <v>3.7052467371172147E-2</v>
      </c>
      <c r="X1087" s="93">
        <f>IF('Net zero activities &amp; levers'!$C$14="Off",('Activity data'!AQ11*EF!$H24)*kgtoGg,IF('Net zero activities &amp; levers'!$C$14="On",('Net zero Activity data'!AQ11*EF!$H24)*kgtoGg,"ERROR"))</f>
        <v>3.7140056258746688E-2</v>
      </c>
      <c r="Y1087" s="93">
        <f>IF('Net zero activities &amp; levers'!$C$14="Off",('Activity data'!AR11*EF!$H24)*kgtoGg,IF('Net zero activities &amp; levers'!$C$14="On",('Net zero Activity data'!AR11*EF!$H24)*kgtoGg,"ERROR"))</f>
        <v>3.7193327101982677E-2</v>
      </c>
      <c r="Z1087" s="93">
        <f>IF('Net zero activities &amp; levers'!$C$14="Off",('Activity data'!AS11*EF!$H24)*kgtoGg,IF('Net zero activities &amp; levers'!$C$14="On",('Net zero Activity data'!AS11*EF!$H24)*kgtoGg,"ERROR"))</f>
        <v>3.725282757032642E-2</v>
      </c>
      <c r="AA1087" s="93">
        <f>IF('Net zero activities &amp; levers'!$C$14="Off",('Activity data'!AT11*EF!$H24)*kgtoGg,IF('Net zero activities &amp; levers'!$C$14="On",('Net zero Activity data'!AT11*EF!$H24)*kgtoGg,"ERROR"))</f>
        <v>3.7318121191736012E-2</v>
      </c>
      <c r="AB1087" s="93">
        <f>IF('Net zero activities &amp; levers'!$C$14="Off",('Activity data'!AU11*EF!$H24)*kgtoGg,IF('Net zero activities &amp; levers'!$C$14="On",('Net zero Activity data'!AU11*EF!$H24)*kgtoGg,"ERROR"))</f>
        <v>3.7390686259807883E-2</v>
      </c>
      <c r="AC1087" s="93">
        <f>IF('Net zero activities &amp; levers'!$C$14="Off",('Activity data'!AV11*EF!$H24)*kgtoGg,IF('Net zero activities &amp; levers'!$C$14="On",('Net zero Activity data'!AV11*EF!$H24)*kgtoGg,"ERROR"))</f>
        <v>3.7468739847843706E-2</v>
      </c>
      <c r="AD1087" s="93">
        <f>IF('Net zero activities &amp; levers'!$C$14="Off",('Activity data'!AW11*EF!$H24)*kgtoGg,IF('Net zero activities &amp; levers'!$C$14="On",('Net zero Activity data'!AW11*EF!$H24)*kgtoGg,"ERROR"))</f>
        <v>3.751974247344389E-2</v>
      </c>
      <c r="AE1087" s="93">
        <f>IF('Net zero activities &amp; levers'!$C$14="Off",('Activity data'!AX11*EF!$H24)*kgtoGg,IF('Net zero activities &amp; levers'!$C$14="On",('Net zero Activity data'!AX11*EF!$H24)*kgtoGg,"ERROR"))</f>
        <v>3.7576993148623769E-2</v>
      </c>
      <c r="AF1087" s="93">
        <f>IF('Net zero activities &amp; levers'!$C$14="Off",('Activity data'!AY11*EF!$H24)*kgtoGg,IF('Net zero activities &amp; levers'!$C$14="On",('Net zero Activity data'!AY11*EF!$H24)*kgtoGg,"ERROR"))</f>
        <v>3.7639577283476555E-2</v>
      </c>
      <c r="AG1087" s="93">
        <f>IF('Net zero activities &amp; levers'!$C$14="Off",('Activity data'!AZ11*EF!$H24)*kgtoGg,IF('Net zero activities &amp; levers'!$C$14="On",('Net zero Activity data'!AZ11*EF!$H24)*kgtoGg,"ERROR"))</f>
        <v>3.7708144828082185E-2</v>
      </c>
      <c r="AH1087" s="93">
        <f>IF('Net zero activities &amp; levers'!$C$14="Off",('Activity data'!BA11*EF!$H24)*kgtoGg,IF('Net zero activities &amp; levers'!$C$14="On",('Net zero Activity data'!BA11*EF!$H24)*kgtoGg,"ERROR"))</f>
        <v>3.7778741786852331E-2</v>
      </c>
      <c r="AI1087" s="93">
        <f>IF('Net zero activities &amp; levers'!$C$14="Off",('Activity data'!BB11*EF!$H24)*kgtoGg,IF('Net zero activities &amp; levers'!$C$14="On",('Net zero Activity data'!BB11*EF!$H24)*kgtoGg,"ERROR"))</f>
        <v>3.7822008909384815E-2</v>
      </c>
      <c r="AJ1087" s="93">
        <f>IF('Net zero activities &amp; levers'!$C$14="Off",('Activity data'!BC11*EF!$H24)*kgtoGg,IF('Net zero activities &amp; levers'!$C$14="On",('Net zero Activity data'!BC11*EF!$H24)*kgtoGg,"ERROR"))</f>
        <v>3.7869806060801224E-2</v>
      </c>
      <c r="AK1087" s="93">
        <f>IF('Net zero activities &amp; levers'!$C$14="Off",('Activity data'!BD11*EF!$H24)*kgtoGg,IF('Net zero activities &amp; levers'!$C$14="On",('Net zero Activity data'!BD11*EF!$H24)*kgtoGg,"ERROR"))</f>
        <v>3.7920914851450743E-2</v>
      </c>
      <c r="AL1087" s="93">
        <f>IF('Net zero activities &amp; levers'!$C$14="Off",('Activity data'!BE11*EF!$H24)*kgtoGg,IF('Net zero activities &amp; levers'!$C$14="On",('Net zero Activity data'!BE11*EF!$H24)*kgtoGg,"ERROR"))</f>
        <v>3.7975943332366417E-2</v>
      </c>
      <c r="AM1087" s="93">
        <f>IF('Net zero activities &amp; levers'!$C$14="Off",('Activity data'!BF11*EF!$H24)*kgtoGg,IF('Net zero activities &amp; levers'!$C$14="On",('Net zero Activity data'!BF11*EF!$H24)*kgtoGg,"ERROR"))</f>
        <v>3.8034394238678673E-2</v>
      </c>
      <c r="AN1087" s="93">
        <f>IF('Net zero activities &amp; levers'!$C$14="Off",('Activity data'!BG11*EF!$H24)*kgtoGg,IF('Net zero activities &amp; levers'!$C$14="On",('Net zero Activity data'!BG11*EF!$H24)*kgtoGg,"ERROR"))</f>
        <v>3.8068290997096535E-2</v>
      </c>
      <c r="AO1087" s="93">
        <f>IF('Net zero activities &amp; levers'!$C$14="Off",('Activity data'!BH11*EF!$H24)*kgtoGg,IF('Net zero activities &amp; levers'!$C$14="On",('Net zero Activity data'!BH11*EF!$H24)*kgtoGg,"ERROR"))</f>
        <v>3.8104751343434065E-2</v>
      </c>
      <c r="AP1087" s="93">
        <f>IF('Net zero activities &amp; levers'!$C$14="Off",('Activity data'!BI11*EF!$H24)*kgtoGg,IF('Net zero activities &amp; levers'!$C$14="On",('Net zero Activity data'!BI11*EF!$H24)*kgtoGg,"ERROR"))</f>
        <v>3.8144241244256513E-2</v>
      </c>
      <c r="AQ1087" s="93">
        <f>IF('Net zero activities &amp; levers'!$C$14="Off",('Activity data'!BJ11*EF!$H24)*kgtoGg,IF('Net zero activities &amp; levers'!$C$14="On",('Net zero Activity data'!BJ11*EF!$H24)*kgtoGg,"ERROR"))</f>
        <v>3.8186815214812375E-2</v>
      </c>
      <c r="AR1087" s="93">
        <f>IF('Net zero activities &amp; levers'!$C$14="Off",('Activity data'!BK11*EF!$H24)*kgtoGg,IF('Net zero activities &amp; levers'!$C$14="On",('Net zero Activity data'!BK11*EF!$H24)*kgtoGg,"ERROR"))</f>
        <v>3.8232443493664919E-2</v>
      </c>
      <c r="AS1087" s="93">
        <f>IF('Net zero activities &amp; levers'!$C$14="Off",('Activity data'!BL11*EF!$H24)*kgtoGg,IF('Net zero activities &amp; levers'!$C$14="On",('Net zero Activity data'!BL11*EF!$H24)*kgtoGg,"ERROR"))</f>
        <v>3.825284618540576E-2</v>
      </c>
      <c r="AT1087" s="93">
        <f>IF('Net zero activities &amp; levers'!$C$14="Off",('Activity data'!BM11*EF!$H24)*kgtoGg,IF('Net zero activities &amp; levers'!$C$14="On",('Net zero Activity data'!BM11*EF!$H24)*kgtoGg,"ERROR"))</f>
        <v>3.8271836221950122E-2</v>
      </c>
      <c r="AU1087" s="93">
        <f>IF('Net zero activities &amp; levers'!$C$14="Off",('Activity data'!BN11*EF!$H24)*kgtoGg,IF('Net zero activities &amp; levers'!$C$14="On",('Net zero Activity data'!BN11*EF!$H24)*kgtoGg,"ERROR"))</f>
        <v>3.8292888607538426E-2</v>
      </c>
      <c r="AV1087" s="93">
        <f>IF('Net zero activities &amp; levers'!$C$14="Off",('Activity data'!BO11*EF!$H24)*kgtoGg,IF('Net zero activities &amp; levers'!$C$14="On",('Net zero Activity data'!BO11*EF!$H24)*kgtoGg,"ERROR"))</f>
        <v>3.8316340791445545E-2</v>
      </c>
      <c r="AW1087" s="93">
        <f>IF('Net zero activities &amp; levers'!$C$14="Off",('Activity data'!BP11*EF!$H24)*kgtoGg,IF('Net zero activities &amp; levers'!$C$14="On",('Net zero Activity data'!BP11*EF!$H24)*kgtoGg,"ERROR"))</f>
        <v>3.8341951349881082E-2</v>
      </c>
      <c r="AY1087" s="79"/>
    </row>
    <row r="1088" spans="1:51" x14ac:dyDescent="0.2">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4.2006089356439562E-3</v>
      </c>
      <c r="T1088" s="93">
        <f>IF('Net zero activities &amp; levers'!$C$14="Off",('Activity data'!AM12*EF!$H25)*kgtoGg,IF('Net zero activities &amp; levers'!$C$14="On",('Net zero Activity data'!AM12*EF!$H25)*kgtoGg,"ERROR"))</f>
        <v>4.2070061220778072E-3</v>
      </c>
      <c r="U1088" s="93">
        <f>IF('Net zero activities &amp; levers'!$C$14="Off",('Activity data'!AN12*EF!$H25)*kgtoGg,IF('Net zero activities &amp; levers'!$C$14="On",('Net zero Activity data'!AN12*EF!$H25)*kgtoGg,"ERROR"))</f>
        <v>4.2142364737084185E-3</v>
      </c>
      <c r="V1088" s="93">
        <f>IF('Net zero activities &amp; levers'!$C$14="Off",('Activity data'!AO12*EF!$H25)*kgtoGg,IF('Net zero activities &amp; levers'!$C$14="On",('Net zero Activity data'!AO12*EF!$H25)*kgtoGg,"ERROR"))</f>
        <v>4.2223929495889085E-3</v>
      </c>
      <c r="W1088" s="93">
        <f>IF('Net zero activities &amp; levers'!$C$14="Off",('Activity data'!AP12*EF!$H25)*kgtoGg,IF('Net zero activities &amp; levers'!$C$14="On",('Net zero Activity data'!AP12*EF!$H25)*kgtoGg,"ERROR"))</f>
        <v>4.2315683853948781E-3</v>
      </c>
      <c r="X1088" s="93">
        <f>IF('Net zero activities &amp; levers'!$C$14="Off",('Activity data'!AQ12*EF!$H25)*kgtoGg,IF('Net zero activities &amp; levers'!$C$14="On",('Net zero Activity data'!AQ12*EF!$H25)*kgtoGg,"ERROR"))</f>
        <v>4.2415714538507386E-3</v>
      </c>
      <c r="Y1088" s="93">
        <f>IF('Net zero activities &amp; levers'!$C$14="Off",('Activity data'!AR12*EF!$H25)*kgtoGg,IF('Net zero activities &amp; levers'!$C$14="On",('Net zero Activity data'!AR12*EF!$H25)*kgtoGg,"ERROR"))</f>
        <v>4.2476552380652311E-3</v>
      </c>
      <c r="Z1088" s="93">
        <f>IF('Net zero activities &amp; levers'!$C$14="Off",('Activity data'!AS12*EF!$H25)*kgtoGg,IF('Net zero activities &amp; levers'!$C$14="On",('Net zero Activity data'!AS12*EF!$H25)*kgtoGg,"ERROR"))</f>
        <v>4.2544504751607076E-3</v>
      </c>
      <c r="AA1088" s="93">
        <f>IF('Net zero activities &amp; levers'!$C$14="Off",('Activity data'!AT12*EF!$H25)*kgtoGg,IF('Net zero activities &amp; levers'!$C$14="On",('Net zero Activity data'!AT12*EF!$H25)*kgtoGg,"ERROR"))</f>
        <v>4.261907317949531E-3</v>
      </c>
      <c r="AB1088" s="93">
        <f>IF('Net zero activities &amp; levers'!$C$14="Off",('Activity data'!AU12*EF!$H25)*kgtoGg,IF('Net zero activities &amp; levers'!$C$14="On",('Net zero Activity data'!AU12*EF!$H25)*kgtoGg,"ERROR"))</f>
        <v>4.2701945946067351E-3</v>
      </c>
      <c r="AC1088" s="93">
        <f>IF('Net zero activities &amp; levers'!$C$14="Off",('Activity data'!AV12*EF!$H25)*kgtoGg,IF('Net zero activities &amp; levers'!$C$14="On",('Net zero Activity data'!AV12*EF!$H25)*kgtoGg,"ERROR"))</f>
        <v>4.2791086864050034E-3</v>
      </c>
      <c r="AD1088" s="93">
        <f>IF('Net zero activities &amp; levers'!$C$14="Off",('Activity data'!AW12*EF!$H25)*kgtoGg,IF('Net zero activities &amp; levers'!$C$14="On",('Net zero Activity data'!AW12*EF!$H25)*kgtoGg,"ERROR"))</f>
        <v>4.284933429353965E-3</v>
      </c>
      <c r="AE1088" s="93">
        <f>IF('Net zero activities &amp; levers'!$C$14="Off",('Activity data'!AX12*EF!$H25)*kgtoGg,IF('Net zero activities &amp; levers'!$C$14="On",('Net zero Activity data'!AX12*EF!$H25)*kgtoGg,"ERROR"))</f>
        <v>4.2914717293464286E-3</v>
      </c>
      <c r="AF1088" s="93">
        <f>IF('Net zero activities &amp; levers'!$C$14="Off",('Activity data'!AY12*EF!$H25)*kgtoGg,IF('Net zero activities &amp; levers'!$C$14="On",('Net zero Activity data'!AY12*EF!$H25)*kgtoGg,"ERROR"))</f>
        <v>4.2986191358556219E-3</v>
      </c>
      <c r="AG1088" s="93">
        <f>IF('Net zero activities &amp; levers'!$C$14="Off",('Activity data'!AZ12*EF!$H25)*kgtoGg,IF('Net zero activities &amp; levers'!$C$14="On",('Net zero Activity data'!AZ12*EF!$H25)*kgtoGg,"ERROR"))</f>
        <v>4.3064498762786759E-3</v>
      </c>
      <c r="AH1088" s="93">
        <f>IF('Net zero activities &amp; levers'!$C$14="Off",('Activity data'!BA12*EF!$H25)*kgtoGg,IF('Net zero activities &amp; levers'!$C$14="On",('Net zero Activity data'!BA12*EF!$H25)*kgtoGg,"ERROR"))</f>
        <v>4.3145123854725761E-3</v>
      </c>
      <c r="AI1088" s="93">
        <f>IF('Net zero activities &amp; levers'!$C$14="Off",('Activity data'!BB12*EF!$H25)*kgtoGg,IF('Net zero activities &amp; levers'!$C$14="On",('Net zero Activity data'!BB12*EF!$H25)*kgtoGg,"ERROR"))</f>
        <v>4.3194536970997174E-3</v>
      </c>
      <c r="AJ1088" s="93">
        <f>IF('Net zero activities &amp; levers'!$C$14="Off",('Activity data'!BC12*EF!$H25)*kgtoGg,IF('Net zero activities &amp; levers'!$C$14="On",('Net zero Activity data'!BC12*EF!$H25)*kgtoGg,"ERROR"))</f>
        <v>4.3249123596179112E-3</v>
      </c>
      <c r="AK1088" s="93">
        <f>IF('Net zero activities &amp; levers'!$C$14="Off",('Activity data'!BD12*EF!$H25)*kgtoGg,IF('Net zero activities &amp; levers'!$C$14="On",('Net zero Activity data'!BD12*EF!$H25)*kgtoGg,"ERROR"))</f>
        <v>4.3307492271215465E-3</v>
      </c>
      <c r="AL1088" s="93">
        <f>IF('Net zero activities &amp; levers'!$C$14="Off",('Activity data'!BE12*EF!$H25)*kgtoGg,IF('Net zero activities &amp; levers'!$C$14="On",('Net zero Activity data'!BE12*EF!$H25)*kgtoGg,"ERROR"))</f>
        <v>4.3370337419368866E-3</v>
      </c>
      <c r="AM1088" s="93">
        <f>IF('Net zero activities &amp; levers'!$C$14="Off",('Activity data'!BF12*EF!$H25)*kgtoGg,IF('Net zero activities &amp; levers'!$C$14="On",('Net zero Activity data'!BF12*EF!$H25)*kgtoGg,"ERROR"))</f>
        <v>4.3437091140456031E-3</v>
      </c>
      <c r="AN1088" s="93">
        <f>IF('Net zero activities &amp; levers'!$C$14="Off",('Activity data'!BG12*EF!$H25)*kgtoGg,IF('Net zero activities &amp; levers'!$C$14="On",('Net zero Activity data'!BG12*EF!$H25)*kgtoGg,"ERROR"))</f>
        <v>4.3475802854267562E-3</v>
      </c>
      <c r="AO1088" s="93">
        <f>IF('Net zero activities &amp; levers'!$C$14="Off",('Activity data'!BH12*EF!$H25)*kgtoGg,IF('Net zero activities &amp; levers'!$C$14="On",('Net zero Activity data'!BH12*EF!$H25)*kgtoGg,"ERROR"))</f>
        <v>4.3517442307677472E-3</v>
      </c>
      <c r="AP1088" s="93">
        <f>IF('Net zero activities &amp; levers'!$C$14="Off",('Activity data'!BI12*EF!$H25)*kgtoGg,IF('Net zero activities &amp; levers'!$C$14="On",('Net zero Activity data'!BI12*EF!$H25)*kgtoGg,"ERROR"))</f>
        <v>4.3562541656713728E-3</v>
      </c>
      <c r="AQ1088" s="93">
        <f>IF('Net zero activities &amp; levers'!$C$14="Off",('Activity data'!BJ12*EF!$H25)*kgtoGg,IF('Net zero activities &amp; levers'!$C$14="On",('Net zero Activity data'!BJ12*EF!$H25)*kgtoGg,"ERROR"))</f>
        <v>4.3611163160388556E-3</v>
      </c>
      <c r="AR1088" s="93">
        <f>IF('Net zero activities &amp; levers'!$C$14="Off",('Activity data'!BK12*EF!$H25)*kgtoGg,IF('Net zero activities &amp; levers'!$C$14="On",('Net zero Activity data'!BK12*EF!$H25)*kgtoGg,"ERROR"))</f>
        <v>4.3663272829722651E-3</v>
      </c>
      <c r="AS1088" s="93">
        <f>IF('Net zero activities &amp; levers'!$C$14="Off",('Activity data'!BL12*EF!$H25)*kgtoGg,IF('Net zero activities &amp; levers'!$C$14="On",('Net zero Activity data'!BL12*EF!$H25)*kgtoGg,"ERROR"))</f>
        <v>4.3686573676190608E-3</v>
      </c>
      <c r="AT1088" s="93">
        <f>IF('Net zero activities &amp; levers'!$C$14="Off",('Activity data'!BM12*EF!$H25)*kgtoGg,IF('Net zero activities &amp; levers'!$C$14="On",('Net zero Activity data'!BM12*EF!$H25)*kgtoGg,"ERROR"))</f>
        <v>4.3708261203089602E-3</v>
      </c>
      <c r="AU1088" s="93">
        <f>IF('Net zero activities &amp; levers'!$C$14="Off",('Activity data'!BN12*EF!$H25)*kgtoGg,IF('Net zero activities &amp; levers'!$C$14="On",('Net zero Activity data'!BN12*EF!$H25)*kgtoGg,"ERROR"))</f>
        <v>4.3732304030899213E-3</v>
      </c>
      <c r="AV1088" s="93">
        <f>IF('Net zero activities &amp; levers'!$C$14="Off",('Activity data'!BO12*EF!$H25)*kgtoGg,IF('Net zero activities &amp; levers'!$C$14="On",('Net zero Activity data'!BO12*EF!$H25)*kgtoGg,"ERROR"))</f>
        <v>4.3759087542775948E-3</v>
      </c>
      <c r="AW1088" s="93">
        <f>IF('Net zero activities &amp; levers'!$C$14="Off",('Activity data'!BP12*EF!$H25)*kgtoGg,IF('Net zero activities &amp; levers'!$C$14="On",('Net zero Activity data'!BP12*EF!$H25)*kgtoGg,"ERROR"))</f>
        <v>4.3788336021243655E-3</v>
      </c>
      <c r="AY1088" s="79"/>
    </row>
    <row r="1089" spans="1:51" x14ac:dyDescent="0.2">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1.5789672763163298E-2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1.5956318300360574E-2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1.643554333202487E-2</v>
      </c>
      <c r="T1089" s="93">
        <f>IF('Net zero activities &amp; levers'!$C$14="Off",('Activity data'!AM13*EF!$H26)*kgtoGg,IF('Net zero activities &amp; levers'!$C$14="On",('Net zero Activity data'!AM13*EF!$H26)*kgtoGg,"ERROR"))</f>
        <v>1.6483301762184554E-2</v>
      </c>
      <c r="U1089" s="93">
        <f>IF('Net zero activities &amp; levers'!$C$14="Off",('Activity data'!AN13*EF!$H26)*kgtoGg,IF('Net zero activities &amp; levers'!$C$14="On",('Net zero Activity data'!AN13*EF!$H26)*kgtoGg,"ERROR"))</f>
        <v>1.6534634024242746E-2</v>
      </c>
      <c r="V1089" s="93">
        <f>IF('Net zero activities &amp; levers'!$C$14="Off",('Activity data'!AO13*EF!$H26)*kgtoGg,IF('Net zero activities &amp; levers'!$C$14="On",('Net zero Activity data'!AO13*EF!$H26)*kgtoGg,"ERROR"))</f>
        <v>1.6590167866284391E-2</v>
      </c>
      <c r="W1089" s="93">
        <f>IF('Net zero activities &amp; levers'!$C$14="Off",('Activity data'!AP13*EF!$H26)*kgtoGg,IF('Net zero activities &amp; levers'!$C$14="On",('Net zero Activity data'!AP13*EF!$H26)*kgtoGg,"ERROR"))</f>
        <v>1.6650513034667372E-2</v>
      </c>
      <c r="X1089" s="93">
        <f>IF('Net zero activities &amp; levers'!$C$14="Off",('Activity data'!AQ13*EF!$H26)*kgtoGg,IF('Net zero activities &amp; levers'!$C$14="On",('Net zero Activity data'!AQ13*EF!$H26)*kgtoGg,"ERROR"))</f>
        <v>1.6714595783630822E-2</v>
      </c>
      <c r="Y1089" s="93">
        <f>IF('Net zero activities &amp; levers'!$C$14="Off",('Activity data'!AR13*EF!$H26)*kgtoGg,IF('Net zero activities &amp; levers'!$C$14="On",('Net zero Activity data'!AR13*EF!$H26)*kgtoGg,"ERROR"))</f>
        <v>1.675465761621437E-2</v>
      </c>
      <c r="Z1089" s="93">
        <f>IF('Net zero activities &amp; levers'!$C$14="Off",('Activity data'!AS13*EF!$H26)*kgtoGg,IF('Net zero activities &amp; levers'!$C$14="On",('Net zero Activity data'!AS13*EF!$H26)*kgtoGg,"ERROR"))</f>
        <v>1.6797993910304499E-2</v>
      </c>
      <c r="AA1089" s="93">
        <f>IF('Net zero activities &amp; levers'!$C$14="Off",('Activity data'!AT13*EF!$H26)*kgtoGg,IF('Net zero activities &amp; levers'!$C$14="On",('Net zero Activity data'!AT13*EF!$H26)*kgtoGg,"ERROR"))</f>
        <v>1.6844349786289844E-2</v>
      </c>
      <c r="AB1089" s="93">
        <f>IF('Net zero activities &amp; levers'!$C$14="Off",('Activity data'!AU13*EF!$H26)*kgtoGg,IF('Net zero activities &amp; levers'!$C$14="On",('Net zero Activity data'!AU13*EF!$H26)*kgtoGg,"ERROR"))</f>
        <v>1.6894740217603017E-2</v>
      </c>
      <c r="AC1089" s="93">
        <f>IF('Net zero activities &amp; levers'!$C$14="Off",('Activity data'!AV13*EF!$H26)*kgtoGg,IF('Net zero activities &amp; levers'!$C$14="On",('Net zero Activity data'!AV13*EF!$H26)*kgtoGg,"ERROR"))</f>
        <v>1.6948004409300596E-2</v>
      </c>
      <c r="AD1089" s="93">
        <f>IF('Net zero activities &amp; levers'!$C$14="Off",('Activity data'!AW13*EF!$H26)*kgtoGg,IF('Net zero activities &amp; levers'!$C$14="On",('Net zero Activity data'!AW13*EF!$H26)*kgtoGg,"ERROR"))</f>
        <v>1.6982631842965532E-2</v>
      </c>
      <c r="AE1089" s="93">
        <f>IF('Net zero activities &amp; levers'!$C$14="Off",('Activity data'!AX13*EF!$H26)*kgtoGg,IF('Net zero activities &amp; levers'!$C$14="On",('Net zero Activity data'!AX13*EF!$H26)*kgtoGg,"ERROR"))</f>
        <v>1.7020769407942386E-2</v>
      </c>
      <c r="AF1089" s="93">
        <f>IF('Net zero activities &amp; levers'!$C$14="Off",('Activity data'!AY13*EF!$H26)*kgtoGg,IF('Net zero activities &amp; levers'!$C$14="On",('Net zero Activity data'!AY13*EF!$H26)*kgtoGg,"ERROR"))</f>
        <v>1.706182735565186E-2</v>
      </c>
      <c r="AG1089" s="93">
        <f>IF('Net zero activities &amp; levers'!$C$14="Off",('Activity data'!AZ13*EF!$H26)*kgtoGg,IF('Net zero activities &amp; levers'!$C$14="On",('Net zero Activity data'!AZ13*EF!$H26)*kgtoGg,"ERROR"))</f>
        <v>1.7106247534338585E-2</v>
      </c>
      <c r="AH1089" s="93">
        <f>IF('Net zero activities &amp; levers'!$C$14="Off",('Activity data'!BA13*EF!$H26)*kgtoGg,IF('Net zero activities &amp; levers'!$C$14="On",('Net zero Activity data'!BA13*EF!$H26)*kgtoGg,"ERROR"))</f>
        <v>1.7151443283113514E-2</v>
      </c>
      <c r="AI1089" s="93">
        <f>IF('Net zero activities &amp; levers'!$C$14="Off",('Activity data'!BB13*EF!$H26)*kgtoGg,IF('Net zero activities &amp; levers'!$C$14="On",('Net zero Activity data'!BB13*EF!$H26)*kgtoGg,"ERROR"))</f>
        <v>1.7178196369350997E-2</v>
      </c>
      <c r="AJ1089" s="93">
        <f>IF('Net zero activities &amp; levers'!$C$14="Off",('Activity data'!BC13*EF!$H26)*kgtoGg,IF('Net zero activities &amp; levers'!$C$14="On",('Net zero Activity data'!BC13*EF!$H26)*kgtoGg,"ERROR"))</f>
        <v>1.7207475551738096E-2</v>
      </c>
      <c r="AK1089" s="93">
        <f>IF('Net zero activities &amp; levers'!$C$14="Off",('Activity data'!BD13*EF!$H26)*kgtoGg,IF('Net zero activities &amp; levers'!$C$14="On",('Net zero Activity data'!BD13*EF!$H26)*kgtoGg,"ERROR"))</f>
        <v>1.7238492794342867E-2</v>
      </c>
      <c r="AL1089" s="93">
        <f>IF('Net zero activities &amp; levers'!$C$14="Off",('Activity data'!BE13*EF!$H26)*kgtoGg,IF('Net zero activities &amp; levers'!$C$14="On",('Net zero Activity data'!BE13*EF!$H26)*kgtoGg,"ERROR"))</f>
        <v>1.7271654863993541E-2</v>
      </c>
      <c r="AM1089" s="93">
        <f>IF('Net zero activities &amp; levers'!$C$14="Off",('Activity data'!BF13*EF!$H26)*kgtoGg,IF('Net zero activities &amp; levers'!$C$14="On",('Net zero Activity data'!BF13*EF!$H26)*kgtoGg,"ERROR"))</f>
        <v>1.7306645282033659E-2</v>
      </c>
      <c r="AN1089" s="93">
        <f>IF('Net zero activities &amp; levers'!$C$14="Off",('Activity data'!BG13*EF!$H26)*kgtoGg,IF('Net zero activities &amp; levers'!$C$14="On",('Net zero Activity data'!BG13*EF!$H26)*kgtoGg,"ERROR"))</f>
        <v>1.7325303131063272E-2</v>
      </c>
      <c r="AO1089" s="93">
        <f>IF('Net zero activities &amp; levers'!$C$14="Off",('Activity data'!BH13*EF!$H26)*kgtoGg,IF('Net zero activities &amp; levers'!$C$14="On",('Net zero Activity data'!BH13*EF!$H26)*kgtoGg,"ERROR"))</f>
        <v>1.7345310027733502E-2</v>
      </c>
      <c r="AP1089" s="93">
        <f>IF('Net zero activities &amp; levers'!$C$14="Off",('Activity data'!BI13*EF!$H26)*kgtoGg,IF('Net zero activities &amp; levers'!$C$14="On",('Net zero Activity data'!BI13*EF!$H26)*kgtoGg,"ERROR"))</f>
        <v>1.73669746106416E-2</v>
      </c>
      <c r="AQ1089" s="93">
        <f>IF('Net zero activities &amp; levers'!$C$14="Off",('Activity data'!BJ13*EF!$H26)*kgtoGg,IF('Net zero activities &amp; levers'!$C$14="On",('Net zero Activity data'!BJ13*EF!$H26)*kgtoGg,"ERROR"))</f>
        <v>1.7390336782594662E-2</v>
      </c>
      <c r="AR1089" s="93">
        <f>IF('Net zero activities &amp; levers'!$C$14="Off",('Activity data'!BK13*EF!$H26)*kgtoGg,IF('Net zero activities &amp; levers'!$C$14="On",('Net zero Activity data'!BK13*EF!$H26)*kgtoGg,"ERROR"))</f>
        <v>1.7415381119938025E-2</v>
      </c>
      <c r="AS1089" s="93">
        <f>IF('Net zero activities &amp; levers'!$C$14="Off",('Activity data'!BL13*EF!$H26)*kgtoGg,IF('Net zero activities &amp; levers'!$C$14="On",('Net zero Activity data'!BL13*EF!$H26)*kgtoGg,"ERROR"))</f>
        <v>1.7423900612777786E-2</v>
      </c>
      <c r="AT1089" s="93">
        <f>IF('Net zero activities &amp; levers'!$C$14="Off",('Activity data'!BM13*EF!$H26)*kgtoGg,IF('Net zero activities &amp; levers'!$C$14="On",('Net zero Activity data'!BM13*EF!$H26)*kgtoGg,"ERROR"))</f>
        <v>1.7431295916305947E-2</v>
      </c>
      <c r="AU1089" s="93">
        <f>IF('Net zero activities &amp; levers'!$C$14="Off",('Activity data'!BN13*EF!$H26)*kgtoGg,IF('Net zero activities &amp; levers'!$C$14="On",('Net zero Activity data'!BN13*EF!$H26)*kgtoGg,"ERROR"))</f>
        <v>1.7439812218621446E-2</v>
      </c>
      <c r="AV1089" s="93">
        <f>IF('Net zero activities &amp; levers'!$C$14="Off",('Activity data'!BO13*EF!$H26)*kgtoGg,IF('Net zero activities &amp; levers'!$C$14="On",('Net zero Activity data'!BO13*EF!$H26)*kgtoGg,"ERROR"))</f>
        <v>1.7449669082955088E-2</v>
      </c>
      <c r="AW1089" s="93">
        <f>IF('Net zero activities &amp; levers'!$C$14="Off",('Activity data'!BP13*EF!$H26)*kgtoGg,IF('Net zero activities &amp; levers'!$C$14="On",('Net zero Activity data'!BP13*EF!$H26)*kgtoGg,"ERROR"))</f>
        <v>1.7460713883303017E-2</v>
      </c>
      <c r="AY1089" s="79"/>
    </row>
    <row r="1090" spans="1:51" x14ac:dyDescent="0.2">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2.6592218800664796E-2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2.6872875319249701E-2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2.7334899828466049E-2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2.7679963413342622E-2</v>
      </c>
      <c r="T1090" s="93">
        <f>IF('Net zero activities &amp; levers'!$C$14="Off",('Activity data'!AM14*EF!$H27)*kgtoGg,IF('Net zero activities &amp; levers'!$C$14="On",('Net zero Activity data'!AM14*EF!$H27)*kgtoGg,"ERROR"))</f>
        <v>2.7760395898767241E-2</v>
      </c>
      <c r="U1090" s="93">
        <f>IF('Net zero activities &amp; levers'!$C$14="Off",('Activity data'!AN14*EF!$H27)*kgtoGg,IF('Net zero activities &amp; levers'!$C$14="On",('Net zero Activity data'!AN14*EF!$H27)*kgtoGg,"ERROR"))</f>
        <v>2.7846847262557959E-2</v>
      </c>
      <c r="V1090" s="93">
        <f>IF('Net zero activities &amp; levers'!$C$14="Off",('Activity data'!AO14*EF!$H27)*kgtoGg,IF('Net zero activities &amp; levers'!$C$14="On",('Net zero Activity data'!AO14*EF!$H27)*kgtoGg,"ERROR"))</f>
        <v>2.7940374728298613E-2</v>
      </c>
      <c r="W1090" s="93">
        <f>IF('Net zero activities &amp; levers'!$C$14="Off",('Activity data'!AP14*EF!$H27)*kgtoGg,IF('Net zero activities &amp; levers'!$C$14="On",('Net zero Activity data'!AP14*EF!$H27)*kgtoGg,"ERROR"))</f>
        <v>2.8042005201917224E-2</v>
      </c>
      <c r="X1090" s="93">
        <f>IF('Net zero activities &amp; levers'!$C$14="Off",('Activity data'!AQ14*EF!$H27)*kgtoGg,IF('Net zero activities &amp; levers'!$C$14="On",('Net zero Activity data'!AQ14*EF!$H27)*kgtoGg,"ERROR"))</f>
        <v>2.8149930331674167E-2</v>
      </c>
      <c r="Y1090" s="93">
        <f>IF('Net zero activities &amp; levers'!$C$14="Off",('Activity data'!AR14*EF!$H27)*kgtoGg,IF('Net zero activities &amp; levers'!$C$14="On",('Net zero Activity data'!AR14*EF!$H27)*kgtoGg,"ERROR"))</f>
        <v>2.8217400572102636E-2</v>
      </c>
      <c r="Z1090" s="93">
        <f>IF('Net zero activities &amp; levers'!$C$14="Off",('Activity data'!AS14*EF!$H27)*kgtoGg,IF('Net zero activities &amp; levers'!$C$14="On",('Net zero Activity data'!AS14*EF!$H27)*kgtoGg,"ERROR"))</f>
        <v>2.8290385505466368E-2</v>
      </c>
      <c r="AA1090" s="93">
        <f>IF('Net zero activities &amp; levers'!$C$14="Off",('Activity data'!AT14*EF!$H27)*kgtoGg,IF('Net zero activities &amp; levers'!$C$14="On",('Net zero Activity data'!AT14*EF!$H27)*kgtoGg,"ERROR"))</f>
        <v>2.8368455875599344E-2</v>
      </c>
      <c r="AB1090" s="93">
        <f>IF('Net zero activities &amp; levers'!$C$14="Off",('Activity data'!AU14*EF!$H27)*kgtoGg,IF('Net zero activities &amp; levers'!$C$14="On",('Net zero Activity data'!AU14*EF!$H27)*kgtoGg,"ERROR"))</f>
        <v>2.8453321052670396E-2</v>
      </c>
      <c r="AC1090" s="93">
        <f>IF('Net zero activities &amp; levers'!$C$14="Off",('Activity data'!AV14*EF!$H27)*kgtoGg,IF('Net zero activities &amp; levers'!$C$14="On",('Net zero Activity data'!AV14*EF!$H27)*kgtoGg,"ERROR"))</f>
        <v>2.8543026080830765E-2</v>
      </c>
      <c r="AD1090" s="93">
        <f>IF('Net zero activities &amp; levers'!$C$14="Off",('Activity data'!AW14*EF!$H27)*kgtoGg,IF('Net zero activities &amp; levers'!$C$14="On",('Net zero Activity data'!AW14*EF!$H27)*kgtoGg,"ERROR"))</f>
        <v>2.8601343964065915E-2</v>
      </c>
      <c r="AE1090" s="93">
        <f>IF('Net zero activities &amp; levers'!$C$14="Off",('Activity data'!AX14*EF!$H27)*kgtoGg,IF('Net zero activities &amp; levers'!$C$14="On",('Net zero Activity data'!AX14*EF!$H27)*kgtoGg,"ERROR"))</f>
        <v>2.8665573444157176E-2</v>
      </c>
      <c r="AF1090" s="93">
        <f>IF('Net zero activities &amp; levers'!$C$14="Off",('Activity data'!AY14*EF!$H27)*kgtoGg,IF('Net zero activities &amp; levers'!$C$14="On",('Net zero Activity data'!AY14*EF!$H27)*kgtoGg,"ERROR"))</f>
        <v>2.87347212944878E-2</v>
      </c>
      <c r="AG1090" s="93">
        <f>IF('Net zero activities &amp; levers'!$C$14="Off",('Activity data'!AZ14*EF!$H27)*kgtoGg,IF('Net zero activities &amp; levers'!$C$14="On",('Net zero Activity data'!AZ14*EF!$H27)*kgtoGg,"ERROR"))</f>
        <v>2.8809531654937933E-2</v>
      </c>
      <c r="AH1090" s="93">
        <f>IF('Net zero activities &amp; levers'!$C$14="Off",('Activity data'!BA14*EF!$H27)*kgtoGg,IF('Net zero activities &amp; levers'!$C$14="On",('Net zero Activity data'!BA14*EF!$H27)*kgtoGg,"ERROR"))</f>
        <v>2.8885648193786462E-2</v>
      </c>
      <c r="AI1090" s="93">
        <f>IF('Net zero activities &amp; levers'!$C$14="Off",('Activity data'!BB14*EF!$H27)*kgtoGg,IF('Net zero activities &amp; levers'!$C$14="On",('Net zero Activity data'!BB14*EF!$H27)*kgtoGg,"ERROR"))</f>
        <v>2.8930704474147112E-2</v>
      </c>
      <c r="AJ1090" s="93">
        <f>IF('Net zero activities &amp; levers'!$C$14="Off",('Activity data'!BC14*EF!$H27)*kgtoGg,IF('Net zero activities &amp; levers'!$C$14="On",('Net zero Activity data'!BC14*EF!$H27)*kgtoGg,"ERROR"))</f>
        <v>2.8980015085964157E-2</v>
      </c>
      <c r="AK1090" s="93">
        <f>IF('Net zero activities &amp; levers'!$C$14="Off",('Activity data'!BD14*EF!$H27)*kgtoGg,IF('Net zero activities &amp; levers'!$C$14="On",('Net zero Activity data'!BD14*EF!$H27)*kgtoGg,"ERROR"))</f>
        <v>2.9032252856455738E-2</v>
      </c>
      <c r="AL1090" s="93">
        <f>IF('Net zero activities &amp; levers'!$C$14="Off",('Activity data'!BE14*EF!$H27)*kgtoGg,IF('Net zero activities &amp; levers'!$C$14="On",('Net zero Activity data'!BE14*EF!$H27)*kgtoGg,"ERROR"))</f>
        <v>2.9088102843042599E-2</v>
      </c>
      <c r="AM1090" s="93">
        <f>IF('Net zero activities &amp; levers'!$C$14="Off",('Activity data'!BF14*EF!$H27)*kgtoGg,IF('Net zero activities &amp; levers'!$C$14="On",('Net zero Activity data'!BF14*EF!$H27)*kgtoGg,"ERROR"))</f>
        <v>2.914703204736533E-2</v>
      </c>
      <c r="AN1090" s="93">
        <f>IF('Net zero activities &amp; levers'!$C$14="Off",('Activity data'!BG14*EF!$H27)*kgtoGg,IF('Net zero activities &amp; levers'!$C$14="On",('Net zero Activity data'!BG14*EF!$H27)*kgtoGg,"ERROR"))</f>
        <v>2.9178454712748408E-2</v>
      </c>
      <c r="AO1090" s="93">
        <f>IF('Net zero activities &amp; levers'!$C$14="Off",('Activity data'!BH14*EF!$H27)*kgtoGg,IF('Net zero activities &amp; levers'!$C$14="On",('Net zero Activity data'!BH14*EF!$H27)*kgtoGg,"ERROR"))</f>
        <v>2.9212149380254012E-2</v>
      </c>
      <c r="AP1090" s="93">
        <f>IF('Net zero activities &amp; levers'!$C$14="Off",('Activity data'!BI14*EF!$H27)*kgtoGg,IF('Net zero activities &amp; levers'!$C$14="On",('Net zero Activity data'!BI14*EF!$H27)*kgtoGg,"ERROR"))</f>
        <v>2.9248635844385265E-2</v>
      </c>
      <c r="AQ1090" s="93">
        <f>IF('Net zero activities &amp; levers'!$C$14="Off",('Activity data'!BJ14*EF!$H27)*kgtoGg,IF('Net zero activities &amp; levers'!$C$14="On",('Net zero Activity data'!BJ14*EF!$H27)*kgtoGg,"ERROR"))</f>
        <v>2.9287981307559392E-2</v>
      </c>
      <c r="AR1090" s="93">
        <f>IF('Net zero activities &amp; levers'!$C$14="Off",('Activity data'!BK14*EF!$H27)*kgtoGg,IF('Net zero activities &amp; levers'!$C$14="On",('Net zero Activity data'!BK14*EF!$H27)*kgtoGg,"ERROR"))</f>
        <v>2.9330159793987943E-2</v>
      </c>
      <c r="AS1090" s="93">
        <f>IF('Net zero activities &amp; levers'!$C$14="Off",('Activity data'!BL14*EF!$H27)*kgtoGg,IF('Net zero activities &amp; levers'!$C$14="On",('Net zero Activity data'!BL14*EF!$H27)*kgtoGg,"ERROR"))</f>
        <v>2.9344507920200803E-2</v>
      </c>
      <c r="AT1090" s="93">
        <f>IF('Net zero activities &amp; levers'!$C$14="Off",('Activity data'!BM14*EF!$H27)*kgtoGg,IF('Net zero activities &amp; levers'!$C$14="On",('Net zero Activity data'!BM14*EF!$H27)*kgtoGg,"ERROR"))</f>
        <v>2.9356962740035762E-2</v>
      </c>
      <c r="AU1090" s="93">
        <f>IF('Net zero activities &amp; levers'!$C$14="Off",('Activity data'!BN14*EF!$H27)*kgtoGg,IF('Net zero activities &amp; levers'!$C$14="On",('Net zero Activity data'!BN14*EF!$H27)*kgtoGg,"ERROR"))</f>
        <v>2.9371305492918821E-2</v>
      </c>
      <c r="AV1090" s="93">
        <f>IF('Net zero activities &amp; levers'!$C$14="Off",('Activity data'!BO14*EF!$H27)*kgtoGg,IF('Net zero activities &amp; levers'!$C$14="On",('Net zero Activity data'!BO14*EF!$H27)*kgtoGg,"ERROR"))</f>
        <v>2.9387905956841046E-2</v>
      </c>
      <c r="AW1090" s="93">
        <f>IF('Net zero activities &amp; levers'!$C$14="Off",('Activity data'!BP14*EF!$H27)*kgtoGg,IF('Net zero activities &amp; levers'!$C$14="On",('Net zero Activity data'!BP14*EF!$H27)*kgtoGg,"ERROR"))</f>
        <v>2.9406507086317708E-2</v>
      </c>
      <c r="AY1090" s="79"/>
    </row>
    <row r="1091" spans="1:51" x14ac:dyDescent="0.2">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4.1336182129460544E-3</v>
      </c>
      <c r="L1091" s="93">
        <f>IF('Net zero activities &amp; levers'!$C$14="Off",('Activity data'!AE15*EF!$H28)*kgtoGg,IF('Net zero activities &amp; levers'!$C$14="On",('Net zero Activity data'!AE15*EF!$H28)*kgtoGg,"ERROR"))</f>
        <v>4.1536453250924079E-3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4.1812329246154597E-3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3.9117464794758833E-3</v>
      </c>
      <c r="T1091" s="93">
        <f>IF('Net zero activities &amp; levers'!$C$14="Off",('Activity data'!AM15*EF!$H28)*kgtoGg,IF('Net zero activities &amp; levers'!$C$14="On",('Net zero Activity data'!AM15*EF!$H28)*kgtoGg,"ERROR"))</f>
        <v>3.9662100660725645E-3</v>
      </c>
      <c r="U1091" s="93">
        <f>IF('Net zero activities &amp; levers'!$C$14="Off",('Activity data'!AN15*EF!$H28)*kgtoGg,IF('Net zero activities &amp; levers'!$C$14="On",('Net zero Activity data'!AN15*EF!$H28)*kgtoGg,"ERROR"))</f>
        <v>4.0029759542347092E-3</v>
      </c>
      <c r="V1091" s="93">
        <f>IF('Net zero activities &amp; levers'!$C$14="Off",('Activity data'!AO15*EF!$H28)*kgtoGg,IF('Net zero activities &amp; levers'!$C$14="On",('Net zero Activity data'!AO15*EF!$H28)*kgtoGg,"ERROR"))</f>
        <v>4.034929903088018E-3</v>
      </c>
      <c r="W1091" s="93">
        <f>IF('Net zero activities &amp; levers'!$C$14="Off",('Activity data'!AP15*EF!$H28)*kgtoGg,IF('Net zero activities &amp; levers'!$C$14="On",('Net zero Activity data'!AP15*EF!$H28)*kgtoGg,"ERROR"))</f>
        <v>4.0740603707179208E-3</v>
      </c>
      <c r="X1091" s="93">
        <f>IF('Net zero activities &amp; levers'!$C$14="Off",('Activity data'!AQ15*EF!$H28)*kgtoGg,IF('Net zero activities &amp; levers'!$C$14="On",('Net zero Activity data'!AQ15*EF!$H28)*kgtoGg,"ERROR"))</f>
        <v>4.1088191524981379E-3</v>
      </c>
      <c r="Y1091" s="93">
        <f>IF('Net zero activities &amp; levers'!$C$14="Off",('Activity data'!AR15*EF!$H28)*kgtoGg,IF('Net zero activities &amp; levers'!$C$14="On",('Net zero Activity data'!AR15*EF!$H28)*kgtoGg,"ERROR"))</f>
        <v>4.1408340108354943E-3</v>
      </c>
      <c r="Z1091" s="93">
        <f>IF('Net zero activities &amp; levers'!$C$14="Off",('Activity data'!AS15*EF!$H28)*kgtoGg,IF('Net zero activities &amp; levers'!$C$14="On",('Net zero Activity data'!AS15*EF!$H28)*kgtoGg,"ERROR"))</f>
        <v>4.1700941792835473E-3</v>
      </c>
      <c r="AA1091" s="93">
        <f>IF('Net zero activities &amp; levers'!$C$14="Off",('Activity data'!AT15*EF!$H28)*kgtoGg,IF('Net zero activities &amp; levers'!$C$14="On",('Net zero Activity data'!AT15*EF!$H28)*kgtoGg,"ERROR"))</f>
        <v>4.1955947055446379E-3</v>
      </c>
      <c r="AB1091" s="93">
        <f>IF('Net zero activities &amp; levers'!$C$14="Off",('Activity data'!AU15*EF!$H28)*kgtoGg,IF('Net zero activities &amp; levers'!$C$14="On",('Net zero Activity data'!AU15*EF!$H28)*kgtoGg,"ERROR"))</f>
        <v>4.2332253987930647E-3</v>
      </c>
      <c r="AC1091" s="93">
        <f>IF('Net zero activities &amp; levers'!$C$14="Off",('Activity data'!AV15*EF!$H28)*kgtoGg,IF('Net zero activities &amp; levers'!$C$14="On",('Net zero Activity data'!AV15*EF!$H28)*kgtoGg,"ERROR"))</f>
        <v>4.2692111275798939E-3</v>
      </c>
      <c r="AD1091" s="93">
        <f>IF('Net zero activities &amp; levers'!$C$14="Off",('Activity data'!AW15*EF!$H28)*kgtoGg,IF('Net zero activities &amp; levers'!$C$14="On",('Net zero Activity data'!AW15*EF!$H28)*kgtoGg,"ERROR"))</f>
        <v>4.3131543062035933E-3</v>
      </c>
      <c r="AE1091" s="93">
        <f>IF('Net zero activities &amp; levers'!$C$14="Off",('Activity data'!AX15*EF!$H28)*kgtoGg,IF('Net zero activities &amp; levers'!$C$14="On",('Net zero Activity data'!AX15*EF!$H28)*kgtoGg,"ERROR"))</f>
        <v>4.3689426306597803E-3</v>
      </c>
      <c r="AF1091" s="93">
        <f>IF('Net zero activities &amp; levers'!$C$14="Off",('Activity data'!AY15*EF!$H28)*kgtoGg,IF('Net zero activities &amp; levers'!$C$14="On",('Net zero Activity data'!AY15*EF!$H28)*kgtoGg,"ERROR"))</f>
        <v>4.4301694396255923E-3</v>
      </c>
      <c r="AG1091" s="93">
        <f>IF('Net zero activities &amp; levers'!$C$14="Off",('Activity data'!AZ15*EF!$H28)*kgtoGg,IF('Net zero activities &amp; levers'!$C$14="On",('Net zero Activity data'!AZ15*EF!$H28)*kgtoGg,"ERROR"))</f>
        <v>4.5040980436008553E-3</v>
      </c>
      <c r="AH1091" s="93">
        <f>IF('Net zero activities &amp; levers'!$C$14="Off",('Activity data'!BA15*EF!$H28)*kgtoGg,IF('Net zero activities &amp; levers'!$C$14="On",('Net zero Activity data'!BA15*EF!$H28)*kgtoGg,"ERROR"))</f>
        <v>4.5574968938879535E-3</v>
      </c>
      <c r="AI1091" s="93">
        <f>IF('Net zero activities &amp; levers'!$C$14="Off",('Activity data'!BB15*EF!$H28)*kgtoGg,IF('Net zero activities &amp; levers'!$C$14="On",('Net zero Activity data'!BB15*EF!$H28)*kgtoGg,"ERROR"))</f>
        <v>4.6111863100883922E-3</v>
      </c>
      <c r="AJ1091" s="93">
        <f>IF('Net zero activities &amp; levers'!$C$14="Off",('Activity data'!BC15*EF!$H28)*kgtoGg,IF('Net zero activities &amp; levers'!$C$14="On",('Net zero Activity data'!BC15*EF!$H28)*kgtoGg,"ERROR"))</f>
        <v>4.6712172844787037E-3</v>
      </c>
      <c r="AK1091" s="93">
        <f>IF('Net zero activities &amp; levers'!$C$14="Off",('Activity data'!BD15*EF!$H28)*kgtoGg,IF('Net zero activities &amp; levers'!$C$14="On",('Net zero Activity data'!BD15*EF!$H28)*kgtoGg,"ERROR"))</f>
        <v>4.7281971529271986E-3</v>
      </c>
      <c r="AL1091" s="93">
        <f>IF('Net zero activities &amp; levers'!$C$14="Off",('Activity data'!BE15*EF!$H28)*kgtoGg,IF('Net zero activities &amp; levers'!$C$14="On",('Net zero Activity data'!BE15*EF!$H28)*kgtoGg,"ERROR"))</f>
        <v>4.7885111366995289E-3</v>
      </c>
      <c r="AM1091" s="93">
        <f>IF('Net zero activities &amp; levers'!$C$14="Off",('Activity data'!BF15*EF!$H28)*kgtoGg,IF('Net zero activities &amp; levers'!$C$14="On",('Net zero Activity data'!BF15*EF!$H28)*kgtoGg,"ERROR"))</f>
        <v>4.8488762620845097E-3</v>
      </c>
      <c r="AN1091" s="93">
        <f>IF('Net zero activities &amp; levers'!$C$14="Off",('Activity data'!BG15*EF!$H28)*kgtoGg,IF('Net zero activities &amp; levers'!$C$14="On",('Net zero Activity data'!BG15*EF!$H28)*kgtoGg,"ERROR"))</f>
        <v>4.9227254913748455E-3</v>
      </c>
      <c r="AO1091" s="93">
        <f>IF('Net zero activities &amp; levers'!$C$14="Off",('Activity data'!BH15*EF!$H28)*kgtoGg,IF('Net zero activities &amp; levers'!$C$14="On",('Net zero Activity data'!BH15*EF!$H28)*kgtoGg,"ERROR"))</f>
        <v>4.9927458490609099E-3</v>
      </c>
      <c r="AP1091" s="93">
        <f>IF('Net zero activities &amp; levers'!$C$14="Off",('Activity data'!BI15*EF!$H28)*kgtoGg,IF('Net zero activities &amp; levers'!$C$14="On",('Net zero Activity data'!BI15*EF!$H28)*kgtoGg,"ERROR"))</f>
        <v>5.0638022559314124E-3</v>
      </c>
      <c r="AQ1091" s="93">
        <f>IF('Net zero activities &amp; levers'!$C$14="Off",('Activity data'!BJ15*EF!$H28)*kgtoGg,IF('Net zero activities &amp; levers'!$C$14="On",('Net zero Activity data'!BJ15*EF!$H28)*kgtoGg,"ERROR"))</f>
        <v>5.1371515240319849E-3</v>
      </c>
      <c r="AR1091" s="93">
        <f>IF('Net zero activities &amp; levers'!$C$14="Off",('Activity data'!BK15*EF!$H28)*kgtoGg,IF('Net zero activities &amp; levers'!$C$14="On",('Net zero Activity data'!BK15*EF!$H28)*kgtoGg,"ERROR"))</f>
        <v>5.2132674563810976E-3</v>
      </c>
      <c r="AS1091" s="93">
        <f>IF('Net zero activities &amp; levers'!$C$14="Off",('Activity data'!BL15*EF!$H28)*kgtoGg,IF('Net zero activities &amp; levers'!$C$14="On",('Net zero Activity data'!BL15*EF!$H28)*kgtoGg,"ERROR"))</f>
        <v>5.3054774767517902E-3</v>
      </c>
      <c r="AT1091" s="93">
        <f>IF('Net zero activities &amp; levers'!$C$14="Off",('Activity data'!BM15*EF!$H28)*kgtoGg,IF('Net zero activities &amp; levers'!$C$14="On",('Net zero Activity data'!BM15*EF!$H28)*kgtoGg,"ERROR"))</f>
        <v>5.3653290852350754E-3</v>
      </c>
      <c r="AU1091" s="93">
        <f>IF('Net zero activities &amp; levers'!$C$14="Off",('Activity data'!BN15*EF!$H28)*kgtoGg,IF('Net zero activities &amp; levers'!$C$14="On",('Net zero Activity data'!BN15*EF!$H28)*kgtoGg,"ERROR"))</f>
        <v>5.4229477307266892E-3</v>
      </c>
      <c r="AV1091" s="93">
        <f>IF('Net zero activities &amp; levers'!$C$14="Off",('Activity data'!BO15*EF!$H28)*kgtoGg,IF('Net zero activities &amp; levers'!$C$14="On",('Net zero Activity data'!BO15*EF!$H28)*kgtoGg,"ERROR"))</f>
        <v>5.4817978053370176E-3</v>
      </c>
      <c r="AW1091" s="93">
        <f>IF('Net zero activities &amp; levers'!$C$14="Off",('Activity data'!BP15*EF!$H28)*kgtoGg,IF('Net zero activities &amp; levers'!$C$14="On",('Net zero Activity data'!BP15*EF!$H28)*kgtoGg,"ERROR"))</f>
        <v>5.5404187134472614E-3</v>
      </c>
      <c r="AY1091" s="79"/>
    </row>
    <row r="1092" spans="1:51" x14ac:dyDescent="0.2">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2">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23.279067868377396</v>
      </c>
      <c r="L1093" s="93">
        <f>IF('Net zero activities &amp; levers'!$C$14="Off",('Activity data'!AE17*EF!$H30)*kgtoGg,IF('Net zero activities &amp; levers'!$C$14="On",('Net zero Activity data'!AE17*EF!$H30)*kgtoGg,"ERROR"))</f>
        <v>23.152530650802607</v>
      </c>
      <c r="M1093" s="93">
        <f>IF('Net zero activities &amp; levers'!$C$14="Off",('Activity data'!AF17*EF!$H30)*kgtoGg,IF('Net zero activities &amp; levers'!$C$14="On",('Net zero Activity data'!AF17*EF!$H30)*kgtoGg,"ERROR"))</f>
        <v>23.162916433064311</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22.602951186820608</v>
      </c>
      <c r="P1093" s="93">
        <f>IF('Net zero activities &amp; levers'!$C$14="Off",('Activity data'!AI17*EF!$H30)*kgtoGg,IF('Net zero activities &amp; levers'!$C$14="On",('Net zero Activity data'!AI17*EF!$H30)*kgtoGg,"ERROR"))</f>
        <v>22.126532811374954</v>
      </c>
      <c r="Q1093" s="93">
        <f>IF('Net zero activities &amp; levers'!$C$14="Off",('Activity data'!AJ17*EF!$H30)*kgtoGg,IF('Net zero activities &amp; levers'!$C$14="On",('Net zero Activity data'!AJ17*EF!$H30)*kgtoGg,"ERROR"))</f>
        <v>21.780600237355969</v>
      </c>
      <c r="R1093" s="93">
        <f>IF('Net zero activities &amp; levers'!$C$14="Off",('Activity data'!AK17*EF!$H30)*kgtoGg,IF('Net zero activities &amp; levers'!$C$14="On",('Net zero Activity data'!AK17*EF!$H30)*kgtoGg,"ERROR"))</f>
        <v>21.465278056857684</v>
      </c>
      <c r="S1093" s="93">
        <f>IF('Net zero activities &amp; levers'!$C$14="Off",('Activity data'!AL17*EF!$H30)*kgtoGg,IF('Net zero activities &amp; levers'!$C$14="On",('Net zero Activity data'!AL17*EF!$H30)*kgtoGg,"ERROR"))</f>
        <v>19.125432200749973</v>
      </c>
      <c r="T1093" s="93">
        <f>IF('Net zero activities &amp; levers'!$C$14="Off",('Activity data'!AM17*EF!$H30)*kgtoGg,IF('Net zero activities &amp; levers'!$C$14="On",('Net zero Activity data'!AM17*EF!$H30)*kgtoGg,"ERROR"))</f>
        <v>19.424042125834905</v>
      </c>
      <c r="U1093" s="93">
        <f>IF('Net zero activities &amp; levers'!$C$14="Off",('Activity data'!AN17*EF!$H30)*kgtoGg,IF('Net zero activities &amp; levers'!$C$14="On",('Net zero Activity data'!AN17*EF!$H30)*kgtoGg,"ERROR"))</f>
        <v>19.550864503199985</v>
      </c>
      <c r="V1093" s="93">
        <f>IF('Net zero activities &amp; levers'!$C$14="Off",('Activity data'!AO17*EF!$H30)*kgtoGg,IF('Net zero activities &amp; levers'!$C$14="On",('Net zero Activity data'!AO17*EF!$H30)*kgtoGg,"ERROR"))</f>
        <v>19.634386542439195</v>
      </c>
      <c r="W1093" s="93">
        <f>IF('Net zero activities &amp; levers'!$C$14="Off",('Activity data'!AP17*EF!$H30)*kgtoGg,IF('Net zero activities &amp; levers'!$C$14="On",('Net zero Activity data'!AP17*EF!$H30)*kgtoGg,"ERROR"))</f>
        <v>19.789042358153409</v>
      </c>
      <c r="X1093" s="93">
        <f>IF('Net zero activities &amp; levers'!$C$14="Off",('Activity data'!AQ17*EF!$H30)*kgtoGg,IF('Net zero activities &amp; levers'!$C$14="On",('Net zero Activity data'!AQ17*EF!$H30)*kgtoGg,"ERROR"))</f>
        <v>19.904231049540165</v>
      </c>
      <c r="Y1093" s="93">
        <f>IF('Net zero activities &amp; levers'!$C$14="Off",('Activity data'!AR17*EF!$H30)*kgtoGg,IF('Net zero activities &amp; levers'!$C$14="On",('Net zero Activity data'!AR17*EF!$H30)*kgtoGg,"ERROR"))</f>
        <v>19.9646517912891</v>
      </c>
      <c r="Z1093" s="93">
        <f>IF('Net zero activities &amp; levers'!$C$14="Off",('Activity data'!AS17*EF!$H30)*kgtoGg,IF('Net zero activities &amp; levers'!$C$14="On",('Net zero Activity data'!AS17*EF!$H30)*kgtoGg,"ERROR"))</f>
        <v>20.001671240877961</v>
      </c>
      <c r="AA1093" s="93">
        <f>IF('Net zero activities &amp; levers'!$C$14="Off",('Activity data'!AT17*EF!$H30)*kgtoGg,IF('Net zero activities &amp; levers'!$C$14="On",('Net zero Activity data'!AT17*EF!$H30)*kgtoGg,"ERROR"))</f>
        <v>20.006692976737387</v>
      </c>
      <c r="AB1093" s="93">
        <f>IF('Net zero activities &amp; levers'!$C$14="Off",('Activity data'!AU17*EF!$H30)*kgtoGg,IF('Net zero activities &amp; levers'!$C$14="On",('Net zero Activity data'!AU17*EF!$H30)*kgtoGg,"ERROR"))</f>
        <v>20.122871452289811</v>
      </c>
      <c r="AC1093" s="93">
        <f>IF('Net zero activities &amp; levers'!$C$14="Off",('Activity data'!AV17*EF!$H30)*kgtoGg,IF('Net zero activities &amp; levers'!$C$14="On",('Net zero Activity data'!AV17*EF!$H30)*kgtoGg,"ERROR"))</f>
        <v>20.224352633636123</v>
      </c>
      <c r="AD1093" s="93">
        <f>IF('Net zero activities &amp; levers'!$C$14="Off",('Activity data'!AW17*EF!$H30)*kgtoGg,IF('Net zero activities &amp; levers'!$C$14="On",('Net zero Activity data'!AW17*EF!$H30)*kgtoGg,"ERROR"))</f>
        <v>20.37036557025834</v>
      </c>
      <c r="AE1093" s="93">
        <f>IF('Net zero activities &amp; levers'!$C$14="Off",('Activity data'!AX17*EF!$H30)*kgtoGg,IF('Net zero activities &amp; levers'!$C$14="On",('Net zero Activity data'!AX17*EF!$H30)*kgtoGg,"ERROR"))</f>
        <v>20.617009015074299</v>
      </c>
      <c r="AF1093" s="93">
        <f>IF('Net zero activities &amp; levers'!$C$14="Off",('Activity data'!AY17*EF!$H30)*kgtoGg,IF('Net zero activities &amp; levers'!$C$14="On",('Net zero Activity data'!AY17*EF!$H30)*kgtoGg,"ERROR"))</f>
        <v>20.905842210058196</v>
      </c>
      <c r="AG1093" s="93">
        <f>IF('Net zero activities &amp; levers'!$C$14="Off",('Activity data'!AZ17*EF!$H30)*kgtoGg,IF('Net zero activities &amp; levers'!$C$14="On",('Net zero Activity data'!AZ17*EF!$H30)*kgtoGg,"ERROR"))</f>
        <v>21.296898968491135</v>
      </c>
      <c r="AH1093" s="93">
        <f>IF('Net zero activities &amp; levers'!$C$14="Off",('Activity data'!BA17*EF!$H30)*kgtoGg,IF('Net zero activities &amp; levers'!$C$14="On",('Net zero Activity data'!BA17*EF!$H30)*kgtoGg,"ERROR"))</f>
        <v>21.508008395464572</v>
      </c>
      <c r="AI1093" s="93">
        <f>IF('Net zero activities &amp; levers'!$C$14="Off",('Activity data'!BB17*EF!$H30)*kgtoGg,IF('Net zero activities &amp; levers'!$C$14="On",('Net zero Activity data'!BB17*EF!$H30)*kgtoGg,"ERROR"))</f>
        <v>21.692391103319341</v>
      </c>
      <c r="AJ1093" s="93">
        <f>IF('Net zero activities &amp; levers'!$C$14="Off",('Activity data'!BC17*EF!$H30)*kgtoGg,IF('Net zero activities &amp; levers'!$C$14="On",('Net zero Activity data'!BC17*EF!$H30)*kgtoGg,"ERROR"))</f>
        <v>21.924107330813051</v>
      </c>
      <c r="AK1093" s="93">
        <f>IF('Net zero activities &amp; levers'!$C$14="Off",('Activity data'!BD17*EF!$H30)*kgtoGg,IF('Net zero activities &amp; levers'!$C$14="On",('Net zero Activity data'!BD17*EF!$H30)*kgtoGg,"ERROR"))</f>
        <v>22.125286903757015</v>
      </c>
      <c r="AL1093" s="93">
        <f>IF('Net zero activities &amp; levers'!$C$14="Off",('Activity data'!BE17*EF!$H30)*kgtoGg,IF('Net zero activities &amp; levers'!$C$14="On",('Net zero Activity data'!BE17*EF!$H30)*kgtoGg,"ERROR"))</f>
        <v>22.347890019958896</v>
      </c>
      <c r="AM1093" s="93">
        <f>IF('Net zero activities &amp; levers'!$C$14="Off",('Activity data'!BF17*EF!$H30)*kgtoGg,IF('Net zero activities &amp; levers'!$C$14="On",('Net zero Activity data'!BF17*EF!$H30)*kgtoGg,"ERROR"))</f>
        <v>22.565021886121382</v>
      </c>
      <c r="AN1093" s="93">
        <f>IF('Net zero activities &amp; levers'!$C$14="Off",('Activity data'!BG17*EF!$H30)*kgtoGg,IF('Net zero activities &amp; levers'!$C$14="On",('Net zero Activity data'!BG17*EF!$H30)*kgtoGg,"ERROR"))</f>
        <v>22.857354238812295</v>
      </c>
      <c r="AO1093" s="93">
        <f>IF('Net zero activities &amp; levers'!$C$14="Off",('Activity data'!BH17*EF!$H30)*kgtoGg,IF('Net zero activities &amp; levers'!$C$14="On",('Net zero Activity data'!BH17*EF!$H30)*kgtoGg,"ERROR"))</f>
        <v>23.111205883073605</v>
      </c>
      <c r="AP1093" s="93">
        <f>IF('Net zero activities &amp; levers'!$C$14="Off",('Activity data'!BI17*EF!$H30)*kgtoGg,IF('Net zero activities &amp; levers'!$C$14="On",('Net zero Activity data'!BI17*EF!$H30)*kgtoGg,"ERROR"))</f>
        <v>23.364831927228202</v>
      </c>
      <c r="AQ1093" s="93">
        <f>IF('Net zero activities &amp; levers'!$C$14="Off",('Activity data'!BJ17*EF!$H30)*kgtoGg,IF('Net zero activities &amp; levers'!$C$14="On",('Net zero Activity data'!BJ17*EF!$H30)*kgtoGg,"ERROR"))</f>
        <v>23.627465701341702</v>
      </c>
      <c r="AR1093" s="93">
        <f>IF('Net zero activities &amp; levers'!$C$14="Off",('Activity data'!BK17*EF!$H30)*kgtoGg,IF('Net zero activities &amp; levers'!$C$14="On",('Net zero Activity data'!BK17*EF!$H30)*kgtoGg,"ERROR"))</f>
        <v>23.902059465195961</v>
      </c>
      <c r="AS1093" s="93">
        <f>IF('Net zero activities &amp; levers'!$C$14="Off",('Activity data'!BL17*EF!$H30)*kgtoGg,IF('Net zero activities &amp; levers'!$C$14="On",('Net zero Activity data'!BL17*EF!$H30)*kgtoGg,"ERROR"))</f>
        <v>24.259909282475949</v>
      </c>
      <c r="AT1093" s="93">
        <f>IF('Net zero activities &amp; levers'!$C$14="Off",('Activity data'!BM17*EF!$H30)*kgtoGg,IF('Net zero activities &amp; levers'!$C$14="On",('Net zero Activity data'!BM17*EF!$H30)*kgtoGg,"ERROR"))</f>
        <v>24.370732341378943</v>
      </c>
      <c r="AU1093" s="93">
        <f>IF('Net zero activities &amp; levers'!$C$14="Off",('Activity data'!BN17*EF!$H30)*kgtoGg,IF('Net zero activities &amp; levers'!$C$14="On",('Net zero Activity data'!BN17*EF!$H30)*kgtoGg,"ERROR"))</f>
        <v>24.459248352072496</v>
      </c>
      <c r="AV1093" s="93">
        <f>IF('Net zero activities &amp; levers'!$C$14="Off",('Activity data'!BO17*EF!$H30)*kgtoGg,IF('Net zero activities &amp; levers'!$C$14="On",('Net zero Activity data'!BO17*EF!$H30)*kgtoGg,"ERROR"))</f>
        <v>24.550534004397402</v>
      </c>
      <c r="AW1093" s="93">
        <f>IF('Net zero activities &amp; levers'!$C$14="Off",('Activity data'!BP17*EF!$H30)*kgtoGg,IF('Net zero activities &amp; levers'!$C$14="On",('Net zero Activity data'!BP17*EF!$H30)*kgtoGg,"ERROR"))</f>
        <v>24.634079749927345</v>
      </c>
      <c r="AY1093" s="79"/>
    </row>
    <row r="1094" spans="1:51" x14ac:dyDescent="0.2">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7.7508449141861155E-2</v>
      </c>
      <c r="M1094" s="93">
        <f>IF('Net zero activities &amp; levers'!$C$14="Off",('Activity data'!AF18*EF!$H31)*kgtoGg,IF('Net zero activities &amp; levers'!$C$14="On",('Net zero Activity data'!AF18*EF!$H31)*kgtoGg,"ERROR"))</f>
        <v>7.7543217949140625E-2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7.5668604825232064E-2</v>
      </c>
      <c r="P1094" s="93">
        <f>IF('Net zero activities &amp; levers'!$C$14="Off",('Activity data'!AI18*EF!$H31)*kgtoGg,IF('Net zero activities &amp; levers'!$C$14="On",('Net zero Activity data'!AI18*EF!$H31)*kgtoGg,"ERROR"))</f>
        <v>7.4073684167079407E-2</v>
      </c>
      <c r="Q1094" s="93">
        <f>IF('Net zero activities &amp; levers'!$C$14="Off",('Activity data'!AJ18*EF!$H31)*kgtoGg,IF('Net zero activities &amp; levers'!$C$14="On",('Net zero Activity data'!AJ18*EF!$H31)*kgtoGg,"ERROR"))</f>
        <v>7.291559489708703E-2</v>
      </c>
      <c r="R1094" s="93">
        <f>IF('Net zero activities &amp; levers'!$C$14="Off",('Activity data'!AK18*EF!$H31)*kgtoGg,IF('Net zero activities &amp; levers'!$C$14="On",('Net zero Activity data'!AK18*EF!$H31)*kgtoGg,"ERROR"))</f>
        <v>7.1859980996426695E-2</v>
      </c>
      <c r="S1094" s="93">
        <f>IF('Net zero activities &amp; levers'!$C$14="Off",('Activity data'!AL18*EF!$H31)*kgtoGg,IF('Net zero activities &amp; levers'!$C$14="On",('Net zero Activity data'!AL18*EF!$H31)*kgtoGg,"ERROR"))</f>
        <v>6.4026806028504468E-2</v>
      </c>
      <c r="T1094" s="93">
        <f>IF('Net zero activities &amp; levers'!$C$14="Off",('Activity data'!AM18*EF!$H31)*kgtoGg,IF('Net zero activities &amp; levers'!$C$14="On",('Net zero Activity data'!AM18*EF!$H31)*kgtoGg,"ERROR"))</f>
        <v>6.5026471790350593E-2</v>
      </c>
      <c r="U1094" s="93">
        <f>IF('Net zero activities &amp; levers'!$C$14="Off",('Activity data'!AN18*EF!$H31)*kgtoGg,IF('Net zero activities &amp; levers'!$C$14="On",('Net zero Activity data'!AN18*EF!$H31)*kgtoGg,"ERROR"))</f>
        <v>6.5451039019493229E-2</v>
      </c>
      <c r="V1094" s="93">
        <f>IF('Net zero activities &amp; levers'!$C$14="Off",('Activity data'!AO18*EF!$H31)*kgtoGg,IF('Net zero activities &amp; levers'!$C$14="On",('Net zero Activity data'!AO18*EF!$H31)*kgtoGg,"ERROR"))</f>
        <v>6.5730648355864951E-2</v>
      </c>
      <c r="W1094" s="93">
        <f>IF('Net zero activities &amp; levers'!$C$14="Off",('Activity data'!AP18*EF!$H31)*kgtoGg,IF('Net zero activities &amp; levers'!$C$14="On",('Net zero Activity data'!AP18*EF!$H31)*kgtoGg,"ERROR"))</f>
        <v>6.6248394454879955E-2</v>
      </c>
      <c r="X1094" s="93">
        <f>IF('Net zero activities &amp; levers'!$C$14="Off",('Activity data'!AQ18*EF!$H31)*kgtoGg,IF('Net zero activities &amp; levers'!$C$14="On",('Net zero Activity data'!AQ18*EF!$H31)*kgtoGg,"ERROR"))</f>
        <v>6.6634015230540536E-2</v>
      </c>
      <c r="Y1094" s="93">
        <f>IF('Net zero activities &amp; levers'!$C$14="Off",('Activity data'!AR18*EF!$H31)*kgtoGg,IF('Net zero activities &amp; levers'!$C$14="On",('Net zero Activity data'!AR18*EF!$H31)*kgtoGg,"ERROR"))</f>
        <v>6.6836287632620187E-2</v>
      </c>
      <c r="Z1094" s="93">
        <f>IF('Net zero activities &amp; levers'!$C$14="Off",('Activity data'!AS18*EF!$H31)*kgtoGg,IF('Net zero activities &amp; levers'!$C$14="On",('Net zero Activity data'!AS18*EF!$H31)*kgtoGg,"ERROR"))</f>
        <v>6.696021879889287E-2</v>
      </c>
      <c r="AA1094" s="93">
        <f>IF('Net zero activities &amp; levers'!$C$14="Off",('Activity data'!AT18*EF!$H31)*kgtoGg,IF('Net zero activities &amp; levers'!$C$14="On",('Net zero Activity data'!AT18*EF!$H31)*kgtoGg,"ERROR"))</f>
        <v>6.6977030220690986E-2</v>
      </c>
      <c r="AB1094" s="93">
        <f>IF('Net zero activities &amp; levers'!$C$14="Off",('Activity data'!AU18*EF!$H31)*kgtoGg,IF('Net zero activities &amp; levers'!$C$14="On",('Net zero Activity data'!AU18*EF!$H31)*kgtoGg,"ERROR"))</f>
        <v>6.7365964527680941E-2</v>
      </c>
      <c r="AC1094" s="93">
        <f>IF('Net zero activities &amp; levers'!$C$14="Off",('Activity data'!AV18*EF!$H31)*kgtoGg,IF('Net zero activities &amp; levers'!$C$14="On",('Net zero Activity data'!AV18*EF!$H31)*kgtoGg,"ERROR"))</f>
        <v>6.77056962443503E-2</v>
      </c>
      <c r="AD1094" s="93">
        <f>IF('Net zero activities &amp; levers'!$C$14="Off",('Activity data'!AW18*EF!$H31)*kgtoGg,IF('Net zero activities &amp; levers'!$C$14="On",('Net zero Activity data'!AW18*EF!$H31)*kgtoGg,"ERROR"))</f>
        <v>6.8194508307399856E-2</v>
      </c>
      <c r="AE1094" s="93">
        <f>IF('Net zero activities &amp; levers'!$C$14="Off",('Activity data'!AX18*EF!$H31)*kgtoGg,IF('Net zero activities &amp; levers'!$C$14="On",('Net zero Activity data'!AX18*EF!$H31)*kgtoGg,"ERROR"))</f>
        <v>6.9020204262067689E-2</v>
      </c>
      <c r="AF1094" s="93">
        <f>IF('Net zero activities &amp; levers'!$C$14="Off",('Activity data'!AY18*EF!$H31)*kgtoGg,IF('Net zero activities &amp; levers'!$C$14="On",('Net zero Activity data'!AY18*EF!$H31)*kgtoGg,"ERROR"))</f>
        <v>6.9987140159553041E-2</v>
      </c>
      <c r="AG1094" s="93">
        <f>IF('Net zero activities &amp; levers'!$C$14="Off",('Activity data'!AZ18*EF!$H31)*kgtoGg,IF('Net zero activities &amp; levers'!$C$14="On",('Net zero Activity data'!AZ18*EF!$H31)*kgtoGg,"ERROR"))</f>
        <v>7.1296293069432901E-2</v>
      </c>
      <c r="AH1094" s="93">
        <f>IF('Net zero activities &amp; levers'!$C$14="Off",('Activity data'!BA18*EF!$H31)*kgtoGg,IF('Net zero activities &amp; levers'!$C$14="On",('Net zero Activity data'!BA18*EF!$H31)*kgtoGg,"ERROR"))</f>
        <v>7.2003030684025804E-2</v>
      </c>
      <c r="AI1094" s="93">
        <f>IF('Net zero activities &amp; levers'!$C$14="Off",('Activity data'!BB18*EF!$H31)*kgtoGg,IF('Net zero activities &amp; levers'!$C$14="On",('Net zero Activity data'!BB18*EF!$H31)*kgtoGg,"ERROR"))</f>
        <v>7.262029442724019E-2</v>
      </c>
      <c r="AJ1094" s="93">
        <f>IF('Net zero activities &amp; levers'!$C$14="Off",('Activity data'!BC18*EF!$H31)*kgtoGg,IF('Net zero activities &amp; levers'!$C$14="On",('Net zero Activity data'!BC18*EF!$H31)*kgtoGg,"ERROR"))</f>
        <v>7.339601807079868E-2</v>
      </c>
      <c r="AK1094" s="93">
        <f>IF('Net zero activities &amp; levers'!$C$14="Off",('Activity data'!BD18*EF!$H31)*kgtoGg,IF('Net zero activities &amp; levers'!$C$14="On",('Net zero Activity data'!BD18*EF!$H31)*kgtoGg,"ERROR"))</f>
        <v>7.4069513203278647E-2</v>
      </c>
      <c r="AL1094" s="93">
        <f>IF('Net zero activities &amp; levers'!$C$14="Off",('Activity data'!BE18*EF!$H31)*kgtoGg,IF('Net zero activities &amp; levers'!$C$14="On",('Net zero Activity data'!BE18*EF!$H31)*kgtoGg,"ERROR"))</f>
        <v>7.4814728599866626E-2</v>
      </c>
      <c r="AM1094" s="93">
        <f>IF('Net zero activities &amp; levers'!$C$14="Off",('Activity data'!BF18*EF!$H31)*kgtoGg,IF('Net zero activities &amp; levers'!$C$14="On",('Net zero Activity data'!BF18*EF!$H31)*kgtoGg,"ERROR"))</f>
        <v>7.5541627722012866E-2</v>
      </c>
      <c r="AN1094" s="93">
        <f>IF('Net zero activities &amp; levers'!$C$14="Off",('Activity data'!BG18*EF!$H31)*kgtoGg,IF('Net zero activities &amp; levers'!$C$14="On",('Net zero Activity data'!BG18*EF!$H31)*kgtoGg,"ERROR"))</f>
        <v>7.6520277858916103E-2</v>
      </c>
      <c r="AO1094" s="93">
        <f>IF('Net zero activities &amp; levers'!$C$14="Off",('Activity data'!BH18*EF!$H31)*kgtoGg,IF('Net zero activities &amp; levers'!$C$14="On",('Net zero Activity data'!BH18*EF!$H31)*kgtoGg,"ERROR"))</f>
        <v>7.7370104927739061E-2</v>
      </c>
      <c r="AP1094" s="93">
        <f>IF('Net zero activities &amp; levers'!$C$14="Off",('Activity data'!BI18*EF!$H31)*kgtoGg,IF('Net zero activities &amp; levers'!$C$14="On",('Net zero Activity data'!BI18*EF!$H31)*kgtoGg,"ERROR"))</f>
        <v>7.821917674804682E-2</v>
      </c>
      <c r="AQ1094" s="93">
        <f>IF('Net zero activities &amp; levers'!$C$14="Off",('Activity data'!BJ18*EF!$H31)*kgtoGg,IF('Net zero activities &amp; levers'!$C$14="On",('Net zero Activity data'!BJ18*EF!$H31)*kgtoGg,"ERROR"))</f>
        <v>7.9098404026949301E-2</v>
      </c>
      <c r="AR1094" s="93">
        <f>IF('Net zero activities &amp; levers'!$C$14="Off",('Activity data'!BK18*EF!$H31)*kgtoGg,IF('Net zero activities &amp; levers'!$C$14="On",('Net zero Activity data'!BK18*EF!$H31)*kgtoGg,"ERROR"))</f>
        <v>8.0017670136618924E-2</v>
      </c>
      <c r="AS1094" s="93">
        <f>IF('Net zero activities &amp; levers'!$C$14="Off",('Activity data'!BL18*EF!$H31)*kgtoGg,IF('Net zero activities &amp; levers'!$C$14="On",('Net zero Activity data'!BL18*EF!$H31)*kgtoGg,"ERROR"))</f>
        <v>8.1215655133654599E-2</v>
      </c>
      <c r="AT1094" s="93">
        <f>IF('Net zero activities &amp; levers'!$C$14="Off",('Activity data'!BM18*EF!$H31)*kgtoGg,IF('Net zero activities &amp; levers'!$C$14="On",('Net zero Activity data'!BM18*EF!$H31)*kgtoGg,"ERROR"))</f>
        <v>8.1586660945256045E-2</v>
      </c>
      <c r="AU1094" s="93">
        <f>IF('Net zero activities &amp; levers'!$C$14="Off",('Activity data'!BN18*EF!$H31)*kgtoGg,IF('Net zero activities &amp; levers'!$C$14="On",('Net zero Activity data'!BN18*EF!$H31)*kgtoGg,"ERROR"))</f>
        <v>8.1882988755660815E-2</v>
      </c>
      <c r="AV1094" s="93">
        <f>IF('Net zero activities &amp; levers'!$C$14="Off",('Activity data'!BO18*EF!$H31)*kgtoGg,IF('Net zero activities &amp; levers'!$C$14="On",('Net zero Activity data'!BO18*EF!$H31)*kgtoGg,"ERROR"))</f>
        <v>8.2188588581758509E-2</v>
      </c>
      <c r="AW1094" s="93">
        <f>IF('Net zero activities &amp; levers'!$C$14="Off",('Activity data'!BP18*EF!$H31)*kgtoGg,IF('Net zero activities &amp; levers'!$C$14="On",('Net zero Activity data'!BP18*EF!$H31)*kgtoGg,"ERROR"))</f>
        <v>8.2468277280419264E-2</v>
      </c>
      <c r="AY1094" s="79"/>
    </row>
    <row r="1095" spans="1:51" x14ac:dyDescent="0.2">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0.59866182774590171</v>
      </c>
      <c r="P1095" s="93">
        <f>IF('Net zero activities &amp; levers'!$C$14="Off",('Activity data'!AI19*EF!$H32)*kgtoGg,IF('Net zero activities &amp; levers'!$C$14="On",('Net zero Activity data'!AI19*EF!$H32)*kgtoGg,"ERROR"))</f>
        <v>0.60475451589519702</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0.6206898695388976</v>
      </c>
      <c r="S1095" s="93">
        <f>IF('Net zero activities &amp; levers'!$C$14="Off",('Activity data'!AL19*EF!$H32)*kgtoGg,IF('Net zero activities &amp; levers'!$C$14="On",('Net zero Activity data'!AL19*EF!$H32)*kgtoGg,"ERROR"))</f>
        <v>0.59586205354866417</v>
      </c>
      <c r="T1095" s="93">
        <f>IF('Net zero activities &amp; levers'!$C$14="Off",('Activity data'!AM19*EF!$H32)*kgtoGg,IF('Net zero activities &amp; levers'!$C$14="On",('Net zero Activity data'!AM19*EF!$H32)*kgtoGg,"ERROR"))</f>
        <v>0.61166609228342095</v>
      </c>
      <c r="U1095" s="93">
        <f>IF('Net zero activities &amp; levers'!$C$14="Off",('Activity data'!AN19*EF!$H32)*kgtoGg,IF('Net zero activities &amp; levers'!$C$14="On",('Net zero Activity data'!AN19*EF!$H32)*kgtoGg,"ERROR"))</f>
        <v>0.62485299056124621</v>
      </c>
      <c r="V1095" s="93">
        <f>IF('Net zero activities &amp; levers'!$C$14="Off",('Activity data'!AO19*EF!$H32)*kgtoGg,IF('Net zero activities &amp; levers'!$C$14="On",('Net zero Activity data'!AO19*EF!$H32)*kgtoGg,"ERROR"))</f>
        <v>0.63746316411560699</v>
      </c>
      <c r="W1095" s="93">
        <f>IF('Net zero activities &amp; levers'!$C$14="Off",('Activity data'!AP19*EF!$H32)*kgtoGg,IF('Net zero activities &amp; levers'!$C$14="On",('Net zero Activity data'!AP19*EF!$H32)*kgtoGg,"ERROR"))</f>
        <v>0.65148292230650084</v>
      </c>
      <c r="X1095" s="93">
        <f>IF('Net zero activities &amp; levers'!$C$14="Off",('Activity data'!AQ19*EF!$H32)*kgtoGg,IF('Net zero activities &amp; levers'!$C$14="On",('Net zero Activity data'!AQ19*EF!$H32)*kgtoGg,"ERROR"))</f>
        <v>0.66499795751984347</v>
      </c>
      <c r="Y1095" s="93">
        <f>IF('Net zero activities &amp; levers'!$C$14="Off",('Activity data'!AR19*EF!$H32)*kgtoGg,IF('Net zero activities &amp; levers'!$C$14="On",('Net zero Activity data'!AR19*EF!$H32)*kgtoGg,"ERROR"))</f>
        <v>0.67713280709524293</v>
      </c>
      <c r="Z1095" s="93">
        <f>IF('Net zero activities &amp; levers'!$C$14="Off",('Activity data'!AS19*EF!$H32)*kgtoGg,IF('Net zero activities &amp; levers'!$C$14="On",('Net zero Activity data'!AS19*EF!$H32)*kgtoGg,"ERROR"))</f>
        <v>0.68896443146114195</v>
      </c>
      <c r="AA1095" s="93">
        <f>IF('Net zero activities &amp; levers'!$C$14="Off",('Activity data'!AT19*EF!$H32)*kgtoGg,IF('Net zero activities &amp; levers'!$C$14="On",('Net zero Activity data'!AT19*EF!$H32)*kgtoGg,"ERROR"))</f>
        <v>0.70030539755417098</v>
      </c>
      <c r="AB1095" s="93">
        <f>IF('Net zero activities &amp; levers'!$C$14="Off",('Activity data'!AU19*EF!$H32)*kgtoGg,IF('Net zero activities &amp; levers'!$C$14="On",('Net zero Activity data'!AU19*EF!$H32)*kgtoGg,"ERROR"))</f>
        <v>0.71394199916813561</v>
      </c>
      <c r="AC1095" s="93">
        <f>IF('Net zero activities &amp; levers'!$C$14="Off",('Activity data'!AV19*EF!$H32)*kgtoGg,IF('Net zero activities &amp; levers'!$C$14="On",('Net zero Activity data'!AV19*EF!$H32)*kgtoGg,"ERROR"))</f>
        <v>0.72748510796814947</v>
      </c>
      <c r="AD1095" s="93">
        <f>IF('Net zero activities &amp; levers'!$C$14="Off",('Activity data'!AW19*EF!$H32)*kgtoGg,IF('Net zero activities &amp; levers'!$C$14="On",('Net zero Activity data'!AW19*EF!$H32)*kgtoGg,"ERROR"))</f>
        <v>0.7416801333370433</v>
      </c>
      <c r="AE1095" s="93">
        <f>IF('Net zero activities &amp; levers'!$C$14="Off",('Activity data'!AX19*EF!$H32)*kgtoGg,IF('Net zero activities &amp; levers'!$C$14="On",('Net zero Activity data'!AX19*EF!$H32)*kgtoGg,"ERROR"))</f>
        <v>0.75821054657652254</v>
      </c>
      <c r="AF1095" s="93">
        <f>IF('Net zero activities &amp; levers'!$C$14="Off",('Activity data'!AY19*EF!$H32)*kgtoGg,IF('Net zero activities &amp; levers'!$C$14="On",('Net zero Activity data'!AY19*EF!$H32)*kgtoGg,"ERROR"))</f>
        <v>0.77596254129215869</v>
      </c>
      <c r="AG1095" s="93">
        <f>IF('Net zero activities &amp; levers'!$C$14="Off",('Activity data'!AZ19*EF!$H32)*kgtoGg,IF('Net zero activities &amp; levers'!$C$14="On",('Net zero Activity data'!AZ19*EF!$H32)*kgtoGg,"ERROR"))</f>
        <v>0.7963033454053372</v>
      </c>
      <c r="AH1095" s="93">
        <f>IF('Net zero activities &amp; levers'!$C$14="Off",('Activity data'!BA19*EF!$H32)*kgtoGg,IF('Net zero activities &amp; levers'!$C$14="On",('Net zero Activity data'!BA19*EF!$H32)*kgtoGg,"ERROR"))</f>
        <v>0.81311713883147885</v>
      </c>
      <c r="AI1095" s="93">
        <f>IF('Net zero activities &amp; levers'!$C$14="Off",('Activity data'!BB19*EF!$H32)*kgtoGg,IF('Net zero activities &amp; levers'!$C$14="On",('Net zero Activity data'!BB19*EF!$H32)*kgtoGg,"ERROR"))</f>
        <v>0.82920457779762036</v>
      </c>
      <c r="AJ1095" s="93">
        <f>IF('Net zero activities &amp; levers'!$C$14="Off",('Activity data'!BC19*EF!$H32)*kgtoGg,IF('Net zero activities &amp; levers'!$C$14="On",('Net zero Activity data'!BC19*EF!$H32)*kgtoGg,"ERROR"))</f>
        <v>0.8466799763081283</v>
      </c>
      <c r="AK1095" s="93">
        <f>IF('Net zero activities &amp; levers'!$C$14="Off",('Activity data'!BD19*EF!$H32)*kgtoGg,IF('Net zero activities &amp; levers'!$C$14="On",('Net zero Activity data'!BD19*EF!$H32)*kgtoGg,"ERROR"))</f>
        <v>0.86378648630356591</v>
      </c>
      <c r="AL1095" s="93">
        <f>IF('Net zero activities &amp; levers'!$C$14="Off",('Activity data'!BE19*EF!$H32)*kgtoGg,IF('Net zero activities &amp; levers'!$C$14="On",('Net zero Activity data'!BE19*EF!$H32)*kgtoGg,"ERROR"))</f>
        <v>0.8817359545427027</v>
      </c>
      <c r="AM1095" s="93">
        <f>IF('Net zero activities &amp; levers'!$C$14="Off",('Activity data'!BF19*EF!$H32)*kgtoGg,IF('Net zero activities &amp; levers'!$C$14="On",('Net zero Activity data'!BF19*EF!$H32)*kgtoGg,"ERROR"))</f>
        <v>0.89991137533731791</v>
      </c>
      <c r="AN1095" s="93">
        <f>IF('Net zero activities &amp; levers'!$C$14="Off",('Activity data'!BG19*EF!$H32)*kgtoGg,IF('Net zero activities &amp; levers'!$C$14="On",('Net zero Activity data'!BG19*EF!$H32)*kgtoGg,"ERROR"))</f>
        <v>0.91990012979739244</v>
      </c>
      <c r="AO1095" s="93">
        <f>IF('Net zero activities &amp; levers'!$C$14="Off",('Activity data'!BH19*EF!$H32)*kgtoGg,IF('Net zero activities &amp; levers'!$C$14="On",('Net zero Activity data'!BH19*EF!$H32)*kgtoGg,"ERROR"))</f>
        <v>0.93935460788893066</v>
      </c>
      <c r="AP1095" s="93">
        <f>IF('Net zero activities &amp; levers'!$C$14="Off",('Activity data'!BI19*EF!$H32)*kgtoGg,IF('Net zero activities &amp; levers'!$C$14="On",('Net zero Activity data'!BI19*EF!$H32)*kgtoGg,"ERROR"))</f>
        <v>0.95921858565138518</v>
      </c>
      <c r="AQ1095" s="93">
        <f>IF('Net zero activities &amp; levers'!$C$14="Off",('Activity data'!BJ19*EF!$H32)*kgtoGg,IF('Net zero activities &amp; levers'!$C$14="On",('Net zero Activity data'!BJ19*EF!$H32)*kgtoGg,"ERROR"))</f>
        <v>0.97974614943757377</v>
      </c>
      <c r="AR1095" s="93">
        <f>IF('Net zero activities &amp; levers'!$C$14="Off",('Activity data'!BK19*EF!$H32)*kgtoGg,IF('Net zero activities &amp; levers'!$C$14="On",('Net zero Activity data'!BK19*EF!$H32)*kgtoGg,"ERROR"))</f>
        <v>1.0010418670441812</v>
      </c>
      <c r="AS1095" s="93">
        <f>IF('Net zero activities &amp; levers'!$C$14="Off",('Activity data'!BL19*EF!$H32)*kgtoGg,IF('Net zero activities &amp; levers'!$C$14="On",('Net zero Activity data'!BL19*EF!$H32)*kgtoGg,"ERROR"))</f>
        <v>1.024648468705007</v>
      </c>
      <c r="AT1095" s="93">
        <f>IF('Net zero activities &amp; levers'!$C$14="Off",('Activity data'!BM19*EF!$H32)*kgtoGg,IF('Net zero activities &amp; levers'!$C$14="On",('Net zero Activity data'!BM19*EF!$H32)*kgtoGg,"ERROR"))</f>
        <v>1.0419667302828659</v>
      </c>
      <c r="AU1095" s="93">
        <f>IF('Net zero activities &amp; levers'!$C$14="Off",('Activity data'!BN19*EF!$H32)*kgtoGg,IF('Net zero activities &amp; levers'!$C$14="On",('Net zero Activity data'!BN19*EF!$H32)*kgtoGg,"ERROR"))</f>
        <v>1.0589838516681485</v>
      </c>
      <c r="AV1095" s="93">
        <f>IF('Net zero activities &amp; levers'!$C$14="Off",('Activity data'!BO19*EF!$H32)*kgtoGg,IF('Net zero activities &amp; levers'!$C$14="On",('Net zero Activity data'!BO19*EF!$H32)*kgtoGg,"ERROR"))</f>
        <v>1.0763973931983826</v>
      </c>
      <c r="AW1095" s="93">
        <f>IF('Net zero activities &amp; levers'!$C$14="Off",('Activity data'!BP19*EF!$H32)*kgtoGg,IF('Net zero activities &amp; levers'!$C$14="On",('Net zero Activity data'!BP19*EF!$H32)*kgtoGg,"ERROR"))</f>
        <v>1.093914171709288</v>
      </c>
      <c r="AY1095" s="79"/>
    </row>
    <row r="1096" spans="1:51" x14ac:dyDescent="0.2">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2.2100196981344111</v>
      </c>
      <c r="L1096" s="93">
        <f>IF('Net zero activities &amp; levers'!$C$14="Off",('Activity data'!AE20*EF!$H33)*kgtoGg,IF('Net zero activities &amp; levers'!$C$14="On",('Net zero Activity data'!AE20*EF!$H33)*kgtoGg,"ERROR"))</f>
        <v>2.239121707445149</v>
      </c>
      <c r="M1096" s="93">
        <f>IF('Net zero activities &amp; levers'!$C$14="Off",('Activity data'!AF20*EF!$H33)*kgtoGg,IF('Net zero activities &amp; levers'!$C$14="On",('Net zero Activity data'!AF20*EF!$H33)*kgtoGg,"ERROR"))</f>
        <v>2.2858678822724823</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2.2487211059946204</v>
      </c>
      <c r="R1096" s="93">
        <f>IF('Net zero activities &amp; levers'!$C$14="Off",('Activity data'!AK20*EF!$H33)*kgtoGg,IF('Net zero activities &amp; levers'!$C$14="On",('Net zero Activity data'!AK20*EF!$H33)*kgtoGg,"ERROR"))</f>
        <v>2.2390235702415171</v>
      </c>
      <c r="S1096" s="93">
        <f>IF('Net zero activities &amp; levers'!$C$14="Off",('Activity data'!AL20*EF!$H33)*kgtoGg,IF('Net zero activities &amp; levers'!$C$14="On",('Net zero Activity data'!AL20*EF!$H33)*kgtoGg,"ERROR"))</f>
        <v>1.9141242898278399</v>
      </c>
      <c r="T1096" s="93">
        <f>IF('Net zero activities &amp; levers'!$C$14="Off",('Activity data'!AM20*EF!$H33)*kgtoGg,IF('Net zero activities &amp; levers'!$C$14="On",('Net zero Activity data'!AM20*EF!$H33)*kgtoGg,"ERROR"))</f>
        <v>1.9984899724616512</v>
      </c>
      <c r="U1096" s="93">
        <f>IF('Net zero activities &amp; levers'!$C$14="Off",('Activity data'!AN20*EF!$H33)*kgtoGg,IF('Net zero activities &amp; levers'!$C$14="On",('Net zero Activity data'!AN20*EF!$H33)*kgtoGg,"ERROR"))</f>
        <v>2.0566281324498989</v>
      </c>
      <c r="V1096" s="93">
        <f>IF('Net zero activities &amp; levers'!$C$14="Off",('Activity data'!AO20*EF!$H33)*kgtoGg,IF('Net zero activities &amp; levers'!$C$14="On",('Net zero Activity data'!AO20*EF!$H33)*kgtoGg,"ERROR"))</f>
        <v>2.1082245232127885</v>
      </c>
      <c r="W1096" s="93">
        <f>IF('Net zero activities &amp; levers'!$C$14="Off",('Activity data'!AP20*EF!$H33)*kgtoGg,IF('Net zero activities &amp; levers'!$C$14="On",('Net zero Activity data'!AP20*EF!$H33)*kgtoGg,"ERROR"))</f>
        <v>2.1717516772979577</v>
      </c>
      <c r="X1096" s="93">
        <f>IF('Net zero activities &amp; levers'!$C$14="Off",('Activity data'!AQ20*EF!$H33)*kgtoGg,IF('Net zero activities &amp; levers'!$C$14="On",('Net zero Activity data'!AQ20*EF!$H33)*kgtoGg,"ERROR"))</f>
        <v>2.2294138068766221</v>
      </c>
      <c r="Y1096" s="93">
        <f>IF('Net zero activities &amp; levers'!$C$14="Off",('Activity data'!AR20*EF!$H33)*kgtoGg,IF('Net zero activities &amp; levers'!$C$14="On",('Net zero Activity data'!AR20*EF!$H33)*kgtoGg,"ERROR"))</f>
        <v>2.2803087574477758</v>
      </c>
      <c r="Z1096" s="93">
        <f>IF('Net zero activities &amp; levers'!$C$14="Off",('Activity data'!AS20*EF!$H33)*kgtoGg,IF('Net zero activities &amp; levers'!$C$14="On",('Net zero Activity data'!AS20*EF!$H33)*kgtoGg,"ERROR"))</f>
        <v>2.3275959555736767</v>
      </c>
      <c r="AA1096" s="93">
        <f>IF('Net zero activities &amp; levers'!$C$14="Off",('Activity data'!AT20*EF!$H33)*kgtoGg,IF('Net zero activities &amp; levers'!$C$14="On",('Net zero Activity data'!AT20*EF!$H33)*kgtoGg,"ERROR"))</f>
        <v>2.3696866416984408</v>
      </c>
      <c r="AB1096" s="93">
        <f>IF('Net zero activities &amp; levers'!$C$14="Off",('Activity data'!AU20*EF!$H33)*kgtoGg,IF('Net zero activities &amp; levers'!$C$14="On",('Net zero Activity data'!AU20*EF!$H33)*kgtoGg,"ERROR"))</f>
        <v>2.4313567650804138</v>
      </c>
      <c r="AC1096" s="93">
        <f>IF('Net zero activities &amp; levers'!$C$14="Off",('Activity data'!AV20*EF!$H33)*kgtoGg,IF('Net zero activities &amp; levers'!$C$14="On",('Net zero Activity data'!AV20*EF!$H33)*kgtoGg,"ERROR"))</f>
        <v>2.4911768272254537</v>
      </c>
      <c r="AD1096" s="93">
        <f>IF('Net zero activities &amp; levers'!$C$14="Off",('Activity data'!AW20*EF!$H33)*kgtoGg,IF('Net zero activities &amp; levers'!$C$14="On",('Net zero Activity data'!AW20*EF!$H33)*kgtoGg,"ERROR"))</f>
        <v>2.5611651092780447</v>
      </c>
      <c r="AE1096" s="93">
        <f>IF('Net zero activities &amp; levers'!$C$14="Off",('Activity data'!AX20*EF!$H33)*kgtoGg,IF('Net zero activities &amp; levers'!$C$14="On",('Net zero Activity data'!AX20*EF!$H33)*kgtoGg,"ERROR"))</f>
        <v>2.6503466863676968</v>
      </c>
      <c r="AF1096" s="93">
        <f>IF('Net zero activities &amp; levers'!$C$14="Off",('Activity data'!AY20*EF!$H33)*kgtoGg,IF('Net zero activities &amp; levers'!$C$14="On",('Net zero Activity data'!AY20*EF!$H33)*kgtoGg,"ERROR"))</f>
        <v>2.7487492134063758</v>
      </c>
      <c r="AG1096" s="93">
        <f>IF('Net zero activities &amp; levers'!$C$14="Off",('Activity data'!AZ20*EF!$H33)*kgtoGg,IF('Net zero activities &amp; levers'!$C$14="On",('Net zero Activity data'!AZ20*EF!$H33)*kgtoGg,"ERROR"))</f>
        <v>2.8678706867563997</v>
      </c>
      <c r="AH1096" s="93">
        <f>IF('Net zero activities &amp; levers'!$C$14="Off",('Activity data'!BA20*EF!$H33)*kgtoGg,IF('Net zero activities &amp; levers'!$C$14="On",('Net zero Activity data'!BA20*EF!$H33)*kgtoGg,"ERROR"))</f>
        <v>2.9554288288988109</v>
      </c>
      <c r="AI1096" s="93">
        <f>IF('Net zero activities &amp; levers'!$C$14="Off",('Activity data'!BB20*EF!$H33)*kgtoGg,IF('Net zero activities &amp; levers'!$C$14="On",('Net zero Activity data'!BB20*EF!$H33)*kgtoGg,"ERROR"))</f>
        <v>3.0407668489306769</v>
      </c>
      <c r="AJ1096" s="93">
        <f>IF('Net zero activities &amp; levers'!$C$14="Off",('Activity data'!BC20*EF!$H33)*kgtoGg,IF('Net zero activities &amp; levers'!$C$14="On",('Net zero Activity data'!BC20*EF!$H33)*kgtoGg,"ERROR"))</f>
        <v>3.1366479798785045</v>
      </c>
      <c r="AK1096" s="93">
        <f>IF('Net zero activities &amp; levers'!$C$14="Off",('Activity data'!BD20*EF!$H33)*kgtoGg,IF('Net zero activities &amp; levers'!$C$14="On",('Net zero Activity data'!BD20*EF!$H33)*kgtoGg,"ERROR"))</f>
        <v>3.228263044676527</v>
      </c>
      <c r="AL1096" s="93">
        <f>IF('Net zero activities &amp; levers'!$C$14="Off",('Activity data'!BE20*EF!$H33)*kgtoGg,IF('Net zero activities &amp; levers'!$C$14="On",('Net zero Activity data'!BE20*EF!$H33)*kgtoGg,"ERROR"))</f>
        <v>3.3257213723703618</v>
      </c>
      <c r="AM1096" s="93">
        <f>IF('Net zero activities &amp; levers'!$C$14="Off",('Activity data'!BF20*EF!$H33)*kgtoGg,IF('Net zero activities &amp; levers'!$C$14="On",('Net zero Activity data'!BF20*EF!$H33)*kgtoGg,"ERROR"))</f>
        <v>3.4238536012880374</v>
      </c>
      <c r="AN1096" s="93">
        <f>IF('Net zero activities &amp; levers'!$C$14="Off",('Activity data'!BG20*EF!$H33)*kgtoGg,IF('Net zero activities &amp; levers'!$C$14="On",('Net zero Activity data'!BG20*EF!$H33)*kgtoGg,"ERROR"))</f>
        <v>3.5403209104075128</v>
      </c>
      <c r="AO1096" s="93">
        <f>IF('Net zero activities &amp; levers'!$C$14="Off",('Activity data'!BH20*EF!$H33)*kgtoGg,IF('Net zero activities &amp; levers'!$C$14="On",('Net zero Activity data'!BH20*EF!$H33)*kgtoGg,"ERROR"))</f>
        <v>3.6511369162882397</v>
      </c>
      <c r="AP1096" s="93">
        <f>IF('Net zero activities &amp; levers'!$C$14="Off",('Activity data'!BI20*EF!$H33)*kgtoGg,IF('Net zero activities &amp; levers'!$C$14="On",('Net zero Activity data'!BI20*EF!$H33)*kgtoGg,"ERROR"))</f>
        <v>3.7640318136014432</v>
      </c>
      <c r="AQ1096" s="93">
        <f>IF('Net zero activities &amp; levers'!$C$14="Off",('Activity data'!BJ20*EF!$H33)*kgtoGg,IF('Net zero activities &amp; levers'!$C$14="On",('Net zero Activity data'!BJ20*EF!$H33)*kgtoGg,"ERROR"))</f>
        <v>3.8810201496437728</v>
      </c>
      <c r="AR1096" s="93">
        <f>IF('Net zero activities &amp; levers'!$C$14="Off",('Activity data'!BK20*EF!$H33)*kgtoGg,IF('Net zero activities &amp; levers'!$C$14="On",('Net zero Activity data'!BK20*EF!$H33)*kgtoGg,"ERROR"))</f>
        <v>4.0028778541582692</v>
      </c>
      <c r="AS1096" s="93">
        <f>IF('Net zero activities &amp; levers'!$C$14="Off",('Activity data'!BL20*EF!$H33)*kgtoGg,IF('Net zero activities &amp; levers'!$C$14="On",('Net zero Activity data'!BL20*EF!$H33)*kgtoGg,"ERROR"))</f>
        <v>4.1464729012292834</v>
      </c>
      <c r="AT1096" s="93">
        <f>IF('Net zero activities &amp; levers'!$C$14="Off",('Activity data'!BM20*EF!$H33)*kgtoGg,IF('Net zero activities &amp; levers'!$C$14="On",('Net zero Activity data'!BM20*EF!$H33)*kgtoGg,"ERROR"))</f>
        <v>4.2389508928341062</v>
      </c>
      <c r="AU1096" s="93">
        <f>IF('Net zero activities &amp; levers'!$C$14="Off",('Activity data'!BN20*EF!$H33)*kgtoGg,IF('Net zero activities &amp; levers'!$C$14="On",('Net zero Activity data'!BN20*EF!$H33)*kgtoGg,"ERROR"))</f>
        <v>4.3281678617131494</v>
      </c>
      <c r="AV1096" s="93">
        <f>IF('Net zero activities &amp; levers'!$C$14="Off",('Activity data'!BO20*EF!$H33)*kgtoGg,IF('Net zero activities &amp; levers'!$C$14="On",('Net zero Activity data'!BO20*EF!$H33)*kgtoGg,"ERROR"))</f>
        <v>4.4196303430169497</v>
      </c>
      <c r="AW1096" s="93">
        <f>IF('Net zero activities &amp; levers'!$C$14="Off",('Activity data'!BP20*EF!$H33)*kgtoGg,IF('Net zero activities &amp; levers'!$C$14="On",('Net zero Activity data'!BP20*EF!$H33)*kgtoGg,"ERROR"))</f>
        <v>4.5110296667808401</v>
      </c>
      <c r="AY1096" s="79"/>
    </row>
    <row r="1097" spans="1:51" x14ac:dyDescent="0.2">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2.3161053423012622E-2</v>
      </c>
      <c r="L1097" s="93">
        <f>IF('Net zero activities &amp; levers'!$C$14="Off",('Activity data'!AE21*EF!$H34)*kgtoGg,IF('Net zero activities &amp; levers'!$C$14="On",('Net zero Activity data'!AE21*EF!$H34)*kgtoGg,"ERROR"))</f>
        <v>2.3631963555267661E-2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2.4944242822745932E-2</v>
      </c>
      <c r="P1097" s="93">
        <f>IF('Net zero activities &amp; levers'!$C$14="Off",('Activity data'!AI21*EF!$H34)*kgtoGg,IF('Net zero activities &amp; levers'!$C$14="On",('Net zero Activity data'!AI21*EF!$H34)*kgtoGg,"ERROR"))</f>
        <v>2.5198104828966564E-2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2.5862077897454098E-2</v>
      </c>
      <c r="S1097" s="93">
        <f>IF('Net zero activities &amp; levers'!$C$14="Off",('Activity data'!AL21*EF!$H34)*kgtoGg,IF('Net zero activities &amp; levers'!$C$14="On",('Net zero Activity data'!AL21*EF!$H34)*kgtoGg,"ERROR"))</f>
        <v>2.4827585564527698E-2</v>
      </c>
      <c r="T1097" s="93">
        <f>IF('Net zero activities &amp; levers'!$C$14="Off",('Activity data'!AM21*EF!$H34)*kgtoGg,IF('Net zero activities &amp; levers'!$C$14="On",('Net zero Activity data'!AM21*EF!$H34)*kgtoGg,"ERROR"))</f>
        <v>2.5486087178475895E-2</v>
      </c>
      <c r="U1097" s="93">
        <f>IF('Net zero activities &amp; levers'!$C$14="Off",('Activity data'!AN21*EF!$H34)*kgtoGg,IF('Net zero activities &amp; levers'!$C$14="On",('Net zero Activity data'!AN21*EF!$H34)*kgtoGg,"ERROR"))</f>
        <v>2.6035541273385285E-2</v>
      </c>
      <c r="V1097" s="93">
        <f>IF('Net zero activities &amp; levers'!$C$14="Off",('Activity data'!AO21*EF!$H34)*kgtoGg,IF('Net zero activities &amp; levers'!$C$14="On",('Net zero Activity data'!AO21*EF!$H34)*kgtoGg,"ERROR"))</f>
        <v>2.6560965171483649E-2</v>
      </c>
      <c r="W1097" s="93">
        <f>IF('Net zero activities &amp; levers'!$C$14="Off",('Activity data'!AP21*EF!$H34)*kgtoGg,IF('Net zero activities &amp; levers'!$C$14="On",('Net zero Activity data'!AP21*EF!$H34)*kgtoGg,"ERROR"))</f>
        <v>2.7145121762770889E-2</v>
      </c>
      <c r="X1097" s="93">
        <f>IF('Net zero activities &amp; levers'!$C$14="Off",('Activity data'!AQ21*EF!$H34)*kgtoGg,IF('Net zero activities &amp; levers'!$C$14="On",('Net zero Activity data'!AQ21*EF!$H34)*kgtoGg,"ERROR"))</f>
        <v>2.7708248229993501E-2</v>
      </c>
      <c r="Y1097" s="93">
        <f>IF('Net zero activities &amp; levers'!$C$14="Off",('Activity data'!AR21*EF!$H34)*kgtoGg,IF('Net zero activities &amp; levers'!$C$14="On",('Net zero Activity data'!AR21*EF!$H34)*kgtoGg,"ERROR"))</f>
        <v>2.8213866962301819E-2</v>
      </c>
      <c r="Z1097" s="93">
        <f>IF('Net zero activities &amp; levers'!$C$14="Off",('Activity data'!AS21*EF!$H34)*kgtoGg,IF('Net zero activities &amp; levers'!$C$14="On",('Net zero Activity data'!AS21*EF!$H34)*kgtoGg,"ERROR"))</f>
        <v>2.8706851310880941E-2</v>
      </c>
      <c r="AA1097" s="93">
        <f>IF('Net zero activities &amp; levers'!$C$14="Off",('Activity data'!AT21*EF!$H34)*kgtoGg,IF('Net zero activities &amp; levers'!$C$14="On",('Net zero Activity data'!AT21*EF!$H34)*kgtoGg,"ERROR"))</f>
        <v>2.9179391564757153E-2</v>
      </c>
      <c r="AB1097" s="93">
        <f>IF('Net zero activities &amp; levers'!$C$14="Off",('Activity data'!AU21*EF!$H34)*kgtoGg,IF('Net zero activities &amp; levers'!$C$14="On",('Net zero Activity data'!AU21*EF!$H34)*kgtoGg,"ERROR"))</f>
        <v>2.9747583298672345E-2</v>
      </c>
      <c r="AC1097" s="93">
        <f>IF('Net zero activities &amp; levers'!$C$14="Off",('Activity data'!AV21*EF!$H34)*kgtoGg,IF('Net zero activities &amp; levers'!$C$14="On",('Net zero Activity data'!AV21*EF!$H34)*kgtoGg,"ERROR"))</f>
        <v>3.0311879498672922E-2</v>
      </c>
      <c r="AD1097" s="93">
        <f>IF('Net zero activities &amp; levers'!$C$14="Off",('Activity data'!AW21*EF!$H34)*kgtoGg,IF('Net zero activities &amp; levers'!$C$14="On",('Net zero Activity data'!AW21*EF!$H34)*kgtoGg,"ERROR"))</f>
        <v>3.0903338889043501E-2</v>
      </c>
      <c r="AE1097" s="93">
        <f>IF('Net zero activities &amp; levers'!$C$14="Off",('Activity data'!AX21*EF!$H34)*kgtoGg,IF('Net zero activities &amp; levers'!$C$14="On",('Net zero Activity data'!AX21*EF!$H34)*kgtoGg,"ERROR"))</f>
        <v>3.1592106107355133E-2</v>
      </c>
      <c r="AF1097" s="93">
        <f>IF('Net zero activities &amp; levers'!$C$14="Off",('Activity data'!AY21*EF!$H34)*kgtoGg,IF('Net zero activities &amp; levers'!$C$14="On",('Net zero Activity data'!AY21*EF!$H34)*kgtoGg,"ERROR"))</f>
        <v>3.2331772553839976E-2</v>
      </c>
      <c r="AG1097" s="93">
        <f>IF('Net zero activities &amp; levers'!$C$14="Off",('Activity data'!AZ21*EF!$H34)*kgtoGg,IF('Net zero activities &amp; levers'!$C$14="On",('Net zero Activity data'!AZ21*EF!$H34)*kgtoGg,"ERROR"))</f>
        <v>3.3179306058555749E-2</v>
      </c>
      <c r="AH1097" s="93">
        <f>IF('Net zero activities &amp; levers'!$C$14="Off",('Activity data'!BA21*EF!$H34)*kgtoGg,IF('Net zero activities &amp; levers'!$C$14="On",('Net zero Activity data'!BA21*EF!$H34)*kgtoGg,"ERROR"))</f>
        <v>3.3879880784644982E-2</v>
      </c>
      <c r="AI1097" s="93">
        <f>IF('Net zero activities &amp; levers'!$C$14="Off",('Activity data'!BB21*EF!$H34)*kgtoGg,IF('Net zero activities &amp; levers'!$C$14="On",('Net zero Activity data'!BB21*EF!$H34)*kgtoGg,"ERROR"))</f>
        <v>3.4550190741567552E-2</v>
      </c>
      <c r="AJ1097" s="93">
        <f>IF('Net zero activities &amp; levers'!$C$14="Off",('Activity data'!BC21*EF!$H34)*kgtoGg,IF('Net zero activities &amp; levers'!$C$14="On",('Net zero Activity data'!BC21*EF!$H34)*kgtoGg,"ERROR"))</f>
        <v>3.5278332346172038E-2</v>
      </c>
      <c r="AK1097" s="93">
        <f>IF('Net zero activities &amp; levers'!$C$14="Off",('Activity data'!BD21*EF!$H34)*kgtoGg,IF('Net zero activities &amp; levers'!$C$14="On",('Net zero Activity data'!BD21*EF!$H34)*kgtoGg,"ERROR"))</f>
        <v>3.5991103595981948E-2</v>
      </c>
      <c r="AL1097" s="93">
        <f>IF('Net zero activities &amp; levers'!$C$14="Off",('Activity data'!BE21*EF!$H34)*kgtoGg,IF('Net zero activities &amp; levers'!$C$14="On",('Net zero Activity data'!BE21*EF!$H34)*kgtoGg,"ERROR"))</f>
        <v>3.6738998105945983E-2</v>
      </c>
      <c r="AM1097" s="93">
        <f>IF('Net zero activities &amp; levers'!$C$14="Off",('Activity data'!BF21*EF!$H34)*kgtoGg,IF('Net zero activities &amp; levers'!$C$14="On",('Net zero Activity data'!BF21*EF!$H34)*kgtoGg,"ERROR"))</f>
        <v>3.7496307305721614E-2</v>
      </c>
      <c r="AN1097" s="93">
        <f>IF('Net zero activities &amp; levers'!$C$14="Off",('Activity data'!BG21*EF!$H34)*kgtoGg,IF('Net zero activities &amp; levers'!$C$14="On",('Net zero Activity data'!BG21*EF!$H34)*kgtoGg,"ERROR"))</f>
        <v>3.8329172074891393E-2</v>
      </c>
      <c r="AO1097" s="93">
        <f>IF('Net zero activities &amp; levers'!$C$14="Off",('Activity data'!BH21*EF!$H34)*kgtoGg,IF('Net zero activities &amp; levers'!$C$14="On",('Net zero Activity data'!BH21*EF!$H34)*kgtoGg,"ERROR"))</f>
        <v>3.9139775328705488E-2</v>
      </c>
      <c r="AP1097" s="93">
        <f>IF('Net zero activities &amp; levers'!$C$14="Off",('Activity data'!BI21*EF!$H34)*kgtoGg,IF('Net zero activities &amp; levers'!$C$14="On",('Net zero Activity data'!BI21*EF!$H34)*kgtoGg,"ERROR"))</f>
        <v>3.9967441068807751E-2</v>
      </c>
      <c r="AQ1097" s="93">
        <f>IF('Net zero activities &amp; levers'!$C$14="Off",('Activity data'!BJ21*EF!$H34)*kgtoGg,IF('Net zero activities &amp; levers'!$C$14="On",('Net zero Activity data'!BJ21*EF!$H34)*kgtoGg,"ERROR"))</f>
        <v>4.0822756226565615E-2</v>
      </c>
      <c r="AR1097" s="93">
        <f>IF('Net zero activities &amp; levers'!$C$14="Off",('Activity data'!BK21*EF!$H34)*kgtoGg,IF('Net zero activities &amp; levers'!$C$14="On",('Net zero Activity data'!BK21*EF!$H34)*kgtoGg,"ERROR"))</f>
        <v>4.1710077793507598E-2</v>
      </c>
      <c r="AS1097" s="93">
        <f>IF('Net zero activities &amp; levers'!$C$14="Off",('Activity data'!BL21*EF!$H34)*kgtoGg,IF('Net zero activities &amp; levers'!$C$14="On",('Net zero Activity data'!BL21*EF!$H34)*kgtoGg,"ERROR"))</f>
        <v>4.2693686196041997E-2</v>
      </c>
      <c r="AT1097" s="93">
        <f>IF('Net zero activities &amp; levers'!$C$14="Off",('Activity data'!BM21*EF!$H34)*kgtoGg,IF('Net zero activities &amp; levers'!$C$14="On",('Net zero Activity data'!BM21*EF!$H34)*kgtoGg,"ERROR"))</f>
        <v>4.3415280428452788E-2</v>
      </c>
      <c r="AU1097" s="93">
        <f>IF('Net zero activities &amp; levers'!$C$14="Off",('Activity data'!BN21*EF!$H34)*kgtoGg,IF('Net zero activities &amp; levers'!$C$14="On",('Net zero Activity data'!BN21*EF!$H34)*kgtoGg,"ERROR"))</f>
        <v>4.4124327152839558E-2</v>
      </c>
      <c r="AV1097" s="93">
        <f>IF('Net zero activities &amp; levers'!$C$14="Off",('Activity data'!BO21*EF!$H34)*kgtoGg,IF('Net zero activities &amp; levers'!$C$14="On",('Net zero Activity data'!BO21*EF!$H34)*kgtoGg,"ERROR"))</f>
        <v>4.4849891383265984E-2</v>
      </c>
      <c r="AW1097" s="93">
        <f>IF('Net zero activities &amp; levers'!$C$14="Off",('Activity data'!BP21*EF!$H34)*kgtoGg,IF('Net zero activities &amp; levers'!$C$14="On",('Net zero Activity data'!BP21*EF!$H34)*kgtoGg,"ERROR"))</f>
        <v>4.5579757154553702E-2</v>
      </c>
      <c r="AY1097" s="79"/>
    </row>
    <row r="1098" spans="1:51" x14ac:dyDescent="0.2">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9.2084154088933862E-2</v>
      </c>
      <c r="L1098" s="93">
        <f>IF('Net zero activities &amp; levers'!$C$14="Off",('Activity data'!AE22*EF!$H35)*kgtoGg,IF('Net zero activities &amp; levers'!$C$14="On",('Net zero Activity data'!AE22*EF!$H35)*kgtoGg,"ERROR"))</f>
        <v>9.3296737810214622E-2</v>
      </c>
      <c r="M1098" s="93">
        <f>IF('Net zero activities &amp; levers'!$C$14="Off",('Activity data'!AF22*EF!$H35)*kgtoGg,IF('Net zero activities &amp; levers'!$C$14="On",('Net zero Activity data'!AF22*EF!$H35)*kgtoGg,"ERROR"))</f>
        <v>9.5244495094686854E-2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9.3696712749775937E-2</v>
      </c>
      <c r="R1098" s="93">
        <f>IF('Net zero activities &amp; levers'!$C$14="Off",('Activity data'!AK22*EF!$H35)*kgtoGg,IF('Net zero activities &amp; levers'!$C$14="On",('Net zero Activity data'!AK22*EF!$H35)*kgtoGg,"ERROR"))</f>
        <v>9.3292648760063296E-2</v>
      </c>
      <c r="S1098" s="93">
        <f>IF('Net zero activities &amp; levers'!$C$14="Off",('Activity data'!AL22*EF!$H35)*kgtoGg,IF('Net zero activities &amp; levers'!$C$14="On",('Net zero Activity data'!AL22*EF!$H35)*kgtoGg,"ERROR"))</f>
        <v>7.9755178742826727E-2</v>
      </c>
      <c r="T1098" s="93">
        <f>IF('Net zero activities &amp; levers'!$C$14="Off",('Activity data'!AM22*EF!$H35)*kgtoGg,IF('Net zero activities &amp; levers'!$C$14="On",('Net zero Activity data'!AM22*EF!$H35)*kgtoGg,"ERROR"))</f>
        <v>8.3270415519235544E-2</v>
      </c>
      <c r="U1098" s="93">
        <f>IF('Net zero activities &amp; levers'!$C$14="Off",('Activity data'!AN22*EF!$H35)*kgtoGg,IF('Net zero activities &amp; levers'!$C$14="On",('Net zero Activity data'!AN22*EF!$H35)*kgtoGg,"ERROR"))</f>
        <v>8.5692838852079192E-2</v>
      </c>
      <c r="V1098" s="93">
        <f>IF('Net zero activities &amp; levers'!$C$14="Off",('Activity data'!AO22*EF!$H35)*kgtoGg,IF('Net zero activities &amp; levers'!$C$14="On",('Net zero Activity data'!AO22*EF!$H35)*kgtoGg,"ERROR"))</f>
        <v>8.7842688467199587E-2</v>
      </c>
      <c r="W1098" s="93">
        <f>IF('Net zero activities &amp; levers'!$C$14="Off",('Activity data'!AP22*EF!$H35)*kgtoGg,IF('Net zero activities &amp; levers'!$C$14="On",('Net zero Activity data'!AP22*EF!$H35)*kgtoGg,"ERROR"))</f>
        <v>9.0489653220748326E-2</v>
      </c>
      <c r="X1098" s="93">
        <f>IF('Net zero activities &amp; levers'!$C$14="Off",('Activity data'!AQ22*EF!$H35)*kgtoGg,IF('Net zero activities &amp; levers'!$C$14="On",('Net zero Activity data'!AQ22*EF!$H35)*kgtoGg,"ERROR"))</f>
        <v>9.289224195319265E-2</v>
      </c>
      <c r="Y1098" s="93">
        <f>IF('Net zero activities &amp; levers'!$C$14="Off",('Activity data'!AR22*EF!$H35)*kgtoGg,IF('Net zero activities &amp; levers'!$C$14="On",('Net zero Activity data'!AR22*EF!$H35)*kgtoGg,"ERROR"))</f>
        <v>9.5012864893657414E-2</v>
      </c>
      <c r="Z1098" s="93">
        <f>IF('Net zero activities &amp; levers'!$C$14="Off",('Activity data'!AS22*EF!$H35)*kgtoGg,IF('Net zero activities &amp; levers'!$C$14="On",('Net zero Activity data'!AS22*EF!$H35)*kgtoGg,"ERROR"))</f>
        <v>9.6983164815569928E-2</v>
      </c>
      <c r="AA1098" s="93">
        <f>IF('Net zero activities &amp; levers'!$C$14="Off",('Activity data'!AT22*EF!$H35)*kgtoGg,IF('Net zero activities &amp; levers'!$C$14="On",('Net zero Activity data'!AT22*EF!$H35)*kgtoGg,"ERROR"))</f>
        <v>9.8736943404101787E-2</v>
      </c>
      <c r="AB1098" s="93">
        <f>IF('Net zero activities &amp; levers'!$C$14="Off",('Activity data'!AU22*EF!$H35)*kgtoGg,IF('Net zero activities &amp; levers'!$C$14="On",('Net zero Activity data'!AU22*EF!$H35)*kgtoGg,"ERROR"))</f>
        <v>0.10130653187835065</v>
      </c>
      <c r="AC1098" s="93">
        <f>IF('Net zero activities &amp; levers'!$C$14="Off",('Activity data'!AV22*EF!$H35)*kgtoGg,IF('Net zero activities &amp; levers'!$C$14="On",('Net zero Activity data'!AV22*EF!$H35)*kgtoGg,"ERROR"))</f>
        <v>0.10379903446772733</v>
      </c>
      <c r="AD1098" s="93">
        <f>IF('Net zero activities &amp; levers'!$C$14="Off",('Activity data'!AW22*EF!$H35)*kgtoGg,IF('Net zero activities &amp; levers'!$C$14="On",('Net zero Activity data'!AW22*EF!$H35)*kgtoGg,"ERROR"))</f>
        <v>0.1067152128865853</v>
      </c>
      <c r="AE1098" s="93">
        <f>IF('Net zero activities &amp; levers'!$C$14="Off",('Activity data'!AX22*EF!$H35)*kgtoGg,IF('Net zero activities &amp; levers'!$C$14="On",('Net zero Activity data'!AX22*EF!$H35)*kgtoGg,"ERROR"))</f>
        <v>0.11043111193198749</v>
      </c>
      <c r="AF1098" s="93">
        <f>IF('Net zero activities &amp; levers'!$C$14="Off",('Activity data'!AY22*EF!$H35)*kgtoGg,IF('Net zero activities &amp; levers'!$C$14="On",('Net zero Activity data'!AY22*EF!$H35)*kgtoGg,"ERROR"))</f>
        <v>0.11453121722526576</v>
      </c>
      <c r="AG1098" s="93">
        <f>IF('Net zero activities &amp; levers'!$C$14="Off",('Activity data'!AZ22*EF!$H35)*kgtoGg,IF('Net zero activities &amp; levers'!$C$14="On",('Net zero Activity data'!AZ22*EF!$H35)*kgtoGg,"ERROR"))</f>
        <v>0.11949461194818344</v>
      </c>
      <c r="AH1098" s="93">
        <f>IF('Net zero activities &amp; levers'!$C$14="Off",('Activity data'!BA22*EF!$H35)*kgtoGg,IF('Net zero activities &amp; levers'!$C$14="On",('Net zero Activity data'!BA22*EF!$H35)*kgtoGg,"ERROR"))</f>
        <v>0.12314286787078389</v>
      </c>
      <c r="AI1098" s="93">
        <f>IF('Net zero activities &amp; levers'!$C$14="Off",('Activity data'!BB22*EF!$H35)*kgtoGg,IF('Net zero activities &amp; levers'!$C$14="On",('Net zero Activity data'!BB22*EF!$H35)*kgtoGg,"ERROR"))</f>
        <v>0.12669861870544499</v>
      </c>
      <c r="AJ1098" s="93">
        <f>IF('Net zero activities &amp; levers'!$C$14="Off",('Activity data'!BC22*EF!$H35)*kgtoGg,IF('Net zero activities &amp; levers'!$C$14="On",('Net zero Activity data'!BC22*EF!$H35)*kgtoGg,"ERROR"))</f>
        <v>0.13069366582827113</v>
      </c>
      <c r="AK1098" s="93">
        <f>IF('Net zero activities &amp; levers'!$C$14="Off",('Activity data'!BD22*EF!$H35)*kgtoGg,IF('Net zero activities &amp; levers'!$C$14="On",('Net zero Activity data'!BD22*EF!$H35)*kgtoGg,"ERROR"))</f>
        <v>0.13451096019485542</v>
      </c>
      <c r="AL1098" s="93">
        <f>IF('Net zero activities &amp; levers'!$C$14="Off",('Activity data'!BE22*EF!$H35)*kgtoGg,IF('Net zero activities &amp; levers'!$C$14="On",('Net zero Activity data'!BE22*EF!$H35)*kgtoGg,"ERROR"))</f>
        <v>0.13857172384876518</v>
      </c>
      <c r="AM1098" s="93">
        <f>IF('Net zero activities &amp; levers'!$C$14="Off",('Activity data'!BF22*EF!$H35)*kgtoGg,IF('Net zero activities &amp; levers'!$C$14="On",('Net zero Activity data'!BF22*EF!$H35)*kgtoGg,"ERROR"))</f>
        <v>0.14266056672033503</v>
      </c>
      <c r="AN1098" s="93">
        <f>IF('Net zero activities &amp; levers'!$C$14="Off",('Activity data'!BG22*EF!$H35)*kgtoGg,IF('Net zero activities &amp; levers'!$C$14="On",('Net zero Activity data'!BG22*EF!$H35)*kgtoGg,"ERROR"))</f>
        <v>0.14751337126697986</v>
      </c>
      <c r="AO1098" s="93">
        <f>IF('Net zero activities &amp; levers'!$C$14="Off",('Activity data'!BH22*EF!$H35)*kgtoGg,IF('Net zero activities &amp; levers'!$C$14="On",('Net zero Activity data'!BH22*EF!$H35)*kgtoGg,"ERROR"))</f>
        <v>0.15213070484534344</v>
      </c>
      <c r="AP1098" s="93">
        <f>IF('Net zero activities &amp; levers'!$C$14="Off",('Activity data'!BI22*EF!$H35)*kgtoGg,IF('Net zero activities &amp; levers'!$C$14="On",('Net zero Activity data'!BI22*EF!$H35)*kgtoGg,"ERROR"))</f>
        <v>0.15683465890006026</v>
      </c>
      <c r="AQ1098" s="93">
        <f>IF('Net zero activities &amp; levers'!$C$14="Off",('Activity data'!BJ22*EF!$H35)*kgtoGg,IF('Net zero activities &amp; levers'!$C$14="On",('Net zero Activity data'!BJ22*EF!$H35)*kgtoGg,"ERROR"))</f>
        <v>0.16170917290182402</v>
      </c>
      <c r="AR1098" s="93">
        <f>IF('Net zero activities &amp; levers'!$C$14="Off",('Activity data'!BK22*EF!$H35)*kgtoGg,IF('Net zero activities &amp; levers'!$C$14="On",('Net zero Activity data'!BK22*EF!$H35)*kgtoGg,"ERROR"))</f>
        <v>0.16678657725659471</v>
      </c>
      <c r="AS1098" s="93">
        <f>IF('Net zero activities &amp; levers'!$C$14="Off",('Activity data'!BL22*EF!$H35)*kgtoGg,IF('Net zero activities &amp; levers'!$C$14="On",('Net zero Activity data'!BL22*EF!$H35)*kgtoGg,"ERROR"))</f>
        <v>0.17276970421788695</v>
      </c>
      <c r="AT1098" s="93">
        <f>IF('Net zero activities &amp; levers'!$C$14="Off",('Activity data'!BM22*EF!$H35)*kgtoGg,IF('Net zero activities &amp; levers'!$C$14="On",('Net zero Activity data'!BM22*EF!$H35)*kgtoGg,"ERROR"))</f>
        <v>0.17662295386808796</v>
      </c>
      <c r="AU1098" s="93">
        <f>IF('Net zero activities &amp; levers'!$C$14="Off",('Activity data'!BN22*EF!$H35)*kgtoGg,IF('Net zero activities &amp; levers'!$C$14="On",('Net zero Activity data'!BN22*EF!$H35)*kgtoGg,"ERROR"))</f>
        <v>0.18034032757138141</v>
      </c>
      <c r="AV1098" s="93">
        <f>IF('Net zero activities &amp; levers'!$C$14="Off",('Activity data'!BO22*EF!$H35)*kgtoGg,IF('Net zero activities &amp; levers'!$C$14="On",('Net zero Activity data'!BO22*EF!$H35)*kgtoGg,"ERROR"))</f>
        <v>0.18415126429237305</v>
      </c>
      <c r="AW1098" s="93">
        <f>IF('Net zero activities &amp; levers'!$C$14="Off",('Activity data'!BP22*EF!$H35)*kgtoGg,IF('Net zero activities &amp; levers'!$C$14="On",('Net zero Activity data'!BP22*EF!$H35)*kgtoGg,"ERROR"))</f>
        <v>0.18795956944920184</v>
      </c>
      <c r="AY1098" s="79"/>
    </row>
    <row r="1099" spans="1:51" x14ac:dyDescent="0.2">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5.9806569587962537E-2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6.0782907527895308E-2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6.1344406036983767E-2</v>
      </c>
      <c r="S1099" s="93">
        <f>IF('Net zero activities &amp; levers'!$C$14="Off",('Activity data'!AL5*EF!$H36*EF!$H54)*NtoN2O*kgtoGg,IF('Net zero activities &amp; levers'!$C$14="On",('Net zero Activity data'!AL5*EF!$H36*EF!$H54)*NtoN2O*kgtoGg,"ERROR"))</f>
        <v>5.9665089567979834E-2</v>
      </c>
      <c r="T1099" s="93">
        <f>IF('Net zero activities &amp; levers'!$C$14="Off",('Activity data'!AM5*EF!$H36*EF!$H54)*NtoN2O*kgtoGg,IF('Net zero activities &amp; levers'!$C$14="On",('Net zero Activity data'!AM5*EF!$H36*EF!$H54)*NtoN2O*kgtoGg,"ERROR"))</f>
        <v>6.0350771242359769E-2</v>
      </c>
      <c r="U1099" s="93">
        <f>IF('Net zero activities &amp; levers'!$C$14="Off",('Activity data'!AN5*EF!$H36*EF!$H54)*NtoN2O*kgtoGg,IF('Net zero activities &amp; levers'!$C$14="On",('Net zero Activity data'!AN5*EF!$H36*EF!$H54)*NtoN2O*kgtoGg,"ERROR"))</f>
        <v>6.0888075169397142E-2</v>
      </c>
      <c r="V1099" s="93">
        <f>IF('Net zero activities &amp; levers'!$C$14="Off",('Activity data'!AO5*EF!$H36*EF!$H54)*NtoN2O*kgtoGg,IF('Net zero activities &amp; levers'!$C$14="On",('Net zero Activity data'!AO5*EF!$H36*EF!$H54)*NtoN2O*kgtoGg,"ERROR"))</f>
        <v>6.139711160102531E-2</v>
      </c>
      <c r="W1099" s="93">
        <f>IF('Net zero activities &amp; levers'!$C$14="Off",('Activity data'!AP5*EF!$H36*EF!$H54)*NtoN2O*kgtoGg,IF('Net zero activities &amp; levers'!$C$14="On",('Net zero Activity data'!AP5*EF!$H36*EF!$H54)*NtoN2O*kgtoGg,"ERROR"))</f>
        <v>6.1992224918562065E-2</v>
      </c>
      <c r="X1099" s="93">
        <f>IF('Net zero activities &amp; levers'!$C$14="Off",('Activity data'!AQ5*EF!$H36*EF!$H54)*NtoN2O*kgtoGg,IF('Net zero activities &amp; levers'!$C$14="On",('Net zero Activity data'!AQ5*EF!$H36*EF!$H54)*NtoN2O*kgtoGg,"ERROR"))</f>
        <v>6.2562148930794551E-2</v>
      </c>
      <c r="Y1099" s="93">
        <f>IF('Net zero activities &amp; levers'!$C$14="Off",('Activity data'!AR5*EF!$H36*EF!$H54)*NtoN2O*kgtoGg,IF('Net zero activities &amp; levers'!$C$14="On",('Net zero Activity data'!AR5*EF!$H36*EF!$H54)*NtoN2O*kgtoGg,"ERROR"))</f>
        <v>6.3040140287419597E-2</v>
      </c>
      <c r="Z1099" s="93">
        <f>IF('Net zero activities &amp; levers'!$C$14="Off",('Activity data'!AS5*EF!$H36*EF!$H54)*NtoN2O*kgtoGg,IF('Net zero activities &amp; levers'!$C$14="On",('Net zero Activity data'!AS5*EF!$H36*EF!$H54)*NtoN2O*kgtoGg,"ERROR"))</f>
        <v>6.3504855616237185E-2</v>
      </c>
      <c r="AA1099" s="93">
        <f>IF('Net zero activities &amp; levers'!$C$14="Off",('Activity data'!AT5*EF!$H36*EF!$H54)*NtoN2O*kgtoGg,IF('Net zero activities &amp; levers'!$C$14="On",('Net zero Activity data'!AT5*EF!$H36*EF!$H54)*NtoN2O*kgtoGg,"ERROR"))</f>
        <v>6.3945644322408624E-2</v>
      </c>
      <c r="AB1099" s="93">
        <f>IF('Net zero activities &amp; levers'!$C$14="Off",('Activity data'!AU5*EF!$H36*EF!$H54)*NtoN2O*kgtoGg,IF('Net zero activities &amp; levers'!$C$14="On",('Net zero Activity data'!AU5*EF!$H36*EF!$H54)*NtoN2O*kgtoGg,"ERROR"))</f>
        <v>6.4519032075900526E-2</v>
      </c>
      <c r="AC1099" s="93">
        <f>IF('Net zero activities &amp; levers'!$C$14="Off",('Activity data'!AV5*EF!$H36*EF!$H54)*NtoN2O*kgtoGg,IF('Net zero activities &amp; levers'!$C$14="On",('Net zero Activity data'!AV5*EF!$H36*EF!$H54)*NtoN2O*kgtoGg,"ERROR"))</f>
        <v>6.5089471381032354E-2</v>
      </c>
      <c r="AD1099" s="93">
        <f>IF('Net zero activities &amp; levers'!$C$14="Off",('Activity data'!AW5*EF!$H36*EF!$H54)*NtoN2O*kgtoGg,IF('Net zero activities &amp; levers'!$C$14="On",('Net zero Activity data'!AW5*EF!$H36*EF!$H54)*NtoN2O*kgtoGg,"ERROR"))</f>
        <v>6.5684604542898692E-2</v>
      </c>
      <c r="AE1099" s="93">
        <f>IF('Net zero activities &amp; levers'!$C$14="Off",('Activity data'!AX5*EF!$H36*EF!$H54)*NtoN2O*kgtoGg,IF('Net zero activities &amp; levers'!$C$14="On",('Net zero Activity data'!AX5*EF!$H36*EF!$H54)*NtoN2O*kgtoGg,"ERROR"))</f>
        <v>6.6410653636350389E-2</v>
      </c>
      <c r="AF1099" s="93">
        <f>IF('Net zero activities &amp; levers'!$C$14="Off",('Activity data'!AY5*EF!$H36*EF!$H54)*NtoN2O*kgtoGg,IF('Net zero activities &amp; levers'!$C$14="On",('Net zero Activity data'!AY5*EF!$H36*EF!$H54)*NtoN2O*kgtoGg,"ERROR"))</f>
        <v>6.7204391254708923E-2</v>
      </c>
      <c r="AG1099" s="93">
        <f>IF('Net zero activities &amp; levers'!$C$14="Off",('Activity data'!AZ5*EF!$H36*EF!$H54)*NtoN2O*kgtoGg,IF('Net zero activities &amp; levers'!$C$14="On",('Net zero Activity data'!AZ5*EF!$H36*EF!$H54)*NtoN2O*kgtoGg,"ERROR"))</f>
        <v>6.8140044673053207E-2</v>
      </c>
      <c r="AH1099" s="93">
        <f>IF('Net zero activities &amp; levers'!$C$14="Off",('Activity data'!BA5*EF!$H36*EF!$H54)*NtoN2O*kgtoGg,IF('Net zero activities &amp; levers'!$C$14="On",('Net zero Activity data'!BA5*EF!$H36*EF!$H54)*NtoN2O*kgtoGg,"ERROR"))</f>
        <v>6.888108453498494E-2</v>
      </c>
      <c r="AI1099" s="93">
        <f>IF('Net zero activities &amp; levers'!$C$14="Off",('Activity data'!BB5*EF!$H36*EF!$H54)*NtoN2O*kgtoGg,IF('Net zero activities &amp; levers'!$C$14="On",('Net zero Activity data'!BB5*EF!$H36*EF!$H54)*NtoN2O*kgtoGg,"ERROR"))</f>
        <v>6.9569502535986497E-2</v>
      </c>
      <c r="AJ1099" s="93">
        <f>IF('Net zero activities &amp; levers'!$C$14="Off",('Activity data'!BC5*EF!$H36*EF!$H54)*NtoN2O*kgtoGg,IF('Net zero activities &amp; levers'!$C$14="On",('Net zero Activity data'!BC5*EF!$H36*EF!$H54)*NtoN2O*kgtoGg,"ERROR"))</f>
        <v>7.0333394582188791E-2</v>
      </c>
      <c r="AK1099" s="93">
        <f>IF('Net zero activities &amp; levers'!$C$14="Off",('Activity data'!BD5*EF!$H36*EF!$H54)*NtoN2O*kgtoGg,IF('Net zero activities &amp; levers'!$C$14="On",('Net zero Activity data'!BD5*EF!$H36*EF!$H54)*NtoN2O*kgtoGg,"ERROR"))</f>
        <v>7.1076775459671046E-2</v>
      </c>
      <c r="AL1099" s="93">
        <f>IF('Net zero activities &amp; levers'!$C$14="Off",('Activity data'!BE5*EF!$H36*EF!$H54)*NtoN2O*kgtoGg,IF('Net zero activities &amp; levers'!$C$14="On",('Net zero Activity data'!BE5*EF!$H36*EF!$H54)*NtoN2O*kgtoGg,"ERROR"))</f>
        <v>7.1865166896586383E-2</v>
      </c>
      <c r="AM1099" s="93">
        <f>IF('Net zero activities &amp; levers'!$C$14="Off",('Activity data'!BF5*EF!$H36*EF!$H54)*NtoN2O*kgtoGg,IF('Net zero activities &amp; levers'!$C$14="On",('Net zero Activity data'!BF5*EF!$H36*EF!$H54)*NtoN2O*kgtoGg,"ERROR"))</f>
        <v>7.2664891568343645E-2</v>
      </c>
      <c r="AN1099" s="93">
        <f>IF('Net zero activities &amp; levers'!$C$14="Off",('Activity data'!BG5*EF!$H36*EF!$H54)*NtoN2O*kgtoGg,IF('Net zero activities &amp; levers'!$C$14="On",('Net zero Activity data'!BG5*EF!$H36*EF!$H54)*NtoN2O*kgtoGg,"ERROR"))</f>
        <v>7.3548705139755158E-2</v>
      </c>
      <c r="AO1099" s="93">
        <f>IF('Net zero activities &amp; levers'!$C$14="Off",('Activity data'!BH5*EF!$H36*EF!$H54)*NtoN2O*kgtoGg,IF('Net zero activities &amp; levers'!$C$14="On",('Net zero Activity data'!BH5*EF!$H36*EF!$H54)*NtoN2O*kgtoGg,"ERROR"))</f>
        <v>7.4402331665901211E-2</v>
      </c>
      <c r="AP1099" s="93">
        <f>IF('Net zero activities &amp; levers'!$C$14="Off",('Activity data'!BI5*EF!$H36*EF!$H54)*NtoN2O*kgtoGg,IF('Net zero activities &amp; levers'!$C$14="On",('Net zero Activity data'!BI5*EF!$H36*EF!$H54)*NtoN2O*kgtoGg,"ERROR"))</f>
        <v>7.5276250928073038E-2</v>
      </c>
      <c r="AQ1099" s="93">
        <f>IF('Net zero activities &amp; levers'!$C$14="Off",('Activity data'!BJ5*EF!$H36*EF!$H54)*NtoN2O*kgtoGg,IF('Net zero activities &amp; levers'!$C$14="On",('Net zero Activity data'!BJ5*EF!$H36*EF!$H54)*NtoN2O*kgtoGg,"ERROR"))</f>
        <v>7.6183713879707002E-2</v>
      </c>
      <c r="AR1099" s="93">
        <f>IF('Net zero activities &amp; levers'!$C$14="Off",('Activity data'!BK5*EF!$H36*EF!$H54)*NtoN2O*kgtoGg,IF('Net zero activities &amp; levers'!$C$14="On",('Net zero Activity data'!BK5*EF!$H36*EF!$H54)*NtoN2O*kgtoGg,"ERROR"))</f>
        <v>7.7129908476892481E-2</v>
      </c>
      <c r="AS1099" s="93">
        <f>IF('Net zero activities &amp; levers'!$C$14="Off",('Activity data'!BL5*EF!$H36*EF!$H54)*NtoN2O*kgtoGg,IF('Net zero activities &amp; levers'!$C$14="On",('Net zero Activity data'!BL5*EF!$H36*EF!$H54)*NtoN2O*kgtoGg,"ERROR"))</f>
        <v>7.8183489117849933E-2</v>
      </c>
      <c r="AT1099" s="93">
        <f>IF('Net zero activities &amp; levers'!$C$14="Off",('Activity data'!BM5*EF!$H36*EF!$H54)*NtoN2O*kgtoGg,IF('Net zero activities &amp; levers'!$C$14="On",('Net zero Activity data'!BM5*EF!$H36*EF!$H54)*NtoN2O*kgtoGg,"ERROR"))</f>
        <v>7.890407273633461E-2</v>
      </c>
      <c r="AU1099" s="93">
        <f>IF('Net zero activities &amp; levers'!$C$14="Off",('Activity data'!BN5*EF!$H36*EF!$H54)*NtoN2O*kgtoGg,IF('Net zero activities &amp; levers'!$C$14="On",('Net zero Activity data'!BN5*EF!$H36*EF!$H54)*NtoN2O*kgtoGg,"ERROR"))</f>
        <v>7.960808386314952E-2</v>
      </c>
      <c r="AV1099" s="93">
        <f>IF('Net zero activities &amp; levers'!$C$14="Off",('Activity data'!BO5*EF!$H36*EF!$H54)*NtoN2O*kgtoGg,IF('Net zero activities &amp; levers'!$C$14="On",('Net zero Activity data'!BO5*EF!$H36*EF!$H54)*NtoN2O*kgtoGg,"ERROR"))</f>
        <v>8.0332044119121343E-2</v>
      </c>
      <c r="AW1099" s="93">
        <f>IF('Net zero activities &amp; levers'!$C$14="Off",('Activity data'!BP5*EF!$H36*EF!$H54)*NtoN2O*kgtoGg,IF('Net zero activities &amp; levers'!$C$14="On",('Net zero Activity data'!BP5*EF!$H36*EF!$H54)*NtoN2O*kgtoGg,"ERROR"))</f>
        <v>8.1060500675567429E-2</v>
      </c>
      <c r="AY1099" s="79"/>
    </row>
    <row r="1100" spans="1:51" x14ac:dyDescent="0.2">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0.26187096745907495</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0.26614599213711054</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0.26860458755254496</v>
      </c>
      <c r="S1100" s="93">
        <f>IF('Net zero activities &amp; levers'!$C$14="Off",('Activity data'!AL6*EF!$H37*EF!$H55)*NtoN2O*kgtoGg,IF('Net zero activities &amp; levers'!$C$14="On",('Net zero Activity data'!AL6*EF!$H37*EF!$H55)*NtoN2O*kgtoGg,"ERROR"))</f>
        <v>0.26125147849717245</v>
      </c>
      <c r="T1100" s="93">
        <f>IF('Net zero activities &amp; levers'!$C$14="Off",('Activity data'!AM6*EF!$H37*EF!$H55)*NtoN2O*kgtoGg,IF('Net zero activities &amp; levers'!$C$14="On",('Net zero Activity data'!AM6*EF!$H37*EF!$H55)*NtoN2O*kgtoGg,"ERROR"))</f>
        <v>0.26425382631073058</v>
      </c>
      <c r="U1100" s="93">
        <f>IF('Net zero activities &amp; levers'!$C$14="Off",('Activity data'!AN6*EF!$H37*EF!$H55)*NtoN2O*kgtoGg,IF('Net zero activities &amp; levers'!$C$14="On",('Net zero Activity data'!AN6*EF!$H37*EF!$H55)*NtoN2O*kgtoGg,"ERROR"))</f>
        <v>0.26660648255171249</v>
      </c>
      <c r="V1100" s="93">
        <f>IF('Net zero activities &amp; levers'!$C$14="Off",('Activity data'!AO6*EF!$H37*EF!$H55)*NtoN2O*kgtoGg,IF('Net zero activities &amp; levers'!$C$14="On",('Net zero Activity data'!AO6*EF!$H37*EF!$H55)*NtoN2O*kgtoGg,"ERROR"))</f>
        <v>0.26883536582893036</v>
      </c>
      <c r="W1100" s="93">
        <f>IF('Net zero activities &amp; levers'!$C$14="Off",('Activity data'!AP6*EF!$H37*EF!$H55)*NtoN2O*kgtoGg,IF('Net zero activities &amp; levers'!$C$14="On",('Net zero Activity data'!AP6*EF!$H37*EF!$H55)*NtoN2O*kgtoGg,"ERROR"))</f>
        <v>0.27144114812483544</v>
      </c>
      <c r="X1100" s="93">
        <f>IF('Net zero activities &amp; levers'!$C$14="Off",('Activity data'!AQ6*EF!$H37*EF!$H55)*NtoN2O*kgtoGg,IF('Net zero activities &amp; levers'!$C$14="On",('Net zero Activity data'!AQ6*EF!$H37*EF!$H55)*NtoN2O*kgtoGg,"ERROR"))</f>
        <v>0.27393663571908672</v>
      </c>
      <c r="Y1100" s="93">
        <f>IF('Net zero activities &amp; levers'!$C$14="Off",('Activity data'!AR6*EF!$H37*EF!$H55)*NtoN2O*kgtoGg,IF('Net zero activities &amp; levers'!$C$14="On",('Net zero Activity data'!AR6*EF!$H37*EF!$H55)*NtoN2O*kgtoGg,"ERROR"))</f>
        <v>0.27602958403327432</v>
      </c>
      <c r="Z1100" s="93">
        <f>IF('Net zero activities &amp; levers'!$C$14="Off",('Activity data'!AS6*EF!$H37*EF!$H55)*NtoN2O*kgtoGg,IF('Net zero activities &amp; levers'!$C$14="On",('Net zero Activity data'!AS6*EF!$H37*EF!$H55)*NtoN2O*kgtoGg,"ERROR"))</f>
        <v>0.27806440150548434</v>
      </c>
      <c r="AA1100" s="93">
        <f>IF('Net zero activities &amp; levers'!$C$14="Off",('Activity data'!AT6*EF!$H37*EF!$H55)*NtoN2O*kgtoGg,IF('Net zero activities &amp; levers'!$C$14="On",('Net zero Activity data'!AT6*EF!$H37*EF!$H55)*NtoN2O*kgtoGg,"ERROR"))</f>
        <v>0.27999445309890292</v>
      </c>
      <c r="AB1100" s="93">
        <f>IF('Net zero activities &amp; levers'!$C$14="Off",('Activity data'!AU6*EF!$H37*EF!$H55)*NtoN2O*kgtoGg,IF('Net zero activities &amp; levers'!$C$14="On",('Net zero Activity data'!AU6*EF!$H37*EF!$H55)*NtoN2O*kgtoGg,"ERROR"))</f>
        <v>0.28250510714193849</v>
      </c>
      <c r="AC1100" s="93">
        <f>IF('Net zero activities &amp; levers'!$C$14="Off",('Activity data'!AV6*EF!$H37*EF!$H55)*NtoN2O*kgtoGg,IF('Net zero activities &amp; levers'!$C$14="On",('Net zero Activity data'!AV6*EF!$H37*EF!$H55)*NtoN2O*kgtoGg,"ERROR"))</f>
        <v>0.2850028510142375</v>
      </c>
      <c r="AD1100" s="93">
        <f>IF('Net zero activities &amp; levers'!$C$14="Off",('Activity data'!AW6*EF!$H37*EF!$H55)*NtoN2O*kgtoGg,IF('Net zero activities &amp; levers'!$C$14="On",('Net zero Activity data'!AW6*EF!$H37*EF!$H55)*NtoN2O*kgtoGg,"ERROR"))</f>
        <v>0.2876087202011619</v>
      </c>
      <c r="AE1100" s="93">
        <f>IF('Net zero activities &amp; levers'!$C$14="Off",('Activity data'!AX6*EF!$H37*EF!$H55)*NtoN2O*kgtoGg,IF('Net zero activities &amp; levers'!$C$14="On",('Net zero Activity data'!AX6*EF!$H37*EF!$H55)*NtoN2O*kgtoGg,"ERROR"))</f>
        <v>0.29078782209305915</v>
      </c>
      <c r="AF1100" s="93">
        <f>IF('Net zero activities &amp; levers'!$C$14="Off",('Activity data'!AY6*EF!$H37*EF!$H55)*NtoN2O*kgtoGg,IF('Net zero activities &amp; levers'!$C$14="On",('Net zero Activity data'!AY6*EF!$H37*EF!$H55)*NtoN2O*kgtoGg,"ERROR"))</f>
        <v>0.29426330713525839</v>
      </c>
      <c r="AG1100" s="93">
        <f>IF('Net zero activities &amp; levers'!$C$14="Off",('Activity data'!AZ6*EF!$H37*EF!$H55)*NtoN2O*kgtoGg,IF('Net zero activities &amp; levers'!$C$14="On",('Net zero Activity data'!AZ6*EF!$H37*EF!$H55)*NtoN2O*kgtoGg,"ERROR"))</f>
        <v>0.29836018925968516</v>
      </c>
      <c r="AH1100" s="93">
        <f>IF('Net zero activities &amp; levers'!$C$14="Off",('Activity data'!BA6*EF!$H37*EF!$H55)*NtoN2O*kgtoGg,IF('Net zero activities &amp; levers'!$C$14="On",('Net zero Activity data'!BA6*EF!$H37*EF!$H55)*NtoN2O*kgtoGg,"ERROR"))</f>
        <v>0.30160493021217166</v>
      </c>
      <c r="AI1100" s="93">
        <f>IF('Net zero activities &amp; levers'!$C$14="Off",('Activity data'!BB6*EF!$H37*EF!$H55)*NtoN2O*kgtoGg,IF('Net zero activities &amp; levers'!$C$14="On",('Net zero Activity data'!BB6*EF!$H37*EF!$H55)*NtoN2O*kgtoGg,"ERROR"))</f>
        <v>0.30461925939340617</v>
      </c>
      <c r="AJ1100" s="93">
        <f>IF('Net zero activities &amp; levers'!$C$14="Off",('Activity data'!BC6*EF!$H37*EF!$H55)*NtoN2O*kgtoGg,IF('Net zero activities &amp; levers'!$C$14="On",('Net zero Activity data'!BC6*EF!$H37*EF!$H55)*NtoN2O*kgtoGg,"ERROR"))</f>
        <v>0.30796406165428591</v>
      </c>
      <c r="AK1100" s="93">
        <f>IF('Net zero activities &amp; levers'!$C$14="Off",('Activity data'!BD6*EF!$H37*EF!$H55)*NtoN2O*kgtoGg,IF('Net zero activities &amp; levers'!$C$14="On",('Net zero Activity data'!BD6*EF!$H37*EF!$H55)*NtoN2O*kgtoGg,"ERROR"))</f>
        <v>0.31121905305268976</v>
      </c>
      <c r="AL1100" s="93">
        <f>IF('Net zero activities &amp; levers'!$C$14="Off",('Activity data'!BE6*EF!$H37*EF!$H55)*NtoN2O*kgtoGg,IF('Net zero activities &amp; levers'!$C$14="On",('Net zero Activity data'!BE6*EF!$H37*EF!$H55)*NtoN2O*kgtoGg,"ERROR"))</f>
        <v>0.31467112913302436</v>
      </c>
      <c r="AM1100" s="93">
        <f>IF('Net zero activities &amp; levers'!$C$14="Off",('Activity data'!BF6*EF!$H37*EF!$H55)*NtoN2O*kgtoGg,IF('Net zero activities &amp; levers'!$C$14="On",('Net zero Activity data'!BF6*EF!$H37*EF!$H55)*NtoN2O*kgtoGg,"ERROR"))</f>
        <v>0.31817282927962681</v>
      </c>
      <c r="AN1100" s="93">
        <f>IF('Net zero activities &amp; levers'!$C$14="Off",('Activity data'!BG6*EF!$H37*EF!$H55)*NtoN2O*kgtoGg,IF('Net zero activities &amp; levers'!$C$14="On",('Net zero Activity data'!BG6*EF!$H37*EF!$H55)*NtoN2O*kgtoGg,"ERROR"))</f>
        <v>0.32204272378442023</v>
      </c>
      <c r="AO1100" s="93">
        <f>IF('Net zero activities &amp; levers'!$C$14="Off",('Activity data'!BH6*EF!$H37*EF!$H55)*NtoN2O*kgtoGg,IF('Net zero activities &amp; levers'!$C$14="On",('Net zero Activity data'!BH6*EF!$H37*EF!$H55)*NtoN2O*kgtoGg,"ERROR"))</f>
        <v>0.32578044032276504</v>
      </c>
      <c r="AP1100" s="93">
        <f>IF('Net zero activities &amp; levers'!$C$14="Off",('Activity data'!BI6*EF!$H37*EF!$H55)*NtoN2O*kgtoGg,IF('Net zero activities &amp; levers'!$C$14="On",('Net zero Activity data'!BI6*EF!$H37*EF!$H55)*NtoN2O*kgtoGg,"ERROR"))</f>
        <v>0.32960701128717151</v>
      </c>
      <c r="AQ1100" s="93">
        <f>IF('Net zero activities &amp; levers'!$C$14="Off",('Activity data'!BJ6*EF!$H37*EF!$H55)*NtoN2O*kgtoGg,IF('Net zero activities &amp; levers'!$C$14="On",('Net zero Activity data'!BJ6*EF!$H37*EF!$H55)*NtoN2O*kgtoGg,"ERROR"))</f>
        <v>0.33358045772817063</v>
      </c>
      <c r="AR1100" s="93">
        <f>IF('Net zero activities &amp; levers'!$C$14="Off",('Activity data'!BK6*EF!$H37*EF!$H55)*NtoN2O*kgtoGg,IF('Net zero activities &amp; levers'!$C$14="On",('Net zero Activity data'!BK6*EF!$H37*EF!$H55)*NtoN2O*kgtoGg,"ERROR"))</f>
        <v>0.33772349579700817</v>
      </c>
      <c r="AS1100" s="93">
        <f>IF('Net zero activities &amp; levers'!$C$14="Off",('Activity data'!BL6*EF!$H37*EF!$H55)*NtoN2O*kgtoGg,IF('Net zero activities &amp; levers'!$C$14="On",('Net zero Activity data'!BL6*EF!$H37*EF!$H55)*NtoN2O*kgtoGg,"ERROR"))</f>
        <v>0.34233673784791513</v>
      </c>
      <c r="AT1100" s="93">
        <f>IF('Net zero activities &amp; levers'!$C$14="Off",('Activity data'!BM6*EF!$H37*EF!$H55)*NtoN2O*kgtoGg,IF('Net zero activities &amp; levers'!$C$14="On",('Net zero Activity data'!BM6*EF!$H37*EF!$H55)*NtoN2O*kgtoGg,"ERROR"))</f>
        <v>0.34549190843549077</v>
      </c>
      <c r="AU1100" s="93">
        <f>IF('Net zero activities &amp; levers'!$C$14="Off",('Activity data'!BN6*EF!$H37*EF!$H55)*NtoN2O*kgtoGg,IF('Net zero activities &amp; levers'!$C$14="On",('Net zero Activity data'!BN6*EF!$H37*EF!$H55)*NtoN2O*kgtoGg,"ERROR"))</f>
        <v>0.34857451417849072</v>
      </c>
      <c r="AV1100" s="93">
        <f>IF('Net zero activities &amp; levers'!$C$14="Off",('Activity data'!BO6*EF!$H37*EF!$H55)*NtoN2O*kgtoGg,IF('Net zero activities &amp; levers'!$C$14="On",('Net zero Activity data'!BO6*EF!$H37*EF!$H55)*NtoN2O*kgtoGg,"ERROR"))</f>
        <v>0.35174446981947466</v>
      </c>
      <c r="AW1100" s="93">
        <f>IF('Net zero activities &amp; levers'!$C$14="Off",('Activity data'!BP6*EF!$H37*EF!$H55)*NtoN2O*kgtoGg,IF('Net zero activities &amp; levers'!$C$14="On",('Net zero Activity data'!BP6*EF!$H37*EF!$H55)*NtoN2O*kgtoGg,"ERROR"))</f>
        <v>0.3549341131062021</v>
      </c>
      <c r="AY1100" s="79"/>
    </row>
    <row r="1101" spans="1:51" x14ac:dyDescent="0.2">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1.1651711689683767E-2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1.1841925043604104E-2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1.1951318021451857E-2</v>
      </c>
      <c r="S1101" s="93">
        <f>IF('Net zero activities &amp; levers'!$C$14="Off",('Activity data'!AL7*EF!$H38*EF!$H56)*NtoN2O*kgtoGg,IF('Net zero activities &amp; levers'!$C$14="On",('Net zero Activity data'!AL7*EF!$H38*EF!$H56)*NtoN2O*kgtoGg,"ERROR"))</f>
        <v>1.1624148088994974E-2</v>
      </c>
      <c r="T1101" s="93">
        <f>IF('Net zero activities &amp; levers'!$C$14="Off",('Activity data'!AM7*EF!$H38*EF!$H56)*NtoN2O*kgtoGg,IF('Net zero activities &amp; levers'!$C$14="On",('Net zero Activity data'!AM7*EF!$H38*EF!$H56)*NtoN2O*kgtoGg,"ERROR"))</f>
        <v>1.1757734837671872E-2</v>
      </c>
      <c r="U1101" s="93">
        <f>IF('Net zero activities &amp; levers'!$C$14="Off",('Activity data'!AN7*EF!$H38*EF!$H56)*NtoN2O*kgtoGg,IF('Net zero activities &amp; levers'!$C$14="On",('Net zero Activity data'!AN7*EF!$H38*EF!$H56)*NtoN2O*kgtoGg,"ERROR"))</f>
        <v>1.1862414147833051E-2</v>
      </c>
      <c r="V1101" s="93">
        <f>IF('Net zero activities &amp; levers'!$C$14="Off",('Activity data'!AO7*EF!$H38*EF!$H56)*NtoN2O*kgtoGg,IF('Net zero activities &amp; levers'!$C$14="On",('Net zero Activity data'!AO7*EF!$H38*EF!$H56)*NtoN2O*kgtoGg,"ERROR"))</f>
        <v>1.1961586291992786E-2</v>
      </c>
      <c r="W1101" s="93">
        <f>IF('Net zero activities &amp; levers'!$C$14="Off",('Activity data'!AP7*EF!$H38*EF!$H56)*NtoN2O*kgtoGg,IF('Net zero activities &amp; levers'!$C$14="On",('Net zero Activity data'!AP7*EF!$H38*EF!$H56)*NtoN2O*kgtoGg,"ERROR"))</f>
        <v>1.2077528216874986E-2</v>
      </c>
      <c r="X1101" s="93">
        <f>IF('Net zero activities &amp; levers'!$C$14="Off",('Activity data'!AQ7*EF!$H38*EF!$H56)*NtoN2O*kgtoGg,IF('Net zero activities &amp; levers'!$C$14="On",('Net zero Activity data'!AQ7*EF!$H38*EF!$H56)*NtoN2O*kgtoGg,"ERROR"))</f>
        <v>1.218856267882977E-2</v>
      </c>
      <c r="Y1101" s="93">
        <f>IF('Net zero activities &amp; levers'!$C$14="Off",('Activity data'!AR7*EF!$H38*EF!$H56)*NtoN2O*kgtoGg,IF('Net zero activities &amp; levers'!$C$14="On",('Net zero Activity data'!AR7*EF!$H38*EF!$H56)*NtoN2O*kgtoGg,"ERROR"))</f>
        <v>1.2281686519837978E-2</v>
      </c>
      <c r="Z1101" s="93">
        <f>IF('Net zero activities &amp; levers'!$C$14="Off",('Activity data'!AS7*EF!$H38*EF!$H56)*NtoN2O*kgtoGg,IF('Net zero activities &amp; levers'!$C$14="On",('Net zero Activity data'!AS7*EF!$H38*EF!$H56)*NtoN2O*kgtoGg,"ERROR"))</f>
        <v>1.2372223881643949E-2</v>
      </c>
      <c r="AA1101" s="93">
        <f>IF('Net zero activities &amp; levers'!$C$14="Off",('Activity data'!AT7*EF!$H38*EF!$H56)*NtoN2O*kgtoGg,IF('Net zero activities &amp; levers'!$C$14="On",('Net zero Activity data'!AT7*EF!$H38*EF!$H56)*NtoN2O*kgtoGg,"ERROR"))</f>
        <v>1.2458099780491892E-2</v>
      </c>
      <c r="AB1101" s="93">
        <f>IF('Net zero activities &amp; levers'!$C$14="Off",('Activity data'!AU7*EF!$H38*EF!$H56)*NtoN2O*kgtoGg,IF('Net zero activities &amp; levers'!$C$14="On",('Net zero Activity data'!AU7*EF!$H38*EF!$H56)*NtoN2O*kgtoGg,"ERROR"))</f>
        <v>1.256980905985888E-2</v>
      </c>
      <c r="AC1101" s="93">
        <f>IF('Net zero activities &amp; levers'!$C$14="Off",('Activity data'!AV7*EF!$H38*EF!$H56)*NtoN2O*kgtoGg,IF('Net zero activities &amp; levers'!$C$14="On",('Net zero Activity data'!AV7*EF!$H38*EF!$H56)*NtoN2O*kgtoGg,"ERROR"))</f>
        <v>1.2680943912863346E-2</v>
      </c>
      <c r="AD1101" s="93">
        <f>IF('Net zero activities &amp; levers'!$C$14="Off",('Activity data'!AW7*EF!$H38*EF!$H56)*NtoN2O*kgtoGg,IF('Net zero activities &amp; levers'!$C$14="On",('Net zero Activity data'!AW7*EF!$H38*EF!$H56)*NtoN2O*kgtoGg,"ERROR"))</f>
        <v>1.2796889703882807E-2</v>
      </c>
      <c r="AE1101" s="93">
        <f>IF('Net zero activities &amp; levers'!$C$14="Off",('Activity data'!AX7*EF!$H38*EF!$H56)*NtoN2O*kgtoGg,IF('Net zero activities &amp; levers'!$C$14="On",('Net zero Activity data'!AX7*EF!$H38*EF!$H56)*NtoN2O*kgtoGg,"ERROR"))</f>
        <v>1.2938340965303392E-2</v>
      </c>
      <c r="AF1101" s="93">
        <f>IF('Net zero activities &amp; levers'!$C$14="Off",('Activity data'!AY7*EF!$H38*EF!$H56)*NtoN2O*kgtoGg,IF('Net zero activities &amp; levers'!$C$14="On",('Net zero Activity data'!AY7*EF!$H38*EF!$H56)*NtoN2O*kgtoGg,"ERROR"))</f>
        <v>1.3092979526753859E-2</v>
      </c>
      <c r="AG1101" s="93">
        <f>IF('Net zero activities &amp; levers'!$C$14="Off",('Activity data'!AZ7*EF!$H38*EF!$H56)*NtoN2O*kgtoGg,IF('Net zero activities &amp; levers'!$C$14="On",('Net zero Activity data'!AZ7*EF!$H38*EF!$H56)*NtoN2O*kgtoGg,"ERROR"))</f>
        <v>1.3275266588980031E-2</v>
      </c>
      <c r="AH1101" s="93">
        <f>IF('Net zero activities &amp; levers'!$C$14="Off",('Activity data'!BA7*EF!$H38*EF!$H56)*NtoN2O*kgtoGg,IF('Net zero activities &amp; levers'!$C$14="On",('Net zero Activity data'!BA7*EF!$H38*EF!$H56)*NtoN2O*kgtoGg,"ERROR"))</f>
        <v>1.3419638400994631E-2</v>
      </c>
      <c r="AI1101" s="93">
        <f>IF('Net zero activities &amp; levers'!$C$14="Off",('Activity data'!BB7*EF!$H38*EF!$H56)*NtoN2O*kgtoGg,IF('Net zero activities &amp; levers'!$C$14="On",('Net zero Activity data'!BB7*EF!$H38*EF!$H56)*NtoN2O*kgtoGg,"ERROR"))</f>
        <v>1.3553758249782499E-2</v>
      </c>
      <c r="AJ1101" s="93">
        <f>IF('Net zero activities &amp; levers'!$C$14="Off",('Activity data'!BC7*EF!$H38*EF!$H56)*NtoN2O*kgtoGg,IF('Net zero activities &amp; levers'!$C$14="On",('Net zero Activity data'!BC7*EF!$H38*EF!$H56)*NtoN2O*kgtoGg,"ERROR"))</f>
        <v>1.3702582199153161E-2</v>
      </c>
      <c r="AK1101" s="93">
        <f>IF('Net zero activities &amp; levers'!$C$14="Off",('Activity data'!BD7*EF!$H38*EF!$H56)*NtoN2O*kgtoGg,IF('Net zero activities &amp; levers'!$C$14="On",('Net zero Activity data'!BD7*EF!$H38*EF!$H56)*NtoN2O*kgtoGg,"ERROR"))</f>
        <v>1.3847410095481636E-2</v>
      </c>
      <c r="AL1101" s="93">
        <f>IF('Net zero activities &amp; levers'!$C$14="Off",('Activity data'!BE7*EF!$H38*EF!$H56)*NtoN2O*kgtoGg,IF('Net zero activities &amp; levers'!$C$14="On",('Net zero Activity data'!BE7*EF!$H38*EF!$H56)*NtoN2O*kgtoGg,"ERROR"))</f>
        <v>1.4001007096360315E-2</v>
      </c>
      <c r="AM1101" s="93">
        <f>IF('Net zero activities &amp; levers'!$C$14="Off",('Activity data'!BF7*EF!$H38*EF!$H56)*NtoN2O*kgtoGg,IF('Net zero activities &amp; levers'!$C$14="On",('Net zero Activity data'!BF7*EF!$H38*EF!$H56)*NtoN2O*kgtoGg,"ERROR"))</f>
        <v>1.4156812075155119E-2</v>
      </c>
      <c r="AN1101" s="93">
        <f>IF('Net zero activities &amp; levers'!$C$14="Off",('Activity data'!BG7*EF!$H38*EF!$H56)*NtoN2O*kgtoGg,IF('Net zero activities &amp; levers'!$C$14="On",('Net zero Activity data'!BG7*EF!$H38*EF!$H56)*NtoN2O*kgtoGg,"ERROR"))</f>
        <v>1.432899952868179E-2</v>
      </c>
      <c r="AO1101" s="93">
        <f>IF('Net zero activities &amp; levers'!$C$14="Off",('Activity data'!BH7*EF!$H38*EF!$H56)*NtoN2O*kgtoGg,IF('Net zero activities &amp; levers'!$C$14="On",('Net zero Activity data'!BH7*EF!$H38*EF!$H56)*NtoN2O*kgtoGg,"ERROR"))</f>
        <v>1.4495305843219548E-2</v>
      </c>
      <c r="AP1101" s="93">
        <f>IF('Net zero activities &amp; levers'!$C$14="Off",('Activity data'!BI7*EF!$H38*EF!$H56)*NtoN2O*kgtoGg,IF('Net zero activities &amp; levers'!$C$14="On",('Net zero Activity data'!BI7*EF!$H38*EF!$H56)*NtoN2O*kgtoGg,"ERROR"))</f>
        <v>1.4665565655026861E-2</v>
      </c>
      <c r="AQ1101" s="93">
        <f>IF('Net zero activities &amp; levers'!$C$14="Off",('Activity data'!BJ7*EF!$H38*EF!$H56)*NtoN2O*kgtoGg,IF('Net zero activities &amp; levers'!$C$14="On",('Net zero Activity data'!BJ7*EF!$H38*EF!$H56)*NtoN2O*kgtoGg,"ERROR"))</f>
        <v>1.4842360558234895E-2</v>
      </c>
      <c r="AR1101" s="93">
        <f>IF('Net zero activities &amp; levers'!$C$14="Off",('Activity data'!BK7*EF!$H38*EF!$H56)*NtoN2O*kgtoGg,IF('Net zero activities &amp; levers'!$C$14="On",('Net zero Activity data'!BK7*EF!$H38*EF!$H56)*NtoN2O*kgtoGg,"ERROR"))</f>
        <v>1.5026701287433988E-2</v>
      </c>
      <c r="AS1101" s="93">
        <f>IF('Net zero activities &amp; levers'!$C$14="Off",('Activity data'!BL7*EF!$H38*EF!$H56)*NtoN2O*kgtoGg,IF('Net zero activities &amp; levers'!$C$14="On",('Net zero Activity data'!BL7*EF!$H38*EF!$H56)*NtoN2O*kgtoGg,"ERROR"))</f>
        <v>1.5231963317255199E-2</v>
      </c>
      <c r="AT1101" s="93">
        <f>IF('Net zero activities &amp; levers'!$C$14="Off",('Activity data'!BM7*EF!$H38*EF!$H56)*NtoN2O*kgtoGg,IF('Net zero activities &amp; levers'!$C$14="On",('Net zero Activity data'!BM7*EF!$H38*EF!$H56)*NtoN2O*kgtoGg,"ERROR"))</f>
        <v>1.5372349776949124E-2</v>
      </c>
      <c r="AU1101" s="93">
        <f>IF('Net zero activities &amp; levers'!$C$14="Off",('Activity data'!BN7*EF!$H38*EF!$H56)*NtoN2O*kgtoGg,IF('Net zero activities &amp; levers'!$C$14="On",('Net zero Activity data'!BN7*EF!$H38*EF!$H56)*NtoN2O*kgtoGg,"ERROR"))</f>
        <v>1.550950752955876E-2</v>
      </c>
      <c r="AV1101" s="93">
        <f>IF('Net zero activities &amp; levers'!$C$14="Off",('Activity data'!BO7*EF!$H38*EF!$H56)*NtoN2O*kgtoGg,IF('Net zero activities &amp; levers'!$C$14="On",('Net zero Activity data'!BO7*EF!$H38*EF!$H56)*NtoN2O*kgtoGg,"ERROR"))</f>
        <v>1.5650551836822808E-2</v>
      </c>
      <c r="AW1101" s="93">
        <f>IF('Net zero activities &amp; levers'!$C$14="Off",('Activity data'!BP7*EF!$H38*EF!$H56)*NtoN2O*kgtoGg,IF('Net zero activities &amp; levers'!$C$14="On",('Net zero Activity data'!BP7*EF!$H38*EF!$H56)*NtoN2O*kgtoGg,"ERROR"))</f>
        <v>1.5792472128065831E-2</v>
      </c>
      <c r="AY1101" s="79"/>
    </row>
    <row r="1102" spans="1:51" x14ac:dyDescent="0.2">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0.52525224947331306</v>
      </c>
      <c r="L1102" s="93">
        <f>IF('Net zero activities &amp; levers'!$C$14="Off",('Activity data'!AE8*EF!$H39*EF!$H57)*NtoN2O*kgtoGg,IF('Net zero activities &amp; levers'!$C$14="On",('Net zero Activity data'!AE8*EF!$H39*EF!$H57)*NtoN2O*kgtoGg,"ERROR"))</f>
        <v>0.5206969044571037</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0.50197358865556707</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0.41630918721469751</v>
      </c>
      <c r="T1102" s="93">
        <f>IF('Net zero activities &amp; levers'!$C$14="Off",('Activity data'!AM8*EF!$H39*EF!$H57)*NtoN2O*kgtoGg,IF('Net zero activities &amp; levers'!$C$14="On",('Net zero Activity data'!AM8*EF!$H39*EF!$H57)*NtoN2O*kgtoGg,"ERROR"))</f>
        <v>0.4242723493279994</v>
      </c>
      <c r="U1102" s="93">
        <f>IF('Net zero activities &amp; levers'!$C$14="Off",('Activity data'!AN8*EF!$H39*EF!$H57)*NtoN2O*kgtoGg,IF('Net zero activities &amp; levers'!$C$14="On",('Net zero Activity data'!AN8*EF!$H39*EF!$H57)*NtoN2O*kgtoGg,"ERROR"))</f>
        <v>0.42852994772024217</v>
      </c>
      <c r="V1102" s="93">
        <f>IF('Net zero activities &amp; levers'!$C$14="Off",('Activity data'!AO8*EF!$H39*EF!$H57)*NtoN2O*kgtoGg,IF('Net zero activities &amp; levers'!$C$14="On",('Net zero Activity data'!AO8*EF!$H39*EF!$H57)*NtoN2O*kgtoGg,"ERROR"))</f>
        <v>0.43180740758836011</v>
      </c>
      <c r="W1102" s="93">
        <f>IF('Net zero activities &amp; levers'!$C$14="Off",('Activity data'!AP8*EF!$H39*EF!$H57)*NtoN2O*kgtoGg,IF('Net zero activities &amp; levers'!$C$14="On",('Net zero Activity data'!AP8*EF!$H39*EF!$H57)*NtoN2O*kgtoGg,"ERROR"))</f>
        <v>0.43654938286292333</v>
      </c>
      <c r="X1102" s="93">
        <f>IF('Net zero activities &amp; levers'!$C$14="Off",('Activity data'!AQ8*EF!$H39*EF!$H57)*NtoN2O*kgtoGg,IF('Net zero activities &amp; levers'!$C$14="On",('Net zero Activity data'!AQ8*EF!$H39*EF!$H57)*NtoN2O*kgtoGg,"ERROR"))</f>
        <v>0.44039774902333312</v>
      </c>
      <c r="Y1102" s="93">
        <f>IF('Net zero activities &amp; levers'!$C$14="Off",('Activity data'!AR8*EF!$H39*EF!$H57)*NtoN2O*kgtoGg,IF('Net zero activities &amp; levers'!$C$14="On",('Net zero Activity data'!AR8*EF!$H39*EF!$H57)*NtoN2O*kgtoGg,"ERROR"))</f>
        <v>0.44287861979972809</v>
      </c>
      <c r="Z1102" s="93">
        <f>IF('Net zero activities &amp; levers'!$C$14="Off",('Activity data'!AS8*EF!$H39*EF!$H57)*NtoN2O*kgtoGg,IF('Net zero activities &amp; levers'!$C$14="On",('Net zero Activity data'!AS8*EF!$H39*EF!$H57)*NtoN2O*kgtoGg,"ERROR"))</f>
        <v>0.44480979206932508</v>
      </c>
      <c r="AA1102" s="93">
        <f>IF('Net zero activities &amp; levers'!$C$14="Off",('Activity data'!AT8*EF!$H39*EF!$H57)*NtoN2O*kgtoGg,IF('Net zero activities &amp; levers'!$C$14="On",('Net zero Activity data'!AT8*EF!$H39*EF!$H57)*NtoN2O*kgtoGg,"ERROR"))</f>
        <v>0.44600669694391831</v>
      </c>
      <c r="AB1102" s="93">
        <f>IF('Net zero activities &amp; levers'!$C$14="Off",('Activity data'!AU8*EF!$H39*EF!$H57)*NtoN2O*kgtoGg,IF('Net zero activities &amp; levers'!$C$14="On",('Net zero Activity data'!AU8*EF!$H39*EF!$H57)*NtoN2O*kgtoGg,"ERROR"))</f>
        <v>0.44955000580259225</v>
      </c>
      <c r="AC1102" s="93">
        <f>IF('Net zero activities &amp; levers'!$C$14="Off",('Activity data'!AV8*EF!$H39*EF!$H57)*NtoN2O*kgtoGg,IF('Net zero activities &amp; levers'!$C$14="On",('Net zero Activity data'!AV8*EF!$H39*EF!$H57)*NtoN2O*kgtoGg,"ERROR"))</f>
        <v>0.45273812820401932</v>
      </c>
      <c r="AD1102" s="93">
        <f>IF('Net zero activities &amp; levers'!$C$14="Off",('Activity data'!AW8*EF!$H39*EF!$H57)*NtoN2O*kgtoGg,IF('Net zero activities &amp; levers'!$C$14="On",('Net zero Activity data'!AW8*EF!$H39*EF!$H57)*NtoN2O*kgtoGg,"ERROR"))</f>
        <v>0.45290255961235854</v>
      </c>
      <c r="AE1102" s="93">
        <f>IF('Net zero activities &amp; levers'!$C$14="Off",('Activity data'!AX8*EF!$H39*EF!$H57)*NtoN2O*kgtoGg,IF('Net zero activities &amp; levers'!$C$14="On",('Net zero Activity data'!AX8*EF!$H39*EF!$H57)*NtoN2O*kgtoGg,"ERROR"))</f>
        <v>0.45503830808408913</v>
      </c>
      <c r="AF1102" s="93">
        <f>IF('Net zero activities &amp; levers'!$C$14="Off",('Activity data'!AY8*EF!$H39*EF!$H57)*NtoN2O*kgtoGg,IF('Net zero activities &amp; levers'!$C$14="On",('Net zero Activity data'!AY8*EF!$H39*EF!$H57)*NtoN2O*kgtoGg,"ERROR"))</f>
        <v>0.45786255495032313</v>
      </c>
      <c r="AG1102" s="93">
        <f>IF('Net zero activities &amp; levers'!$C$14="Off",('Activity data'!AZ8*EF!$H39*EF!$H57)*NtoN2O*kgtoGg,IF('Net zero activities &amp; levers'!$C$14="On",('Net zero Activity data'!AZ8*EF!$H39*EF!$H57)*NtoN2O*kgtoGg,"ERROR"))</f>
        <v>0.46260418192872943</v>
      </c>
      <c r="AH1102" s="93">
        <f>IF('Net zero activities &amp; levers'!$C$14="Off",('Activity data'!BA8*EF!$H39*EF!$H57)*NtoN2O*kgtoGg,IF('Net zero activities &amp; levers'!$C$14="On",('Net zero Activity data'!BA8*EF!$H39*EF!$H57)*NtoN2O*kgtoGg,"ERROR"))</f>
        <v>0.46336149545626742</v>
      </c>
      <c r="AI1102" s="93">
        <f>IF('Net zero activities &amp; levers'!$C$14="Off",('Activity data'!BB8*EF!$H39*EF!$H57)*NtoN2O*kgtoGg,IF('Net zero activities &amp; levers'!$C$14="On",('Net zero Activity data'!BB8*EF!$H39*EF!$H57)*NtoN2O*kgtoGg,"ERROR"))</f>
        <v>0.46328199946784754</v>
      </c>
      <c r="AJ1102" s="93">
        <f>IF('Net zero activities &amp; levers'!$C$14="Off",('Activity data'!BC8*EF!$H39*EF!$H57)*NtoN2O*kgtoGg,IF('Net zero activities &amp; levers'!$C$14="On",('Net zero Activity data'!BC8*EF!$H39*EF!$H57)*NtoN2O*kgtoGg,"ERROR"))</f>
        <v>0.46397768547065105</v>
      </c>
      <c r="AK1102" s="93">
        <f>IF('Net zero activities &amp; levers'!$C$14="Off",('Activity data'!BD8*EF!$H39*EF!$H57)*NtoN2O*kgtoGg,IF('Net zero activities &amp; levers'!$C$14="On",('Net zero Activity data'!BD8*EF!$H39*EF!$H57)*NtoN2O*kgtoGg,"ERROR"))</f>
        <v>0.46384928130278269</v>
      </c>
      <c r="AL1102" s="93">
        <f>IF('Net zero activities &amp; levers'!$C$14="Off",('Activity data'!BE8*EF!$H39*EF!$H57)*NtoN2O*kgtoGg,IF('Net zero activities &amp; levers'!$C$14="On",('Net zero Activity data'!BE8*EF!$H39*EF!$H57)*NtoN2O*kgtoGg,"ERROR"))</f>
        <v>0.46394752613960677</v>
      </c>
      <c r="AM1102" s="93">
        <f>IF('Net zero activities &amp; levers'!$C$14="Off",('Activity data'!BF8*EF!$H39*EF!$H57)*NtoN2O*kgtoGg,IF('Net zero activities &amp; levers'!$C$14="On",('Net zero Activity data'!BF8*EF!$H39*EF!$H57)*NtoN2O*kgtoGg,"ERROR"))</f>
        <v>0.46372456195327277</v>
      </c>
      <c r="AN1102" s="93">
        <f>IF('Net zero activities &amp; levers'!$C$14="Off",('Activity data'!BG8*EF!$H39*EF!$H57)*NtoN2O*kgtoGg,IF('Net zero activities &amp; levers'!$C$14="On",('Net zero Activity data'!BG8*EF!$H39*EF!$H57)*NtoN2O*kgtoGg,"ERROR"))</f>
        <v>0.46705287296965353</v>
      </c>
      <c r="AO1102" s="93">
        <f>IF('Net zero activities &amp; levers'!$C$14="Off",('Activity data'!BH8*EF!$H39*EF!$H57)*NtoN2O*kgtoGg,IF('Net zero activities &amp; levers'!$C$14="On",('Net zero Activity data'!BH8*EF!$H39*EF!$H57)*NtoN2O*kgtoGg,"ERROR"))</f>
        <v>0.46948772142871509</v>
      </c>
      <c r="AP1102" s="93">
        <f>IF('Net zero activities &amp; levers'!$C$14="Off",('Activity data'!BI8*EF!$H39*EF!$H57)*NtoN2O*kgtoGg,IF('Net zero activities &amp; levers'!$C$14="On",('Net zero Activity data'!BI8*EF!$H39*EF!$H57)*NtoN2O*kgtoGg,"ERROR"))</f>
        <v>0.47178208531317378</v>
      </c>
      <c r="AQ1102" s="93">
        <f>IF('Net zero activities &amp; levers'!$C$14="Off",('Activity data'!BJ8*EF!$H39*EF!$H57)*NtoN2O*kgtoGg,IF('Net zero activities &amp; levers'!$C$14="On",('Net zero Activity data'!BJ8*EF!$H39*EF!$H57)*NtoN2O*kgtoGg,"ERROR"))</f>
        <v>0.47411151157933035</v>
      </c>
      <c r="AR1102" s="93">
        <f>IF('Net zero activities &amp; levers'!$C$14="Off",('Activity data'!BK8*EF!$H39*EF!$H57)*NtoN2O*kgtoGg,IF('Net zero activities &amp; levers'!$C$14="On",('Net zero Activity data'!BK8*EF!$H39*EF!$H57)*NtoN2O*kgtoGg,"ERROR"))</f>
        <v>0.47652651600833112</v>
      </c>
      <c r="AS1102" s="93">
        <f>IF('Net zero activities &amp; levers'!$C$14="Off",('Activity data'!BL8*EF!$H39*EF!$H57)*NtoN2O*kgtoGg,IF('Net zero activities &amp; levers'!$C$14="On",('Net zero Activity data'!BL8*EF!$H39*EF!$H57)*NtoN2O*kgtoGg,"ERROR"))</f>
        <v>0.48031110501678759</v>
      </c>
      <c r="AT1102" s="93">
        <f>IF('Net zero activities &amp; levers'!$C$14="Off",('Activity data'!BM8*EF!$H39*EF!$H57)*NtoN2O*kgtoGg,IF('Net zero activities &amp; levers'!$C$14="On",('Net zero Activity data'!BM8*EF!$H39*EF!$H57)*NtoN2O*kgtoGg,"ERROR"))</f>
        <v>0.47924514012499747</v>
      </c>
      <c r="AU1102" s="93">
        <f>IF('Net zero activities &amp; levers'!$C$14="Off",('Activity data'!BN8*EF!$H39*EF!$H57)*NtoN2O*kgtoGg,IF('Net zero activities &amp; levers'!$C$14="On",('Net zero Activity data'!BN8*EF!$H39*EF!$H57)*NtoN2O*kgtoGg,"ERROR"))</f>
        <v>0.47764693105288908</v>
      </c>
      <c r="AV1102" s="93">
        <f>IF('Net zero activities &amp; levers'!$C$14="Off",('Activity data'!BO8*EF!$H39*EF!$H57)*NtoN2O*kgtoGg,IF('Net zero activities &amp; levers'!$C$14="On",('Net zero Activity data'!BO8*EF!$H39*EF!$H57)*NtoN2O*kgtoGg,"ERROR"))</f>
        <v>0.47599161993934092</v>
      </c>
      <c r="AW1102" s="93">
        <f>IF('Net zero activities &amp; levers'!$C$14="Off",('Activity data'!BP8*EF!$H39*EF!$H57)*NtoN2O*kgtoGg,IF('Net zero activities &amp; levers'!$C$14="On",('Net zero Activity data'!BP8*EF!$H39*EF!$H57)*NtoN2O*kgtoGg,"ERROR"))</f>
        <v>0.4740811431084902</v>
      </c>
      <c r="AY1102" s="79"/>
    </row>
    <row r="1103" spans="1:51" x14ac:dyDescent="0.2">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0.80452586370517887</v>
      </c>
      <c r="L1103" s="93">
        <f>IF('Net zero activities &amp; levers'!$C$14="Off",('Activity data'!AE9*EF!$H40*EF!$H58)*NtoN2O*kgtoGg,IF('Net zero activities &amp; levers'!$C$14="On",('Net zero Activity data'!AE9*EF!$H40*EF!$H58)*NtoN2O*kgtoGg,"ERROR"))</f>
        <v>0.79754846782098077</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0.76887007218962333</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0.63765839888958464</v>
      </c>
      <c r="T1103" s="93">
        <f>IF('Net zero activities &amp; levers'!$C$14="Off",('Activity data'!AM9*EF!$H40*EF!$H58)*NtoN2O*kgtoGg,IF('Net zero activities &amp; levers'!$C$14="On",('Net zero Activity data'!AM9*EF!$H40*EF!$H58)*NtoN2O*kgtoGg,"ERROR"))</f>
        <v>0.64985552871330754</v>
      </c>
      <c r="U1103" s="93">
        <f>IF('Net zero activities &amp; levers'!$C$14="Off",('Activity data'!AN9*EF!$H40*EF!$H58)*NtoN2O*kgtoGg,IF('Net zero activities &amp; levers'!$C$14="On",('Net zero Activity data'!AN9*EF!$H40*EF!$H58)*NtoN2O*kgtoGg,"ERROR"))</f>
        <v>0.65637686779803062</v>
      </c>
      <c r="V1103" s="93">
        <f>IF('Net zero activities &amp; levers'!$C$14="Off",('Activity data'!AO9*EF!$H40*EF!$H58)*NtoN2O*kgtoGg,IF('Net zero activities &amp; levers'!$C$14="On",('Net zero Activity data'!AO9*EF!$H40*EF!$H58)*NtoN2O*kgtoGg,"ERROR"))</f>
        <v>0.66139693431616664</v>
      </c>
      <c r="W1103" s="93">
        <f>IF('Net zero activities &amp; levers'!$C$14="Off",('Activity data'!AP9*EF!$H40*EF!$H58)*NtoN2O*kgtoGg,IF('Net zero activities &amp; levers'!$C$14="On",('Net zero Activity data'!AP9*EF!$H40*EF!$H58)*NtoN2O*kgtoGg,"ERROR"))</f>
        <v>0.66866019069871818</v>
      </c>
      <c r="X1103" s="93">
        <f>IF('Net zero activities &amp; levers'!$C$14="Off",('Activity data'!AQ9*EF!$H40*EF!$H58)*NtoN2O*kgtoGg,IF('Net zero activities &amp; levers'!$C$14="On",('Net zero Activity data'!AQ9*EF!$H40*EF!$H58)*NtoN2O*kgtoGg,"ERROR"))</f>
        <v>0.67455471111659759</v>
      </c>
      <c r="Y1103" s="93">
        <f>IF('Net zero activities &amp; levers'!$C$14="Off",('Activity data'!AR9*EF!$H40*EF!$H58)*NtoN2O*kgtoGg,IF('Net zero activities &amp; levers'!$C$14="On",('Net zero Activity data'!AR9*EF!$H40*EF!$H58)*NtoN2O*kgtoGg,"ERROR"))</f>
        <v>0.67835464668302581</v>
      </c>
      <c r="Z1103" s="93">
        <f>IF('Net zero activities &amp; levers'!$C$14="Off",('Activity data'!AS9*EF!$H40*EF!$H58)*NtoN2O*kgtoGg,IF('Net zero activities &amp; levers'!$C$14="On",('Net zero Activity data'!AS9*EF!$H40*EF!$H58)*NtoN2O*kgtoGg,"ERROR"))</f>
        <v>0.68131261219334738</v>
      </c>
      <c r="AA1103" s="93">
        <f>IF('Net zero activities &amp; levers'!$C$14="Off",('Activity data'!AT9*EF!$H40*EF!$H58)*NtoN2O*kgtoGg,IF('Net zero activities &amp; levers'!$C$14="On",('Net zero Activity data'!AT9*EF!$H40*EF!$H58)*NtoN2O*kgtoGg,"ERROR"))</f>
        <v>0.68314590453806523</v>
      </c>
      <c r="AB1103" s="93">
        <f>IF('Net zero activities &amp; levers'!$C$14="Off",('Activity data'!AU9*EF!$H40*EF!$H58)*NtoN2O*kgtoGg,IF('Net zero activities &amp; levers'!$C$14="On",('Net zero Activity data'!AU9*EF!$H40*EF!$H58)*NtoN2O*kgtoGg,"ERROR"))</f>
        <v>0.68857317043317978</v>
      </c>
      <c r="AC1103" s="93">
        <f>IF('Net zero activities &amp; levers'!$C$14="Off",('Activity data'!AV9*EF!$H40*EF!$H58)*NtoN2O*kgtoGg,IF('Net zero activities &amp; levers'!$C$14="On",('Net zero Activity data'!AV9*EF!$H40*EF!$H58)*NtoN2O*kgtoGg,"ERROR"))</f>
        <v>0.69345639926499891</v>
      </c>
      <c r="AD1103" s="93">
        <f>IF('Net zero activities &amp; levers'!$C$14="Off",('Activity data'!AW9*EF!$H40*EF!$H58)*NtoN2O*kgtoGg,IF('Net zero activities &amp; levers'!$C$14="On",('Net zero Activity data'!AW9*EF!$H40*EF!$H58)*NtoN2O*kgtoGg,"ERROR"))</f>
        <v>0.69370825791186275</v>
      </c>
      <c r="AE1103" s="93">
        <f>IF('Net zero activities &amp; levers'!$C$14="Off",('Activity data'!AX9*EF!$H40*EF!$H58)*NtoN2O*kgtoGg,IF('Net zero activities &amp; levers'!$C$14="On",('Net zero Activity data'!AX9*EF!$H40*EF!$H58)*NtoN2O*kgtoGg,"ERROR"))</f>
        <v>0.69697957161989321</v>
      </c>
      <c r="AF1103" s="93">
        <f>IF('Net zero activities &amp; levers'!$C$14="Off",('Activity data'!AY9*EF!$H40*EF!$H58)*NtoN2O*kgtoGg,IF('Net zero activities &amp; levers'!$C$14="On",('Net zero Activity data'!AY9*EF!$H40*EF!$H58)*NtoN2O*kgtoGg,"ERROR"))</f>
        <v>0.70130545437746739</v>
      </c>
      <c r="AG1103" s="93">
        <f>IF('Net zero activities &amp; levers'!$C$14="Off",('Activity data'!AZ9*EF!$H40*EF!$H58)*NtoN2O*kgtoGg,IF('Net zero activities &amp; levers'!$C$14="On",('Net zero Activity data'!AZ9*EF!$H40*EF!$H58)*NtoN2O*kgtoGg,"ERROR"))</f>
        <v>0.70856817727678933</v>
      </c>
      <c r="AH1103" s="93">
        <f>IF('Net zero activities &amp; levers'!$C$14="Off",('Activity data'!BA9*EF!$H40*EF!$H58)*NtoN2O*kgtoGg,IF('Net zero activities &amp; levers'!$C$14="On",('Net zero Activity data'!BA9*EF!$H40*EF!$H58)*NtoN2O*kgtoGg,"ERROR"))</f>
        <v>0.70972815007166834</v>
      </c>
      <c r="AI1103" s="93">
        <f>IF('Net zero activities &amp; levers'!$C$14="Off",('Activity data'!BB9*EF!$H40*EF!$H58)*NtoN2O*kgtoGg,IF('Net zero activities &amp; levers'!$C$14="On",('Net zero Activity data'!BB9*EF!$H40*EF!$H58)*NtoN2O*kgtoGg,"ERROR"))</f>
        <v>0.70960638652128127</v>
      </c>
      <c r="AJ1103" s="93">
        <f>IF('Net zero activities &amp; levers'!$C$14="Off",('Activity data'!BC9*EF!$H40*EF!$H58)*NtoN2O*kgtoGg,IF('Net zero activities &amp; levers'!$C$14="On",('Net zero Activity data'!BC9*EF!$H40*EF!$H58)*NtoN2O*kgtoGg,"ERROR"))</f>
        <v>0.71067196478931216</v>
      </c>
      <c r="AK1103" s="93">
        <f>IF('Net zero activities &amp; levers'!$C$14="Off",('Activity data'!BD9*EF!$H40*EF!$H58)*NtoN2O*kgtoGg,IF('Net zero activities &amp; levers'!$C$14="On",('Net zero Activity data'!BD9*EF!$H40*EF!$H58)*NtoN2O*kgtoGg,"ERROR"))</f>
        <v>0.71047528886043954</v>
      </c>
      <c r="AL1103" s="93">
        <f>IF('Net zero activities &amp; levers'!$C$14="Off",('Activity data'!BE9*EF!$H40*EF!$H58)*NtoN2O*kgtoGg,IF('Net zero activities &amp; levers'!$C$14="On",('Net zero Activity data'!BE9*EF!$H40*EF!$H58)*NtoN2O*kgtoGg,"ERROR"))</f>
        <v>0.71062576991459914</v>
      </c>
      <c r="AM1103" s="93">
        <f>IF('Net zero activities &amp; levers'!$C$14="Off",('Activity data'!BF9*EF!$H40*EF!$H58)*NtoN2O*kgtoGg,IF('Net zero activities &amp; levers'!$C$14="On",('Net zero Activity data'!BF9*EF!$H40*EF!$H58)*NtoN2O*kgtoGg,"ERROR"))</f>
        <v>0.71028425694675268</v>
      </c>
      <c r="AN1103" s="93">
        <f>IF('Net zero activities &amp; levers'!$C$14="Off",('Activity data'!BG9*EF!$H40*EF!$H58)*NtoN2O*kgtoGg,IF('Net zero activities &amp; levers'!$C$14="On",('Net zero Activity data'!BG9*EF!$H40*EF!$H58)*NtoN2O*kgtoGg,"ERROR"))</f>
        <v>0.71538221187758488</v>
      </c>
      <c r="AO1103" s="93">
        <f>IF('Net zero activities &amp; levers'!$C$14="Off",('Activity data'!BH9*EF!$H40*EF!$H58)*NtoN2O*kgtoGg,IF('Net zero activities &amp; levers'!$C$14="On",('Net zero Activity data'!BH9*EF!$H40*EF!$H58)*NtoN2O*kgtoGg,"ERROR"))</f>
        <v>0.71911165532400878</v>
      </c>
      <c r="AP1103" s="93">
        <f>IF('Net zero activities &amp; levers'!$C$14="Off",('Activity data'!BI9*EF!$H40*EF!$H58)*NtoN2O*kgtoGg,IF('Net zero activities &amp; levers'!$C$14="On",('Net zero Activity data'!BI9*EF!$H40*EF!$H58)*NtoN2O*kgtoGg,"ERROR"))</f>
        <v>0.7226259193517196</v>
      </c>
      <c r="AQ1103" s="93">
        <f>IF('Net zero activities &amp; levers'!$C$14="Off",('Activity data'!BJ9*EF!$H40*EF!$H58)*NtoN2O*kgtoGg,IF('Net zero activities &amp; levers'!$C$14="On",('Net zero Activity data'!BJ9*EF!$H40*EF!$H58)*NtoN2O*kgtoGg,"ERROR"))</f>
        <v>0.72619388822876152</v>
      </c>
      <c r="AR1103" s="93">
        <f>IF('Net zero activities &amp; levers'!$C$14="Off",('Activity data'!BK9*EF!$H40*EF!$H58)*NtoN2O*kgtoGg,IF('Net zero activities &amp; levers'!$C$14="On",('Net zero Activity data'!BK9*EF!$H40*EF!$H58)*NtoN2O*kgtoGg,"ERROR"))</f>
        <v>0.72989293668793909</v>
      </c>
      <c r="AS1103" s="93">
        <f>IF('Net zero activities &amp; levers'!$C$14="Off",('Activity data'!BL9*EF!$H40*EF!$H58)*NtoN2O*kgtoGg,IF('Net zero activities &amp; levers'!$C$14="On",('Net zero Activity data'!BL9*EF!$H40*EF!$H58)*NtoN2O*kgtoGg,"ERROR"))</f>
        <v>0.73568977000726443</v>
      </c>
      <c r="AT1103" s="93">
        <f>IF('Net zero activities &amp; levers'!$C$14="Off",('Activity data'!BM9*EF!$H40*EF!$H58)*NtoN2O*kgtoGg,IF('Net zero activities &amp; levers'!$C$14="On",('Net zero Activity data'!BM9*EF!$H40*EF!$H58)*NtoN2O*kgtoGg,"ERROR"))</f>
        <v>0.73405703768463881</v>
      </c>
      <c r="AU1103" s="93">
        <f>IF('Net zero activities &amp; levers'!$C$14="Off",('Activity data'!BN9*EF!$H40*EF!$H58)*NtoN2O*kgtoGg,IF('Net zero activities &amp; levers'!$C$14="On",('Net zero Activity data'!BN9*EF!$H40*EF!$H58)*NtoN2O*kgtoGg,"ERROR"))</f>
        <v>0.73160906999785846</v>
      </c>
      <c r="AV1103" s="93">
        <f>IF('Net zero activities &amp; levers'!$C$14="Off",('Activity data'!BO9*EF!$H40*EF!$H58)*NtoN2O*kgtoGg,IF('Net zero activities &amp; levers'!$C$14="On",('Net zero Activity data'!BO9*EF!$H40*EF!$H58)*NtoN2O*kgtoGg,"ERROR"))</f>
        <v>0.72907363944108583</v>
      </c>
      <c r="AW1103" s="93">
        <f>IF('Net zero activities &amp; levers'!$C$14="Off",('Activity data'!BP9*EF!$H40*EF!$H58)*NtoN2O*kgtoGg,IF('Net zero activities &amp; levers'!$C$14="On",('Net zero Activity data'!BP9*EF!$H40*EF!$H58)*NtoN2O*kgtoGg,"ERROR"))</f>
        <v>0.72614737301582033</v>
      </c>
      <c r="AY1103" s="79"/>
    </row>
    <row r="1104" spans="1:51" x14ac:dyDescent="0.2">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1.0122801448609147</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1.1032367943433716</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1.0731659766272925</v>
      </c>
      <c r="T1104" s="93">
        <f>IF('Net zero activities &amp; levers'!$C$14="Off",('Activity data'!AM10*EF!$H41*EF!$H59)*NtoN2O*kgtoGg,IF('Net zero activities &amp; levers'!$C$14="On",('Net zero Activity data'!AM10*EF!$H41*EF!$H59)*NtoN2O*kgtoGg,"ERROR"))</f>
        <v>1.1200435177813</v>
      </c>
      <c r="U1104" s="93">
        <f>IF('Net zero activities &amp; levers'!$C$14="Off",('Activity data'!AN10*EF!$H41*EF!$H59)*NtoN2O*kgtoGg,IF('Net zero activities &amp; levers'!$C$14="On",('Net zero Activity data'!AN10*EF!$H41*EF!$H59)*NtoN2O*kgtoGg,"ERROR"))</f>
        <v>1.1581646088835691</v>
      </c>
      <c r="V1104" s="93">
        <f>IF('Net zero activities &amp; levers'!$C$14="Off",('Activity data'!AO10*EF!$H41*EF!$H59)*NtoN2O*kgtoGg,IF('Net zero activities &amp; levers'!$C$14="On",('Net zero Activity data'!AO10*EF!$H41*EF!$H59)*NtoN2O*kgtoGg,"ERROR"))</f>
        <v>1.1944005912440496</v>
      </c>
      <c r="W1104" s="93">
        <f>IF('Net zero activities &amp; levers'!$C$14="Off",('Activity data'!AP10*EF!$H41*EF!$H59)*NtoN2O*kgtoGg,IF('Net zero activities &amp; levers'!$C$14="On",('Net zero Activity data'!AP10*EF!$H41*EF!$H59)*NtoN2O*kgtoGg,"ERROR"))</f>
        <v>1.2355118571945767</v>
      </c>
      <c r="X1104" s="93">
        <f>IF('Net zero activities &amp; levers'!$C$14="Off",('Activity data'!AQ10*EF!$H41*EF!$H59)*NtoN2O*kgtoGg,IF('Net zero activities &amp; levers'!$C$14="On",('Net zero Activity data'!AQ10*EF!$H41*EF!$H59)*NtoN2O*kgtoGg,"ERROR"))</f>
        <v>1.2749845608108272</v>
      </c>
      <c r="Y1104" s="93">
        <f>IF('Net zero activities &amp; levers'!$C$14="Off",('Activity data'!AR10*EF!$H41*EF!$H59)*NtoN2O*kgtoGg,IF('Net zero activities &amp; levers'!$C$14="On",('Net zero Activity data'!AR10*EF!$H41*EF!$H59)*NtoN2O*kgtoGg,"ERROR"))</f>
        <v>1.3112710404440306</v>
      </c>
      <c r="Z1104" s="93">
        <f>IF('Net zero activities &amp; levers'!$C$14="Off",('Activity data'!AS10*EF!$H41*EF!$H59)*NtoN2O*kgtoGg,IF('Net zero activities &amp; levers'!$C$14="On",('Net zero Activity data'!AS10*EF!$H41*EF!$H59)*NtoN2O*kgtoGg,"ERROR"))</f>
        <v>1.3466036234744594</v>
      </c>
      <c r="AA1104" s="93">
        <f>IF('Net zero activities &amp; levers'!$C$14="Off",('Activity data'!AT10*EF!$H41*EF!$H59)*NtoN2O*kgtoGg,IF('Net zero activities &amp; levers'!$C$14="On",('Net zero Activity data'!AT10*EF!$H41*EF!$H59)*NtoN2O*kgtoGg,"ERROR"))</f>
        <v>1.3803261318564077</v>
      </c>
      <c r="AB1104" s="93">
        <f>IF('Net zero activities &amp; levers'!$C$14="Off",('Activity data'!AU10*EF!$H41*EF!$H59)*NtoN2O*kgtoGg,IF('Net zero activities &amp; levers'!$C$14="On",('Net zero Activity data'!AU10*EF!$H41*EF!$H59)*NtoN2O*kgtoGg,"ERROR"))</f>
        <v>1.4220578435636848</v>
      </c>
      <c r="AC1104" s="93">
        <f>IF('Net zero activities &amp; levers'!$C$14="Off",('Activity data'!AV10*EF!$H41*EF!$H59)*NtoN2O*kgtoGg,IF('Net zero activities &amp; levers'!$C$14="On",('Net zero Activity data'!AV10*EF!$H41*EF!$H59)*NtoN2O*kgtoGg,"ERROR"))</f>
        <v>1.4635769863229917</v>
      </c>
      <c r="AD1104" s="93">
        <f>IF('Net zero activities &amp; levers'!$C$14="Off",('Activity data'!AW10*EF!$H41*EF!$H59)*NtoN2O*kgtoGg,IF('Net zero activities &amp; levers'!$C$14="On",('Net zero Activity data'!AW10*EF!$H41*EF!$H59)*NtoN2O*kgtoGg,"ERROR"))</f>
        <v>1.5126623536535566</v>
      </c>
      <c r="AE1104" s="93">
        <f>IF('Net zero activities &amp; levers'!$C$14="Off",('Activity data'!AX10*EF!$H41*EF!$H59)*NtoN2O*kgtoGg,IF('Net zero activities &amp; levers'!$C$14="On",('Net zero Activity data'!AX10*EF!$H41*EF!$H59)*NtoN2O*kgtoGg,"ERROR"))</f>
        <v>1.5702927620533913</v>
      </c>
      <c r="AF1104" s="93">
        <f>IF('Net zero activities &amp; levers'!$C$14="Off",('Activity data'!AY10*EF!$H41*EF!$H59)*NtoN2O*kgtoGg,IF('Net zero activities &amp; levers'!$C$14="On",('Net zero Activity data'!AY10*EF!$H41*EF!$H59)*NtoN2O*kgtoGg,"ERROR"))</f>
        <v>1.6326718662100064</v>
      </c>
      <c r="AG1104" s="93">
        <f>IF('Net zero activities &amp; levers'!$C$14="Off",('Activity data'!AZ10*EF!$H41*EF!$H59)*NtoN2O*kgtoGg,IF('Net zero activities &amp; levers'!$C$14="On",('Net zero Activity data'!AZ10*EF!$H41*EF!$H59)*NtoN2O*kgtoGg,"ERROR"))</f>
        <v>1.7047038536562504</v>
      </c>
      <c r="AH1104" s="93">
        <f>IF('Net zero activities &amp; levers'!$C$14="Off",('Activity data'!BA10*EF!$H41*EF!$H59)*NtoN2O*kgtoGg,IF('Net zero activities &amp; levers'!$C$14="On",('Net zero Activity data'!BA10*EF!$H41*EF!$H59)*NtoN2O*kgtoGg,"ERROR"))</f>
        <v>1.7647703233064436</v>
      </c>
      <c r="AI1104" s="93">
        <f>IF('Net zero activities &amp; levers'!$C$14="Off",('Activity data'!BB10*EF!$H41*EF!$H59)*NtoN2O*kgtoGg,IF('Net zero activities &amp; levers'!$C$14="On",('Net zero Activity data'!BB10*EF!$H41*EF!$H59)*NtoN2O*kgtoGg,"ERROR"))</f>
        <v>1.823914760279997</v>
      </c>
      <c r="AJ1104" s="93">
        <f>IF('Net zero activities &amp; levers'!$C$14="Off",('Activity data'!BC10*EF!$H41*EF!$H59)*NtoN2O*kgtoGg,IF('Net zero activities &amp; levers'!$C$14="On",('Net zero Activity data'!BC10*EF!$H41*EF!$H59)*NtoN2O*kgtoGg,"ERROR"))</f>
        <v>1.8885037105241573</v>
      </c>
      <c r="AK1104" s="93">
        <f>IF('Net zero activities &amp; levers'!$C$14="Off",('Activity data'!BD10*EF!$H41*EF!$H59)*NtoN2O*kgtoGg,IF('Net zero activities &amp; levers'!$C$14="On",('Net zero Activity data'!BD10*EF!$H41*EF!$H59)*NtoN2O*kgtoGg,"ERROR"))</f>
        <v>1.9522655918668117</v>
      </c>
      <c r="AL1104" s="93">
        <f>IF('Net zero activities &amp; levers'!$C$14="Off",('Activity data'!BE10*EF!$H41*EF!$H59)*NtoN2O*kgtoGg,IF('Net zero activities &amp; levers'!$C$14="On",('Net zero Activity data'!BE10*EF!$H41*EF!$H59)*NtoN2O*kgtoGg,"ERROR"))</f>
        <v>2.0195785012565346</v>
      </c>
      <c r="AM1104" s="93">
        <f>IF('Net zero activities &amp; levers'!$C$14="Off",('Activity data'!BF10*EF!$H41*EF!$H59)*NtoN2O*kgtoGg,IF('Net zero activities &amp; levers'!$C$14="On",('Net zero Activity data'!BF10*EF!$H41*EF!$H59)*NtoN2O*kgtoGg,"ERROR"))</f>
        <v>2.0882359976906724</v>
      </c>
      <c r="AN1104" s="93">
        <f>IF('Net zero activities &amp; levers'!$C$14="Off",('Activity data'!BG10*EF!$H41*EF!$H59)*NtoN2O*kgtoGg,IF('Net zero activities &amp; levers'!$C$14="On",('Net zero Activity data'!BG10*EF!$H41*EF!$H59)*NtoN2O*kgtoGg,"ERROR"))</f>
        <v>2.1625669468600144</v>
      </c>
      <c r="AO1104" s="93">
        <f>IF('Net zero activities &amp; levers'!$C$14="Off",('Activity data'!BH10*EF!$H41*EF!$H59)*NtoN2O*kgtoGg,IF('Net zero activities &amp; levers'!$C$14="On",('Net zero Activity data'!BH10*EF!$H41*EF!$H59)*NtoN2O*kgtoGg,"ERROR"))</f>
        <v>2.2353883436386872</v>
      </c>
      <c r="AP1104" s="93">
        <f>IF('Net zero activities &amp; levers'!$C$14="Off",('Activity data'!BI10*EF!$H41*EF!$H59)*NtoN2O*kgtoGg,IF('Net zero activities &amp; levers'!$C$14="On",('Net zero Activity data'!BI10*EF!$H41*EF!$H59)*NtoN2O*kgtoGg,"ERROR"))</f>
        <v>2.310159637098629</v>
      </c>
      <c r="AQ1104" s="93">
        <f>IF('Net zero activities &amp; levers'!$C$14="Off",('Activity data'!BJ10*EF!$H41*EF!$H59)*NtoN2O*kgtoGg,IF('Net zero activities &amp; levers'!$C$14="On",('Net zero Activity data'!BJ10*EF!$H41*EF!$H59)*NtoN2O*kgtoGg,"ERROR"))</f>
        <v>2.387837748545981</v>
      </c>
      <c r="AR1104" s="93">
        <f>IF('Net zero activities &amp; levers'!$C$14="Off",('Activity data'!BK10*EF!$H41*EF!$H59)*NtoN2O*kgtoGg,IF('Net zero activities &amp; levers'!$C$14="On",('Net zero Activity data'!BK10*EF!$H41*EF!$H59)*NtoN2O*kgtoGg,"ERROR"))</f>
        <v>2.4688377318111754</v>
      </c>
      <c r="AS1104" s="93">
        <f>IF('Net zero activities &amp; levers'!$C$14="Off",('Activity data'!BL10*EF!$H41*EF!$H59)*NtoN2O*kgtoGg,IF('Net zero activities &amp; levers'!$C$14="On",('Net zero Activity data'!BL10*EF!$H41*EF!$H59)*NtoN2O*kgtoGg,"ERROR"))</f>
        <v>2.5601896833945608</v>
      </c>
      <c r="AT1104" s="93">
        <f>IF('Net zero activities &amp; levers'!$C$14="Off",('Activity data'!BM10*EF!$H41*EF!$H59)*NtoN2O*kgtoGg,IF('Net zero activities &amp; levers'!$C$14="On",('Net zero Activity data'!BM10*EF!$H41*EF!$H59)*NtoN2O*kgtoGg,"ERROR"))</f>
        <v>2.6285710200523447</v>
      </c>
      <c r="AU1104" s="93">
        <f>IF('Net zero activities &amp; levers'!$C$14="Off",('Activity data'!BN10*EF!$H41*EF!$H59)*NtoN2O*kgtoGg,IF('Net zero activities &amp; levers'!$C$14="On",('Net zero Activity data'!BN10*EF!$H41*EF!$H59)*NtoN2O*kgtoGg,"ERROR"))</f>
        <v>2.6962215322627681</v>
      </c>
      <c r="AV1104" s="93">
        <f>IF('Net zero activities &amp; levers'!$C$14="Off",('Activity data'!BO10*EF!$H41*EF!$H59)*NtoN2O*kgtoGg,IF('Net zero activities &amp; levers'!$C$14="On",('Net zero Activity data'!BO10*EF!$H41*EF!$H59)*NtoN2O*kgtoGg,"ERROR"))</f>
        <v>2.7657590792696469</v>
      </c>
      <c r="AW1104" s="93">
        <f>IF('Net zero activities &amp; levers'!$C$14="Off",('Activity data'!BP10*EF!$H41*EF!$H59)*NtoN2O*kgtoGg,IF('Net zero activities &amp; levers'!$C$14="On",('Net zero Activity data'!BP10*EF!$H41*EF!$H59)*NtoN2O*kgtoGg,"ERROR"))</f>
        <v>2.8360897430204677</v>
      </c>
      <c r="AY1104" s="79"/>
    </row>
    <row r="1105" spans="1:51" x14ac:dyDescent="0.2">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0.1195503235691774</v>
      </c>
      <c r="T1105" s="93">
        <f>IF('Net zero activities &amp; levers'!$C$14="Off",('Activity data'!AM11*EF!$H42*EF!$H60)*NtoN2O*kgtoGg,IF('Net zero activities &amp; levers'!$C$14="On",('Net zero Activity data'!AM11*EF!$H42*EF!$H60)*NtoN2O*kgtoGg,"ERROR"))</f>
        <v>0.11973238900774033</v>
      </c>
      <c r="U1105" s="93">
        <f>IF('Net zero activities &amp; levers'!$C$14="Off",('Activity data'!AN11*EF!$H42*EF!$H60)*NtoN2O*kgtoGg,IF('Net zero activities &amp; levers'!$C$14="On",('Net zero Activity data'!AN11*EF!$H42*EF!$H60)*NtoN2O*kgtoGg,"ERROR"))</f>
        <v>0.11993816652481025</v>
      </c>
      <c r="V1105" s="93">
        <f>IF('Net zero activities &amp; levers'!$C$14="Off",('Activity data'!AO11*EF!$H42*EF!$H60)*NtoN2O*kgtoGg,IF('Net zero activities &amp; levers'!$C$14="On",('Net zero Activity data'!AO11*EF!$H42*EF!$H60)*NtoN2O*kgtoGg,"ERROR"))</f>
        <v>0.12017030175701968</v>
      </c>
      <c r="W1105" s="93">
        <f>IF('Net zero activities &amp; levers'!$C$14="Off",('Activity data'!AP11*EF!$H42*EF!$H60)*NtoN2O*kgtoGg,IF('Net zero activities &amp; levers'!$C$14="On",('Net zero Activity data'!AP11*EF!$H42*EF!$H60)*NtoN2O*kgtoGg,"ERROR"))</f>
        <v>0.12043143682964785</v>
      </c>
      <c r="X1105" s="93">
        <f>IF('Net zero activities &amp; levers'!$C$14="Off",('Activity data'!AQ11*EF!$H42*EF!$H60)*NtoN2O*kgtoGg,IF('Net zero activities &amp; levers'!$C$14="On",('Net zero Activity data'!AQ11*EF!$H42*EF!$H60)*NtoN2O*kgtoGg,"ERROR"))</f>
        <v>0.12071612652319091</v>
      </c>
      <c r="Y1105" s="93">
        <f>IF('Net zero activities &amp; levers'!$C$14="Off",('Activity data'!AR11*EF!$H42*EF!$H60)*NtoN2O*kgtoGg,IF('Net zero activities &amp; levers'!$C$14="On",('Net zero Activity data'!AR11*EF!$H42*EF!$H60)*NtoN2O*kgtoGg,"ERROR"))</f>
        <v>0.12088927246048492</v>
      </c>
      <c r="Z1105" s="93">
        <f>IF('Net zero activities &amp; levers'!$C$14="Off",('Activity data'!AS11*EF!$H42*EF!$H60)*NtoN2O*kgtoGg,IF('Net zero activities &amp; levers'!$C$14="On",('Net zero Activity data'!AS11*EF!$H42*EF!$H60)*NtoN2O*kgtoGg,"ERROR"))</f>
        <v>0.12108266651499933</v>
      </c>
      <c r="AA1105" s="93">
        <f>IF('Net zero activities &amp; levers'!$C$14="Off",('Activity data'!AT11*EF!$H42*EF!$H60)*NtoN2O*kgtoGg,IF('Net zero activities &amp; levers'!$C$14="On",('Net zero Activity data'!AT11*EF!$H42*EF!$H60)*NtoN2O*kgtoGg,"ERROR"))</f>
        <v>0.12129489002398719</v>
      </c>
      <c r="AB1105" s="93">
        <f>IF('Net zero activities &amp; levers'!$C$14="Off",('Activity data'!AU11*EF!$H42*EF!$H60)*NtoN2O*kgtoGg,IF('Net zero activities &amp; levers'!$C$14="On",('Net zero Activity data'!AU11*EF!$H42*EF!$H60)*NtoN2O*kgtoGg,"ERROR"))</f>
        <v>0.12153074787723062</v>
      </c>
      <c r="AC1105" s="93">
        <f>IF('Net zero activities &amp; levers'!$C$14="Off",('Activity data'!AV11*EF!$H42*EF!$H60)*NtoN2O*kgtoGg,IF('Net zero activities &amp; levers'!$C$14="On",('Net zero Activity data'!AV11*EF!$H42*EF!$H60)*NtoN2O*kgtoGg,"ERROR"))</f>
        <v>0.12178444503760315</v>
      </c>
      <c r="AD1105" s="93">
        <f>IF('Net zero activities &amp; levers'!$C$14="Off",('Activity data'!AW11*EF!$H42*EF!$H60)*NtoN2O*kgtoGg,IF('Net zero activities &amp; levers'!$C$14="On",('Net zero Activity data'!AW11*EF!$H42*EF!$H60)*NtoN2O*kgtoGg,"ERROR"))</f>
        <v>0.12195021859922818</v>
      </c>
      <c r="AE1105" s="93">
        <f>IF('Net zero activities &amp; levers'!$C$14="Off",('Activity data'!AX11*EF!$H42*EF!$H60)*NtoN2O*kgtoGg,IF('Net zero activities &amp; levers'!$C$14="On",('Net zero Activity data'!AX11*EF!$H42*EF!$H60)*NtoN2O*kgtoGg,"ERROR"))</f>
        <v>0.12213630016303641</v>
      </c>
      <c r="AF1105" s="93">
        <f>IF('Net zero activities &amp; levers'!$C$14="Off",('Activity data'!AY11*EF!$H42*EF!$H60)*NtoN2O*kgtoGg,IF('Net zero activities &amp; levers'!$C$14="On",('Net zero Activity data'!AY11*EF!$H42*EF!$H60)*NtoN2O*kgtoGg,"ERROR"))</f>
        <v>0.12233971704233786</v>
      </c>
      <c r="AG1105" s="93">
        <f>IF('Net zero activities &amp; levers'!$C$14="Off",('Activity data'!AZ11*EF!$H42*EF!$H60)*NtoN2O*kgtoGg,IF('Net zero activities &amp; levers'!$C$14="On",('Net zero Activity data'!AZ11*EF!$H42*EF!$H60)*NtoN2O*kgtoGg,"ERROR"))</f>
        <v>0.12256258176640643</v>
      </c>
      <c r="AH1105" s="93">
        <f>IF('Net zero activities &amp; levers'!$C$14="Off",('Activity data'!BA11*EF!$H42*EF!$H60)*NtoN2O*kgtoGg,IF('Net zero activities &amp; levers'!$C$14="On",('Net zero Activity data'!BA11*EF!$H42*EF!$H60)*NtoN2O*kgtoGg,"ERROR"))</f>
        <v>0.12279204268449652</v>
      </c>
      <c r="AI1105" s="93">
        <f>IF('Net zero activities &amp; levers'!$C$14="Off",('Activity data'!BB11*EF!$H42*EF!$H60)*NtoN2O*kgtoGg,IF('Net zero activities &amp; levers'!$C$14="On",('Net zero Activity data'!BB11*EF!$H42*EF!$H60)*NtoN2O*kgtoGg,"ERROR"))</f>
        <v>0.12293267358180958</v>
      </c>
      <c r="AJ1105" s="93">
        <f>IF('Net zero activities &amp; levers'!$C$14="Off",('Activity data'!BC11*EF!$H42*EF!$H60)*NtoN2O*kgtoGg,IF('Net zero activities &amp; levers'!$C$14="On",('Net zero Activity data'!BC11*EF!$H42*EF!$H60)*NtoN2O*kgtoGg,"ERROR"))</f>
        <v>0.1230880284078129</v>
      </c>
      <c r="AK1105" s="93">
        <f>IF('Net zero activities &amp; levers'!$C$14="Off",('Activity data'!BD11*EF!$H42*EF!$H60)*NtoN2O*kgtoGg,IF('Net zero activities &amp; levers'!$C$14="On",('Net zero Activity data'!BD11*EF!$H42*EF!$H60)*NtoN2O*kgtoGg,"ERROR"))</f>
        <v>0.12325414703713089</v>
      </c>
      <c r="AL1105" s="93">
        <f>IF('Net zero activities &amp; levers'!$C$14="Off",('Activity data'!BE11*EF!$H42*EF!$H60)*NtoN2O*kgtoGg,IF('Net zero activities &amp; levers'!$C$14="On",('Net zero Activity data'!BE11*EF!$H42*EF!$H60)*NtoN2O*kgtoGg,"ERROR"))</f>
        <v>0.12343300581478904</v>
      </c>
      <c r="AM1105" s="93">
        <f>IF('Net zero activities &amp; levers'!$C$14="Off",('Activity data'!BF11*EF!$H42*EF!$H60)*NtoN2O*kgtoGg,IF('Net zero activities &amp; levers'!$C$14="On",('Net zero Activity data'!BF11*EF!$H42*EF!$H60)*NtoN2O*kgtoGg,"ERROR"))</f>
        <v>0.12362298848343736</v>
      </c>
      <c r="AN1105" s="93">
        <f>IF('Net zero activities &amp; levers'!$C$14="Off",('Activity data'!BG11*EF!$H42*EF!$H60)*NtoN2O*kgtoGg,IF('Net zero activities &amp; levers'!$C$14="On",('Net zero Activity data'!BG11*EF!$H42*EF!$H60)*NtoN2O*kgtoGg,"ERROR"))</f>
        <v>0.12373316293630814</v>
      </c>
      <c r="AO1105" s="93">
        <f>IF('Net zero activities &amp; levers'!$C$14="Off",('Activity data'!BH11*EF!$H42*EF!$H60)*NtoN2O*kgtoGg,IF('Net zero activities &amp; levers'!$C$14="On",('Net zero Activity data'!BH11*EF!$H42*EF!$H60)*NtoN2O*kgtoGg,"ERROR"))</f>
        <v>0.12385166980530417</v>
      </c>
      <c r="AP1105" s="93">
        <f>IF('Net zero activities &amp; levers'!$C$14="Off",('Activity data'!BI11*EF!$H42*EF!$H60)*NtoN2O*kgtoGg,IF('Net zero activities &amp; levers'!$C$14="On",('Net zero Activity data'!BI11*EF!$H42*EF!$H60)*NtoN2O*kgtoGg,"ERROR"))</f>
        <v>0.12398002361906417</v>
      </c>
      <c r="AQ1105" s="93">
        <f>IF('Net zero activities &amp; levers'!$C$14="Off",('Activity data'!BJ11*EF!$H42*EF!$H60)*NtoN2O*kgtoGg,IF('Net zero activities &amp; levers'!$C$14="On",('Net zero Activity data'!BJ11*EF!$H42*EF!$H60)*NtoN2O*kgtoGg,"ERROR"))</f>
        <v>0.12411840156820916</v>
      </c>
      <c r="AR1105" s="93">
        <f>IF('Net zero activities &amp; levers'!$C$14="Off",('Activity data'!BK11*EF!$H42*EF!$H60)*NtoN2O*kgtoGg,IF('Net zero activities &amp; levers'!$C$14="On",('Net zero Activity data'!BK11*EF!$H42*EF!$H60)*NtoN2O*kgtoGg,"ERROR"))</f>
        <v>0.12426670691930036</v>
      </c>
      <c r="AS1105" s="93">
        <f>IF('Net zero activities &amp; levers'!$C$14="Off",('Activity data'!BL11*EF!$H42*EF!$H60)*NtoN2O*kgtoGg,IF('Net zero activities &amp; levers'!$C$14="On",('Net zero Activity data'!BL11*EF!$H42*EF!$H60)*NtoN2O*kgtoGg,"ERROR"))</f>
        <v>0.12433302167931155</v>
      </c>
      <c r="AT1105" s="93">
        <f>IF('Net zero activities &amp; levers'!$C$14="Off",('Activity data'!BM11*EF!$H42*EF!$H60)*NtoN2O*kgtoGg,IF('Net zero activities &amp; levers'!$C$14="On",('Net zero Activity data'!BM11*EF!$H42*EF!$H60)*NtoN2O*kgtoGg,"ERROR"))</f>
        <v>0.12439474489368146</v>
      </c>
      <c r="AU1105" s="93">
        <f>IF('Net zero activities &amp; levers'!$C$14="Off",('Activity data'!BN11*EF!$H42*EF!$H60)*NtoN2O*kgtoGg,IF('Net zero activities &amp; levers'!$C$14="On",('Net zero Activity data'!BN11*EF!$H42*EF!$H60)*NtoN2O*kgtoGg,"ERROR"))</f>
        <v>0.1244631713501356</v>
      </c>
      <c r="AV1105" s="93">
        <f>IF('Net zero activities &amp; levers'!$C$14="Off",('Activity data'!BO11*EF!$H42*EF!$H60)*NtoN2O*kgtoGg,IF('Net zero activities &amp; levers'!$C$14="On",('Net zero Activity data'!BO11*EF!$H42*EF!$H60)*NtoN2O*kgtoGg,"ERROR"))</f>
        <v>0.12453939785824997</v>
      </c>
      <c r="AW1105" s="93">
        <f>IF('Net zero activities &amp; levers'!$C$14="Off",('Activity data'!BP11*EF!$H42*EF!$H60)*NtoN2O*kgtoGg,IF('Net zero activities &amp; levers'!$C$14="On",('Net zero Activity data'!BP11*EF!$H42*EF!$H60)*NtoN2O*kgtoGg,"ERROR"))</f>
        <v>0.12462263971956801</v>
      </c>
      <c r="AY1105" s="79"/>
    </row>
    <row r="1106" spans="1:51" x14ac:dyDescent="0.2">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6.3928512589691663E-2</v>
      </c>
      <c r="T1106" s="93">
        <f>IF('Net zero activities &amp; levers'!$C$14="Off",('Activity data'!AM12*EF!$H43*EF!$H61)*NtoN2O*kgtoGg,IF('Net zero activities &amp; levers'!$C$14="On",('Net zero Activity data'!AM12*EF!$H43*EF!$H61)*NtoN2O*kgtoGg,"ERROR"))</f>
        <v>6.4025870525110232E-2</v>
      </c>
      <c r="U1106" s="93">
        <f>IF('Net zero activities &amp; levers'!$C$14="Off",('Activity data'!AN12*EF!$H43*EF!$H61)*NtoN2O*kgtoGg,IF('Net zero activities &amp; levers'!$C$14="On",('Net zero Activity data'!AN12*EF!$H43*EF!$H61)*NtoN2O*kgtoGg,"ERROR"))</f>
        <v>6.4135908291616708E-2</v>
      </c>
      <c r="V1106" s="93">
        <f>IF('Net zero activities &amp; levers'!$C$14="Off",('Activity data'!AO12*EF!$H43*EF!$H61)*NtoN2O*kgtoGg,IF('Net zero activities &amp; levers'!$C$14="On",('Net zero Activity data'!AO12*EF!$H43*EF!$H61)*NtoN2O*kgtoGg,"ERROR"))</f>
        <v>6.4260040620762821E-2</v>
      </c>
      <c r="W1106" s="93">
        <f>IF('Net zero activities &amp; levers'!$C$14="Off",('Activity data'!AP12*EF!$H43*EF!$H61)*NtoN2O*kgtoGg,IF('Net zero activities &amp; levers'!$C$14="On",('Net zero Activity data'!AP12*EF!$H43*EF!$H61)*NtoN2O*kgtoGg,"ERROR"))</f>
        <v>6.4399680366434092E-2</v>
      </c>
      <c r="X1106" s="93">
        <f>IF('Net zero activities &amp; levers'!$C$14="Off",('Activity data'!AQ12*EF!$H43*EF!$H61)*NtoN2O*kgtoGg,IF('Net zero activities &amp; levers'!$C$14="On",('Net zero Activity data'!AQ12*EF!$H43*EF!$H61)*NtoN2O*kgtoGg,"ERROR"))</f>
        <v>6.4551915744093219E-2</v>
      </c>
      <c r="Y1106" s="93">
        <f>IF('Net zero activities &amp; levers'!$C$14="Off",('Activity data'!AR12*EF!$H43*EF!$H61)*NtoN2O*kgtoGg,IF('Net zero activities &amp; levers'!$C$14="On",('Net zero Activity data'!AR12*EF!$H43*EF!$H61)*NtoN2O*kgtoGg,"ERROR"))</f>
        <v>6.4644504052528431E-2</v>
      </c>
      <c r="Z1106" s="93">
        <f>IF('Net zero activities &amp; levers'!$C$14="Off",('Activity data'!AS12*EF!$H43*EF!$H61)*NtoN2O*kgtoGg,IF('Net zero activities &amp; levers'!$C$14="On",('Net zero Activity data'!AS12*EF!$H43*EF!$H61)*NtoN2O*kgtoGg,"ERROR"))</f>
        <v>6.4747919868393122E-2</v>
      </c>
      <c r="AA1106" s="93">
        <f>IF('Net zero activities &amp; levers'!$C$14="Off",('Activity data'!AT12*EF!$H43*EF!$H61)*NtoN2O*kgtoGg,IF('Net zero activities &amp; levers'!$C$14="On",('Net zero Activity data'!AT12*EF!$H43*EF!$H61)*NtoN2O*kgtoGg,"ERROR"))</f>
        <v>6.4861404573922254E-2</v>
      </c>
      <c r="AB1106" s="93">
        <f>IF('Net zero activities &amp; levers'!$C$14="Off",('Activity data'!AU12*EF!$H43*EF!$H61)*NtoN2O*kgtoGg,IF('Net zero activities &amp; levers'!$C$14="On",('Net zero Activity data'!AU12*EF!$H43*EF!$H61)*NtoN2O*kgtoGg,"ERROR"))</f>
        <v>6.4987527542813464E-2</v>
      </c>
      <c r="AC1106" s="93">
        <f>IF('Net zero activities &amp; levers'!$C$14="Off",('Activity data'!AV12*EF!$H43*EF!$H61)*NtoN2O*kgtoGg,IF('Net zero activities &amp; levers'!$C$14="On",('Net zero Activity data'!AV12*EF!$H43*EF!$H61)*NtoN2O*kgtoGg,"ERROR"))</f>
        <v>6.5123189928548972E-2</v>
      </c>
      <c r="AD1106" s="93">
        <f>IF('Net zero activities &amp; levers'!$C$14="Off",('Activity data'!AW12*EF!$H43*EF!$H61)*NtoN2O*kgtoGg,IF('Net zero activities &amp; levers'!$C$14="On",('Net zero Activity data'!AW12*EF!$H43*EF!$H61)*NtoN2O*kgtoGg,"ERROR"))</f>
        <v>6.5211835922177344E-2</v>
      </c>
      <c r="AE1106" s="93">
        <f>IF('Net zero activities &amp; levers'!$C$14="Off",('Activity data'!AX12*EF!$H43*EF!$H61)*NtoN2O*kgtoGg,IF('Net zero activities &amp; levers'!$C$14="On",('Net zero Activity data'!AX12*EF!$H43*EF!$H61)*NtoN2O*kgtoGg,"ERROR"))</f>
        <v>6.5311341446206636E-2</v>
      </c>
      <c r="AF1106" s="93">
        <f>IF('Net zero activities &amp; levers'!$C$14="Off",('Activity data'!AY12*EF!$H43*EF!$H61)*NtoN2O*kgtoGg,IF('Net zero activities &amp; levers'!$C$14="On",('Net zero Activity data'!AY12*EF!$H43*EF!$H61)*NtoN2O*kgtoGg,"ERROR"))</f>
        <v>6.5420116881865359E-2</v>
      </c>
      <c r="AG1106" s="93">
        <f>IF('Net zero activities &amp; levers'!$C$14="Off",('Activity data'!AZ12*EF!$H43*EF!$H61)*NtoN2O*kgtoGg,IF('Net zero activities &amp; levers'!$C$14="On",('Net zero Activity data'!AZ12*EF!$H43*EF!$H61)*NtoN2O*kgtoGg,"ERROR"))</f>
        <v>6.5539291886106743E-2</v>
      </c>
      <c r="AH1106" s="93">
        <f>IF('Net zero activities &amp; levers'!$C$14="Off",('Activity data'!BA12*EF!$H43*EF!$H61)*NtoN2O*kgtoGg,IF('Net zero activities &amp; levers'!$C$14="On",('Net zero Activity data'!BA12*EF!$H43*EF!$H61)*NtoN2O*kgtoGg,"ERROR"))</f>
        <v>6.5661994148660446E-2</v>
      </c>
      <c r="AI1106" s="93">
        <f>IF('Net zero activities &amp; levers'!$C$14="Off",('Activity data'!BB12*EF!$H43*EF!$H61)*NtoN2O*kgtoGg,IF('Net zero activities &amp; levers'!$C$14="On",('Net zero Activity data'!BB12*EF!$H43*EF!$H61)*NtoN2O*kgtoGg,"ERROR"))</f>
        <v>6.5737195317682587E-2</v>
      </c>
      <c r="AJ1106" s="93">
        <f>IF('Net zero activities &amp; levers'!$C$14="Off",('Activity data'!BC12*EF!$H43*EF!$H61)*NtoN2O*kgtoGg,IF('Net zero activities &amp; levers'!$C$14="On",('Net zero Activity data'!BC12*EF!$H43*EF!$H61)*NtoN2O*kgtoGg,"ERROR"))</f>
        <v>6.5820269981585744E-2</v>
      </c>
      <c r="AK1106" s="93">
        <f>IF('Net zero activities &amp; levers'!$C$14="Off",('Activity data'!BD12*EF!$H43*EF!$H61)*NtoN2O*kgtoGg,IF('Net zero activities &amp; levers'!$C$14="On",('Net zero Activity data'!BD12*EF!$H43*EF!$H61)*NtoN2O*kgtoGg,"ERROR"))</f>
        <v>6.5909100497210327E-2</v>
      </c>
      <c r="AL1106" s="93">
        <f>IF('Net zero activities &amp; levers'!$C$14="Off",('Activity data'!BE12*EF!$H43*EF!$H61)*NtoN2O*kgtoGg,IF('Net zero activities &amp; levers'!$C$14="On",('Net zero Activity data'!BE12*EF!$H43*EF!$H61)*NtoN2O*kgtoGg,"ERROR"))</f>
        <v>6.6004743698148058E-2</v>
      </c>
      <c r="AM1106" s="93">
        <f>IF('Net zero activities &amp; levers'!$C$14="Off",('Activity data'!BF12*EF!$H43*EF!$H61)*NtoN2O*kgtoGg,IF('Net zero activities &amp; levers'!$C$14="On",('Net zero Activity data'!BF12*EF!$H43*EF!$H61)*NtoN2O*kgtoGg,"ERROR"))</f>
        <v>6.6106335304610589E-2</v>
      </c>
      <c r="AN1106" s="93">
        <f>IF('Net zero activities &amp; levers'!$C$14="Off",('Activity data'!BG12*EF!$H43*EF!$H61)*NtoN2O*kgtoGg,IF('Net zero activities &amp; levers'!$C$14="On",('Net zero Activity data'!BG12*EF!$H43*EF!$H61)*NtoN2O*kgtoGg,"ERROR"))</f>
        <v>6.6165250150569468E-2</v>
      </c>
      <c r="AO1106" s="93">
        <f>IF('Net zero activities &amp; levers'!$C$14="Off",('Activity data'!BH12*EF!$H43*EF!$H61)*NtoN2O*kgtoGg,IF('Net zero activities &amp; levers'!$C$14="On",('Net zero Activity data'!BH12*EF!$H43*EF!$H61)*NtoN2O*kgtoGg,"ERROR"))</f>
        <v>6.6228620684754519E-2</v>
      </c>
      <c r="AP1106" s="93">
        <f>IF('Net zero activities &amp; levers'!$C$14="Off",('Activity data'!BI12*EF!$H43*EF!$H61)*NtoN2O*kgtoGg,IF('Net zero activities &amp; levers'!$C$14="On",('Net zero Activity data'!BI12*EF!$H43*EF!$H61)*NtoN2O*kgtoGg,"ERROR"))</f>
        <v>6.6297256788396222E-2</v>
      </c>
      <c r="AQ1106" s="93">
        <f>IF('Net zero activities &amp; levers'!$C$14="Off",('Activity data'!BJ12*EF!$H43*EF!$H61)*NtoN2O*kgtoGg,IF('Net zero activities &amp; levers'!$C$14="On",('Net zero Activity data'!BJ12*EF!$H43*EF!$H61)*NtoN2O*kgtoGg,"ERROR"))</f>
        <v>6.6371253212662962E-2</v>
      </c>
      <c r="AR1106" s="93">
        <f>IF('Net zero activities &amp; levers'!$C$14="Off",('Activity data'!BK12*EF!$H43*EF!$H61)*NtoN2O*kgtoGg,IF('Net zero activities &amp; levers'!$C$14="On",('Net zero Activity data'!BK12*EF!$H43*EF!$H61)*NtoN2O*kgtoGg,"ERROR"))</f>
        <v>6.6450558230176079E-2</v>
      </c>
      <c r="AS1106" s="93">
        <f>IF('Net zero activities &amp; levers'!$C$14="Off",('Activity data'!BL12*EF!$H43*EF!$H61)*NtoN2O*kgtoGg,IF('Net zero activities &amp; levers'!$C$14="On",('Net zero Activity data'!BL12*EF!$H43*EF!$H61)*NtoN2O*kgtoGg,"ERROR"))</f>
        <v>6.6486019480666153E-2</v>
      </c>
      <c r="AT1106" s="93">
        <f>IF('Net zero activities &amp; levers'!$C$14="Off",('Activity data'!BM12*EF!$H43*EF!$H61)*NtoN2O*kgtoGg,IF('Net zero activities &amp; levers'!$C$14="On",('Net zero Activity data'!BM12*EF!$H43*EF!$H61)*NtoN2O*kgtoGg,"ERROR"))</f>
        <v>6.6519025441412388E-2</v>
      </c>
      <c r="AU1106" s="93">
        <f>IF('Net zero activities &amp; levers'!$C$14="Off",('Activity data'!BN12*EF!$H43*EF!$H61)*NtoN2O*kgtoGg,IF('Net zero activities &amp; levers'!$C$14="On",('Net zero Activity data'!BN12*EF!$H43*EF!$H61)*NtoN2O*kgtoGg,"ERROR"))</f>
        <v>6.6555615903506504E-2</v>
      </c>
      <c r="AV1106" s="93">
        <f>IF('Net zero activities &amp; levers'!$C$14="Off",('Activity data'!BO12*EF!$H43*EF!$H61)*NtoN2O*kgtoGg,IF('Net zero activities &amp; levers'!$C$14="On",('Net zero Activity data'!BO12*EF!$H43*EF!$H61)*NtoN2O*kgtoGg,"ERROR"))</f>
        <v>6.6596377376484356E-2</v>
      </c>
      <c r="AW1106" s="93">
        <f>IF('Net zero activities &amp; levers'!$C$14="Off",('Activity data'!BP12*EF!$H43*EF!$H61)*NtoN2O*kgtoGg,IF('Net zero activities &amp; levers'!$C$14="On",('Net zero Activity data'!BP12*EF!$H43*EF!$H61)*NtoN2O*kgtoGg,"ERROR"))</f>
        <v>6.6640890249560589E-2</v>
      </c>
      <c r="AY1106" s="79"/>
    </row>
    <row r="1107" spans="1:51" x14ac:dyDescent="0.2">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1.4486129996083083E-2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1.4639017833045652E-2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1.4890706011157254E-2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1.5078679643027025E-2</v>
      </c>
      <c r="T1107" s="93">
        <f>IF('Net zero activities &amp; levers'!$C$14="Off",('Activity data'!AM13*EF!$H44*EF!$H62)*NtoN2O*kgtoGg,IF('Net zero activities &amp; levers'!$C$14="On",('Net zero Activity data'!AM13*EF!$H44*EF!$H62)*NtoN2O*kgtoGg,"ERROR"))</f>
        <v>1.5122495296339114E-2</v>
      </c>
      <c r="U1107" s="93">
        <f>IF('Net zero activities &amp; levers'!$C$14="Off",('Activity data'!AN13*EF!$H44*EF!$H62)*NtoN2O*kgtoGg,IF('Net zero activities &amp; levers'!$C$14="On",('Net zero Activity data'!AN13*EF!$H44*EF!$H62)*NtoN2O*kgtoGg,"ERROR"))</f>
        <v>1.516958973789732E-2</v>
      </c>
      <c r="V1107" s="93">
        <f>IF('Net zero activities &amp; levers'!$C$14="Off",('Activity data'!AO13*EF!$H44*EF!$H62)*NtoN2O*kgtoGg,IF('Net zero activities &amp; levers'!$C$14="On",('Net zero Activity data'!AO13*EF!$H44*EF!$H62)*NtoN2O*kgtoGg,"ERROR"))</f>
        <v>1.5220538890996555E-2</v>
      </c>
      <c r="W1107" s="93">
        <f>IF('Net zero activities &amp; levers'!$C$14="Off",('Activity data'!AP13*EF!$H44*EF!$H62)*NtoN2O*kgtoGg,IF('Net zero activities &amp; levers'!$C$14="On",('Net zero Activity data'!AP13*EF!$H44*EF!$H62)*NtoN2O*kgtoGg,"ERROR"))</f>
        <v>1.5275902163367263E-2</v>
      </c>
      <c r="X1107" s="93">
        <f>IF('Net zero activities &amp; levers'!$C$14="Off",('Activity data'!AQ13*EF!$H44*EF!$H62)*NtoN2O*kgtoGg,IF('Net zero activities &amp; levers'!$C$14="On",('Net zero Activity data'!AQ13*EF!$H44*EF!$H62)*NtoN2O*kgtoGg,"ERROR"))</f>
        <v>1.5334694454120529E-2</v>
      </c>
      <c r="Y1107" s="93">
        <f>IF('Net zero activities &amp; levers'!$C$14="Off",('Activity data'!AR13*EF!$H44*EF!$H62)*NtoN2O*kgtoGg,IF('Net zero activities &amp; levers'!$C$14="On",('Net zero Activity data'!AR13*EF!$H44*EF!$H62)*NtoN2O*kgtoGg,"ERROR"))</f>
        <v>1.5371448915304845E-2</v>
      </c>
      <c r="Z1107" s="93">
        <f>IF('Net zero activities &amp; levers'!$C$14="Off",('Activity data'!AS13*EF!$H44*EF!$H62)*NtoN2O*kgtoGg,IF('Net zero activities &amp; levers'!$C$14="On",('Net zero Activity data'!AS13*EF!$H44*EF!$H62)*NtoN2O*kgtoGg,"ERROR"))</f>
        <v>1.5411207509365298E-2</v>
      </c>
      <c r="AA1107" s="93">
        <f>IF('Net zero activities &amp; levers'!$C$14="Off",('Activity data'!AT13*EF!$H44*EF!$H62)*NtoN2O*kgtoGg,IF('Net zero activities &amp; levers'!$C$14="On",('Net zero Activity data'!AT13*EF!$H44*EF!$H62)*NtoN2O*kgtoGg,"ERROR"))</f>
        <v>1.545373639870192E-2</v>
      </c>
      <c r="AB1107" s="93">
        <f>IF('Net zero activities &amp; levers'!$C$14="Off",('Activity data'!AU13*EF!$H44*EF!$H62)*NtoN2O*kgtoGg,IF('Net zero activities &amp; levers'!$C$14="On",('Net zero Activity data'!AU13*EF!$H44*EF!$H62)*NtoN2O*kgtoGg,"ERROR"))</f>
        <v>1.5499966763922934E-2</v>
      </c>
      <c r="AC1107" s="93">
        <f>IF('Net zero activities &amp; levers'!$C$14="Off",('Activity data'!AV13*EF!$H44*EF!$H62)*NtoN2O*kgtoGg,IF('Net zero activities &amp; levers'!$C$14="On",('Net zero Activity data'!AV13*EF!$H44*EF!$H62)*NtoN2O*kgtoGg,"ERROR"))</f>
        <v>1.5548833641447303E-2</v>
      </c>
      <c r="AD1107" s="93">
        <f>IF('Net zero activities &amp; levers'!$C$14="Off",('Activity data'!AW13*EF!$H44*EF!$H62)*NtoN2O*kgtoGg,IF('Net zero activities &amp; levers'!$C$14="On",('Net zero Activity data'!AW13*EF!$H44*EF!$H62)*NtoN2O*kgtoGg,"ERROR"))</f>
        <v>1.5580602349578561E-2</v>
      </c>
      <c r="AE1107" s="93">
        <f>IF('Net zero activities &amp; levers'!$C$14="Off",('Activity data'!AX13*EF!$H44*EF!$H62)*NtoN2O*kgtoGg,IF('Net zero activities &amp; levers'!$C$14="On",('Net zero Activity data'!AX13*EF!$H44*EF!$H62)*NtoN2O*kgtoGg,"ERROR"))</f>
        <v>1.5615591404277505E-2</v>
      </c>
      <c r="AF1107" s="93">
        <f>IF('Net zero activities &amp; levers'!$C$14="Off",('Activity data'!AY13*EF!$H44*EF!$H62)*NtoN2O*kgtoGg,IF('Net zero activities &amp; levers'!$C$14="On",('Net zero Activity data'!AY13*EF!$H44*EF!$H62)*NtoN2O*kgtoGg,"ERROR"))</f>
        <v>1.5653259744642323E-2</v>
      </c>
      <c r="AG1107" s="93">
        <f>IF('Net zero activities &amp; levers'!$C$14="Off",('Activity data'!AZ13*EF!$H44*EF!$H62)*NtoN2O*kgtoGg,IF('Net zero activities &amp; levers'!$C$14="On",('Net zero Activity data'!AZ13*EF!$H44*EF!$H62)*NtoN2O*kgtoGg,"ERROR"))</f>
        <v>1.5694012741398929E-2</v>
      </c>
      <c r="AH1107" s="93">
        <f>IF('Net zero activities &amp; levers'!$C$14="Off",('Activity data'!BA13*EF!$H44*EF!$H62)*NtoN2O*kgtoGg,IF('Net zero activities &amp; levers'!$C$14="On",('Net zero Activity data'!BA13*EF!$H44*EF!$H62)*NtoN2O*kgtoGg,"ERROR"))</f>
        <v>1.5735477279761712E-2</v>
      </c>
      <c r="AI1107" s="93">
        <f>IF('Net zero activities &amp; levers'!$C$14="Off",('Activity data'!BB13*EF!$H44*EF!$H62)*NtoN2O*kgtoGg,IF('Net zero activities &amp; levers'!$C$14="On",('Net zero Activity data'!BB13*EF!$H44*EF!$H62)*NtoN2O*kgtoGg,"ERROR"))</f>
        <v>1.5760021720349279E-2</v>
      </c>
      <c r="AJ1107" s="93">
        <f>IF('Net zero activities &amp; levers'!$C$14="Off",('Activity data'!BC13*EF!$H44*EF!$H62)*NtoN2O*kgtoGg,IF('Net zero activities &amp; levers'!$C$14="On",('Net zero Activity data'!BC13*EF!$H44*EF!$H62)*NtoN2O*kgtoGg,"ERROR"))</f>
        <v>1.5786883711006117E-2</v>
      </c>
      <c r="AK1107" s="93">
        <f>IF('Net zero activities &amp; levers'!$C$14="Off",('Activity data'!BD13*EF!$H44*EF!$H62)*NtoN2O*kgtoGg,IF('Net zero activities &amp; levers'!$C$14="On",('Net zero Activity data'!BD13*EF!$H44*EF!$H62)*NtoN2O*kgtoGg,"ERROR"))</f>
        <v>1.5815340273420818E-2</v>
      </c>
      <c r="AL1107" s="93">
        <f>IF('Net zero activities &amp; levers'!$C$14="Off",('Activity data'!BE13*EF!$H44*EF!$H62)*NtoN2O*kgtoGg,IF('Net zero activities &amp; levers'!$C$14="On",('Net zero Activity data'!BE13*EF!$H44*EF!$H62)*NtoN2O*kgtoGg,"ERROR"))</f>
        <v>1.5845764593107773E-2</v>
      </c>
      <c r="AM1107" s="93">
        <f>IF('Net zero activities &amp; levers'!$C$14="Off",('Activity data'!BF13*EF!$H44*EF!$H62)*NtoN2O*kgtoGg,IF('Net zero activities &amp; levers'!$C$14="On",('Net zero Activity data'!BF13*EF!$H44*EF!$H62)*NtoN2O*kgtoGg,"ERROR"))</f>
        <v>1.5877866318833773E-2</v>
      </c>
      <c r="AN1107" s="93">
        <f>IF('Net zero activities &amp; levers'!$C$14="Off",('Activity data'!BG13*EF!$H44*EF!$H62)*NtoN2O*kgtoGg,IF('Net zero activities &amp; levers'!$C$14="On",('Net zero Activity data'!BG13*EF!$H44*EF!$H62)*NtoN2O*kgtoGg,"ERROR"))</f>
        <v>1.5894983838021428E-2</v>
      </c>
      <c r="AO1107" s="93">
        <f>IF('Net zero activities &amp; levers'!$C$14="Off",('Activity data'!BH13*EF!$H44*EF!$H62)*NtoN2O*kgtoGg,IF('Net zero activities &amp; levers'!$C$14="On",('Net zero Activity data'!BH13*EF!$H44*EF!$H62)*NtoN2O*kgtoGg,"ERROR"))</f>
        <v>1.5913339031971951E-2</v>
      </c>
      <c r="AP1107" s="93">
        <f>IF('Net zero activities &amp; levers'!$C$14="Off",('Activity data'!BI13*EF!$H44*EF!$H62)*NtoN2O*kgtoGg,IF('Net zero activities &amp; levers'!$C$14="On",('Net zero Activity data'!BI13*EF!$H44*EF!$H62)*NtoN2O*kgtoGg,"ERROR"))</f>
        <v>1.593321505910849E-2</v>
      </c>
      <c r="AQ1107" s="93">
        <f>IF('Net zero activities &amp; levers'!$C$14="Off",('Activity data'!BJ13*EF!$H44*EF!$H62)*NtoN2O*kgtoGg,IF('Net zero activities &amp; levers'!$C$14="On",('Net zero Activity data'!BJ13*EF!$H44*EF!$H62)*NtoN2O*kgtoGg,"ERROR"))</f>
        <v>1.5954648527995344E-2</v>
      </c>
      <c r="AR1107" s="93">
        <f>IF('Net zero activities &amp; levers'!$C$14="Off",('Activity data'!BK13*EF!$H44*EF!$H62)*NtoN2O*kgtoGg,IF('Net zero activities &amp; levers'!$C$14="On",('Net zero Activity data'!BK13*EF!$H44*EF!$H62)*NtoN2O*kgtoGg,"ERROR"))</f>
        <v>1.597762528830339E-2</v>
      </c>
      <c r="AS1107" s="93">
        <f>IF('Net zero activities &amp; levers'!$C$14="Off",('Activity data'!BL13*EF!$H44*EF!$H62)*NtoN2O*kgtoGg,IF('Net zero activities &amp; levers'!$C$14="On",('Net zero Activity data'!BL13*EF!$H44*EF!$H62)*NtoN2O*kgtoGg,"ERROR"))</f>
        <v>1.598544144020398E-2</v>
      </c>
      <c r="AT1107" s="93">
        <f>IF('Net zero activities &amp; levers'!$C$14="Off",('Activity data'!BM13*EF!$H44*EF!$H62)*NtoN2O*kgtoGg,IF('Net zero activities &amp; levers'!$C$14="On",('Net zero Activity data'!BM13*EF!$H44*EF!$H62)*NtoN2O*kgtoGg,"ERROR"))</f>
        <v>1.5992226212116378E-2</v>
      </c>
      <c r="AU1107" s="93">
        <f>IF('Net zero activities &amp; levers'!$C$14="Off",('Activity data'!BN13*EF!$H44*EF!$H62)*NtoN2O*kgtoGg,IF('Net zero activities &amp; levers'!$C$14="On",('Net zero Activity data'!BN13*EF!$H44*EF!$H62)*NtoN2O*kgtoGg,"ERROR"))</f>
        <v>1.600003943689176E-2</v>
      </c>
      <c r="AV1107" s="93">
        <f>IF('Net zero activities &amp; levers'!$C$14="Off",('Activity data'!BO13*EF!$H44*EF!$H62)*NtoN2O*kgtoGg,IF('Net zero activities &amp; levers'!$C$14="On",('Net zero Activity data'!BO13*EF!$H44*EF!$H62)*NtoN2O*kgtoGg,"ERROR"))</f>
        <v>1.6009082551352239E-2</v>
      </c>
      <c r="AW1107" s="93">
        <f>IF('Net zero activities &amp; levers'!$C$14="Off",('Activity data'!BP13*EF!$H44*EF!$H62)*NtoN2O*kgtoGg,IF('Net zero activities &amp; levers'!$C$14="On",('Net zero Activity data'!BP13*EF!$H44*EF!$H62)*NtoN2O*kgtoGg,"ERROR"))</f>
        <v>1.6019215529788255E-2</v>
      </c>
      <c r="AY1107" s="79"/>
    </row>
    <row r="1108" spans="1:51" x14ac:dyDescent="0.2">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0.11605647283191661</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0.11805182815822723</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0.11954206178926803</v>
      </c>
      <c r="T1108" s="93">
        <f>IF('Net zero activities &amp; levers'!$C$14="Off",('Activity data'!AM14*EF!$H45*EF!$H63)*NtoN2O*kgtoGg,IF('Net zero activities &amp; levers'!$C$14="On",('Net zero Activity data'!AM14*EF!$H45*EF!$H63)*NtoN2O*kgtoGg,"ERROR"))</f>
        <v>0.11988942731858297</v>
      </c>
      <c r="U1108" s="93">
        <f>IF('Net zero activities &amp; levers'!$C$14="Off",('Activity data'!AN14*EF!$H45*EF!$H63)*NtoN2O*kgtoGg,IF('Net zero activities &amp; levers'!$C$14="On",('Net zero Activity data'!AN14*EF!$H45*EF!$H63)*NtoN2O*kgtoGg,"ERROR"))</f>
        <v>0.12026278670919023</v>
      </c>
      <c r="V1108" s="93">
        <f>IF('Net zero activities &amp; levers'!$C$14="Off",('Activity data'!AO14*EF!$H45*EF!$H63)*NtoN2O*kgtoGg,IF('Net zero activities &amp; levers'!$C$14="On",('Net zero Activity data'!AO14*EF!$H45*EF!$H63)*NtoN2O*kgtoGg,"ERROR"))</f>
        <v>0.12066670581564304</v>
      </c>
      <c r="W1108" s="93">
        <f>IF('Net zero activities &amp; levers'!$C$14="Off",('Activity data'!AP14*EF!$H45*EF!$H63)*NtoN2O*kgtoGg,IF('Net zero activities &amp; levers'!$C$14="On",('Net zero Activity data'!AP14*EF!$H45*EF!$H63)*NtoN2O*kgtoGg,"ERROR"))</f>
        <v>0.12110561955897305</v>
      </c>
      <c r="X1108" s="93">
        <f>IF('Net zero activities &amp; levers'!$C$14="Off",('Activity data'!AQ14*EF!$H45*EF!$H63)*NtoN2O*kgtoGg,IF('Net zero activities &amp; levers'!$C$14="On",('Net zero Activity data'!AQ14*EF!$H45*EF!$H63)*NtoN2O*kgtoGg,"ERROR"))</f>
        <v>0.121571718171076</v>
      </c>
      <c r="Y1108" s="93">
        <f>IF('Net zero activities &amp; levers'!$C$14="Off",('Activity data'!AR14*EF!$H45*EF!$H63)*NtoN2O*kgtoGg,IF('Net zero activities &amp; levers'!$C$14="On",('Net zero Activity data'!AR14*EF!$H45*EF!$H63)*NtoN2O*kgtoGg,"ERROR"))</f>
        <v>0.12186310337017453</v>
      </c>
      <c r="Z1108" s="93">
        <f>IF('Net zero activities &amp; levers'!$C$14="Off",('Activity data'!AS14*EF!$H45*EF!$H63)*NtoN2O*kgtoGg,IF('Net zero activities &amp; levers'!$C$14="On",('Net zero Activity data'!AS14*EF!$H45*EF!$H63)*NtoN2O*kgtoGg,"ERROR"))</f>
        <v>0.12217830499394715</v>
      </c>
      <c r="AA1108" s="93">
        <f>IF('Net zero activities &amp; levers'!$C$14="Off",('Activity data'!AT14*EF!$H45*EF!$H63)*NtoN2O*kgtoGg,IF('Net zero activities &amp; levers'!$C$14="On",('Net zero Activity data'!AT14*EF!$H45*EF!$H63)*NtoN2O*kgtoGg,"ERROR"))</f>
        <v>0.12251546920442616</v>
      </c>
      <c r="AB1108" s="93">
        <f>IF('Net zero activities &amp; levers'!$C$14="Off",('Activity data'!AU14*EF!$H45*EF!$H63)*NtoN2O*kgtoGg,IF('Net zero activities &amp; levers'!$C$14="On",('Net zero Activity data'!AU14*EF!$H45*EF!$H63)*NtoN2O*kgtoGg,"ERROR"))</f>
        <v>0.12288197829584693</v>
      </c>
      <c r="AC1108" s="93">
        <f>IF('Net zero activities &amp; levers'!$C$14="Off",('Activity data'!AV14*EF!$H45*EF!$H63)*NtoN2O*kgtoGg,IF('Net zero activities &amp; levers'!$C$14="On",('Net zero Activity data'!AV14*EF!$H45*EF!$H63)*NtoN2O*kgtoGg,"ERROR"))</f>
        <v>0.12326938935774111</v>
      </c>
      <c r="AD1108" s="93">
        <f>IF('Net zero activities &amp; levers'!$C$14="Off",('Activity data'!AW14*EF!$H45*EF!$H63)*NtoN2O*kgtoGg,IF('Net zero activities &amp; levers'!$C$14="On",('Net zero Activity data'!AW14*EF!$H45*EF!$H63)*NtoN2O*kgtoGg,"ERROR"))</f>
        <v>0.12352124807218419</v>
      </c>
      <c r="AE1108" s="93">
        <f>IF('Net zero activities &amp; levers'!$C$14="Off",('Activity data'!AX14*EF!$H45*EF!$H63)*NtoN2O*kgtoGg,IF('Net zero activities &amp; levers'!$C$14="On",('Net zero Activity data'!AX14*EF!$H45*EF!$H63)*NtoN2O*kgtoGg,"ERROR"))</f>
        <v>0.12379863732892218</v>
      </c>
      <c r="AF1108" s="93">
        <f>IF('Net zero activities &amp; levers'!$C$14="Off",('Activity data'!AY14*EF!$H45*EF!$H63)*NtoN2O*kgtoGg,IF('Net zero activities &amp; levers'!$C$14="On",('Net zero Activity data'!AY14*EF!$H45*EF!$H63)*NtoN2O*kgtoGg,"ERROR"))</f>
        <v>0.12409726765849963</v>
      </c>
      <c r="AG1108" s="93">
        <f>IF('Net zero activities &amp; levers'!$C$14="Off",('Activity data'!AZ14*EF!$H45*EF!$H63)*NtoN2O*kgtoGg,IF('Net zero activities &amp; levers'!$C$14="On",('Net zero Activity data'!AZ14*EF!$H45*EF!$H63)*NtoN2O*kgtoGg,"ERROR"))</f>
        <v>0.12442035279404921</v>
      </c>
      <c r="AH1108" s="93">
        <f>IF('Net zero activities &amp; levers'!$C$14="Off",('Activity data'!BA14*EF!$H45*EF!$H63)*NtoN2O*kgtoGg,IF('Net zero activities &amp; levers'!$C$14="On",('Net zero Activity data'!BA14*EF!$H45*EF!$H63)*NtoN2O*kgtoGg,"ERROR"))</f>
        <v>0.12474907895074024</v>
      </c>
      <c r="AI1108" s="93">
        <f>IF('Net zero activities &amp; levers'!$C$14="Off",('Activity data'!BB14*EF!$H45*EF!$H63)*NtoN2O*kgtoGg,IF('Net zero activities &amp; levers'!$C$14="On",('Net zero Activity data'!BB14*EF!$H45*EF!$H63)*NtoN2O*kgtoGg,"ERROR"))</f>
        <v>0.12494366449156763</v>
      </c>
      <c r="AJ1108" s="93">
        <f>IF('Net zero activities &amp; levers'!$C$14="Off",('Activity data'!BC14*EF!$H45*EF!$H63)*NtoN2O*kgtoGg,IF('Net zero activities &amp; levers'!$C$14="On",('Net zero Activity data'!BC14*EF!$H45*EF!$H63)*NtoN2O*kgtoGg,"ERROR"))</f>
        <v>0.12515662330645747</v>
      </c>
      <c r="AK1108" s="93">
        <f>IF('Net zero activities &amp; levers'!$C$14="Off",('Activity data'!BD14*EF!$H45*EF!$H63)*NtoN2O*kgtoGg,IF('Net zero activities &amp; levers'!$C$14="On",('Net zero Activity data'!BD14*EF!$H45*EF!$H63)*NtoN2O*kgtoGg,"ERROR"))</f>
        <v>0.12538222370536653</v>
      </c>
      <c r="AL1108" s="93">
        <f>IF('Net zero activities &amp; levers'!$C$14="Off",('Activity data'!BE14*EF!$H45*EF!$H63)*NtoN2O*kgtoGg,IF('Net zero activities &amp; levers'!$C$14="On",('Net zero Activity data'!BE14*EF!$H45*EF!$H63)*NtoN2O*kgtoGg,"ERROR"))</f>
        <v>0.12562342426072123</v>
      </c>
      <c r="AM1108" s="93">
        <f>IF('Net zero activities &amp; levers'!$C$14="Off",('Activity data'!BF14*EF!$H45*EF!$H63)*NtoN2O*kgtoGg,IF('Net zero activities &amp; levers'!$C$14="On",('Net zero Activity data'!BF14*EF!$H45*EF!$H63)*NtoN2O*kgtoGg,"ERROR"))</f>
        <v>0.12587792310088028</v>
      </c>
      <c r="AN1108" s="93">
        <f>IF('Net zero activities &amp; levers'!$C$14="Off",('Activity data'!BG14*EF!$H45*EF!$H63)*NtoN2O*kgtoGg,IF('Net zero activities &amp; levers'!$C$14="On",('Net zero Activity data'!BG14*EF!$H45*EF!$H63)*NtoN2O*kgtoGg,"ERROR"))</f>
        <v>0.12601362885130757</v>
      </c>
      <c r="AO1108" s="93">
        <f>IF('Net zero activities &amp; levers'!$C$14="Off",('Activity data'!BH14*EF!$H45*EF!$H63)*NtoN2O*kgtoGg,IF('Net zero activities &amp; levers'!$C$14="On",('Net zero Activity data'!BH14*EF!$H45*EF!$H63)*NtoN2O*kgtoGg,"ERROR"))</f>
        <v>0.12615914674686166</v>
      </c>
      <c r="AP1108" s="93">
        <f>IF('Net zero activities &amp; levers'!$C$14="Off",('Activity data'!BI14*EF!$H45*EF!$H63)*NtoN2O*kgtoGg,IF('Net zero activities &amp; levers'!$C$14="On",('Net zero Activity data'!BI14*EF!$H45*EF!$H63)*NtoN2O*kgtoGg,"ERROR"))</f>
        <v>0.1263167216354017</v>
      </c>
      <c r="AQ1108" s="93">
        <f>IF('Net zero activities &amp; levers'!$C$14="Off",('Activity data'!BJ14*EF!$H45*EF!$H63)*NtoN2O*kgtoGg,IF('Net zero activities &amp; levers'!$C$14="On",('Net zero Activity data'!BJ14*EF!$H45*EF!$H63)*NtoN2O*kgtoGg,"ERROR"))</f>
        <v>0.12648664374547289</v>
      </c>
      <c r="AR1108" s="93">
        <f>IF('Net zero activities &amp; levers'!$C$14="Off",('Activity data'!BK14*EF!$H45*EF!$H63)*NtoN2O*kgtoGg,IF('Net zero activities &amp; levers'!$C$14="On",('Net zero Activity data'!BK14*EF!$H45*EF!$H63)*NtoN2O*kgtoGg,"ERROR"))</f>
        <v>0.12666880089487106</v>
      </c>
      <c r="AS1108" s="93">
        <f>IF('Net zero activities &amp; levers'!$C$14="Off",('Activity data'!BL14*EF!$H45*EF!$H63)*NtoN2O*kgtoGg,IF('Net zero activities &amp; levers'!$C$14="On",('Net zero Activity data'!BL14*EF!$H45*EF!$H63)*NtoN2O*kgtoGg,"ERROR"))</f>
        <v>0.12673076646052897</v>
      </c>
      <c r="AT1108" s="93">
        <f>IF('Net zero activities &amp; levers'!$C$14="Off",('Activity data'!BM14*EF!$H45*EF!$H63)*NtoN2O*kgtoGg,IF('Net zero activities &amp; levers'!$C$14="On",('Net zero Activity data'!BM14*EF!$H45*EF!$H63)*NtoN2O*kgtoGg,"ERROR"))</f>
        <v>0.12678455536263306</v>
      </c>
      <c r="AU1108" s="93">
        <f>IF('Net zero activities &amp; levers'!$C$14="Off",('Activity data'!BN14*EF!$H45*EF!$H63)*NtoN2O*kgtoGg,IF('Net zero activities &amp; levers'!$C$14="On",('Net zero Activity data'!BN14*EF!$H45*EF!$H63)*NtoN2O*kgtoGg,"ERROR"))</f>
        <v>0.1268464977223743</v>
      </c>
      <c r="AV1108" s="93">
        <f>IF('Net zero activities &amp; levers'!$C$14="Off",('Activity data'!BO14*EF!$H45*EF!$H63)*NtoN2O*kgtoGg,IF('Net zero activities &amp; levers'!$C$14="On",('Net zero Activity data'!BO14*EF!$H45*EF!$H63)*NtoN2O*kgtoGg,"ERROR"))</f>
        <v>0.12691819050802894</v>
      </c>
      <c r="AW1108" s="93">
        <f>IF('Net zero activities &amp; levers'!$C$14="Off",('Activity data'!BP14*EF!$H45*EF!$H63)*NtoN2O*kgtoGg,IF('Net zero activities &amp; levers'!$C$14="On",('Net zero Activity data'!BP14*EF!$H45*EF!$H63)*NtoN2O*kgtoGg,"ERROR"))</f>
        <v>0.12699852361165501</v>
      </c>
      <c r="AY1108" s="79"/>
    </row>
    <row r="1109" spans="1:51" x14ac:dyDescent="0.2">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2">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2">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9.6937181363551561E-2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9.4636150647850539E-2</v>
      </c>
      <c r="P1111" s="93">
        <f>IF('Net zero activities &amp; levers'!$C$14="Off",('Activity data'!AI17*EF!$H48*EF!$H66)*NtoN2O*kgtoGg,IF('Net zero activities &amp; levers'!$C$14="On",('Net zero Activity data'!AI17*EF!$H48*EF!$H66)*NtoN2O*kgtoGg,"ERROR"))</f>
        <v>9.2641437622218353E-2</v>
      </c>
      <c r="Q1111" s="93">
        <f>IF('Net zero activities &amp; levers'!$C$14="Off",('Activity data'!AJ17*EF!$H48*EF!$H66)*NtoN2O*kgtoGg,IF('Net zero activities &amp; levers'!$C$14="On",('Net zero Activity data'!AJ17*EF!$H48*EF!$H66)*NtoN2O*kgtoGg,"ERROR"))</f>
        <v>9.1193054757597203E-2</v>
      </c>
      <c r="R1111" s="93">
        <f>IF('Net zero activities &amp; levers'!$C$14="Off",('Activity data'!AK17*EF!$H48*EF!$H66)*NtoN2O*kgtoGg,IF('Net zero activities &amp; levers'!$C$14="On",('Net zero Activity data'!AK17*EF!$H48*EF!$H66)*NtoN2O*kgtoGg,"ERROR"))</f>
        <v>8.9872834352323586E-2</v>
      </c>
      <c r="S1111" s="93">
        <f>IF('Net zero activities &amp; levers'!$C$14="Off",('Activity data'!AL17*EF!$H48*EF!$H66)*NtoN2O*kgtoGg,IF('Net zero activities &amp; levers'!$C$14="On",('Net zero Activity data'!AL17*EF!$H48*EF!$H66)*NtoN2O*kgtoGg,"ERROR"))</f>
        <v>8.007614881771638E-2</v>
      </c>
      <c r="T1111" s="93">
        <f>IF('Net zero activities &amp; levers'!$C$14="Off",('Activity data'!AM17*EF!$H48*EF!$H66)*NtoN2O*kgtoGg,IF('Net zero activities &amp; levers'!$C$14="On",('Net zero Activity data'!AM17*EF!$H48*EF!$H66)*NtoN2O*kgtoGg,"ERROR"))</f>
        <v>8.1326396788510474E-2</v>
      </c>
      <c r="U1111" s="93">
        <f>IF('Net zero activities &amp; levers'!$C$14="Off",('Activity data'!AN17*EF!$H48*EF!$H66)*NtoN2O*kgtoGg,IF('Net zero activities &amp; levers'!$C$14="On",('Net zero Activity data'!AN17*EF!$H48*EF!$H66)*NtoN2O*kgtoGg,"ERROR"))</f>
        <v>8.1857388582928847E-2</v>
      </c>
      <c r="V1111" s="93">
        <f>IF('Net zero activities &amp; levers'!$C$14="Off",('Activity data'!AO17*EF!$H48*EF!$H66)*NtoN2O*kgtoGg,IF('Net zero activities &amp; levers'!$C$14="On",('Net zero Activity data'!AO17*EF!$H48*EF!$H66)*NtoN2O*kgtoGg,"ERROR"))</f>
        <v>8.2207086470719101E-2</v>
      </c>
      <c r="W1111" s="93">
        <f>IF('Net zero activities &amp; levers'!$C$14="Off",('Activity data'!AP17*EF!$H48*EF!$H66)*NtoN2O*kgtoGg,IF('Net zero activities &amp; levers'!$C$14="On",('Net zero Activity data'!AP17*EF!$H48*EF!$H66)*NtoN2O*kgtoGg,"ERROR"))</f>
        <v>8.285461390877466E-2</v>
      </c>
      <c r="X1111" s="93">
        <f>IF('Net zero activities &amp; levers'!$C$14="Off",('Activity data'!AQ17*EF!$H48*EF!$H66)*NtoN2O*kgtoGg,IF('Net zero activities &amp; levers'!$C$14="On",('Net zero Activity data'!AQ17*EF!$H48*EF!$H66)*NtoN2O*kgtoGg,"ERROR"))</f>
        <v>8.333689669834958E-2</v>
      </c>
      <c r="Y1111" s="93">
        <f>IF('Net zero activities &amp; levers'!$C$14="Off",('Activity data'!AR17*EF!$H48*EF!$H66)*NtoN2O*kgtoGg,IF('Net zero activities &amp; levers'!$C$14="On",('Net zero Activity data'!AR17*EF!$H48*EF!$H66)*NtoN2O*kgtoGg,"ERROR"))</f>
        <v>8.3589871912565908E-2</v>
      </c>
      <c r="Z1111" s="93">
        <f>IF('Net zero activities &amp; levers'!$C$14="Off",('Activity data'!AS17*EF!$H48*EF!$H66)*NtoN2O*kgtoGg,IF('Net zero activities &amp; levers'!$C$14="On",('Net zero Activity data'!AS17*EF!$H48*EF!$H66)*NtoN2O*kgtoGg,"ERROR"))</f>
        <v>8.3744868407458789E-2</v>
      </c>
      <c r="AA1111" s="93">
        <f>IF('Net zero activities &amp; levers'!$C$14="Off",('Activity data'!AT17*EF!$H48*EF!$H66)*NtoN2O*kgtoGg,IF('Net zero activities &amp; levers'!$C$14="On",('Net zero Activity data'!AT17*EF!$H48*EF!$H66)*NtoN2O*kgtoGg,"ERROR"))</f>
        <v>8.3765893880963477E-2</v>
      </c>
      <c r="AB1111" s="93">
        <f>IF('Net zero activities &amp; levers'!$C$14="Off",('Activity data'!AU17*EF!$H48*EF!$H66)*NtoN2O*kgtoGg,IF('Net zero activities &amp; levers'!$C$14="On",('Net zero Activity data'!AU17*EF!$H48*EF!$H66)*NtoN2O*kgtoGg,"ERROR"))</f>
        <v>8.4252320791482468E-2</v>
      </c>
      <c r="AC1111" s="93">
        <f>IF('Net zero activities &amp; levers'!$C$14="Off",('Activity data'!AV17*EF!$H48*EF!$H66)*NtoN2O*kgtoGg,IF('Net zero activities &amp; levers'!$C$14="On",('Net zero Activity data'!AV17*EF!$H48*EF!$H66)*NtoN2O*kgtoGg,"ERROR"))</f>
        <v>8.467721169561411E-2</v>
      </c>
      <c r="AD1111" s="93">
        <f>IF('Net zero activities &amp; levers'!$C$14="Off",('Activity data'!AW17*EF!$H48*EF!$H66)*NtoN2O*kgtoGg,IF('Net zero activities &amp; levers'!$C$14="On",('Net zero Activity data'!AW17*EF!$H48*EF!$H66)*NtoN2O*kgtoGg,"ERROR"))</f>
        <v>8.5288552318902811E-2</v>
      </c>
      <c r="AE1111" s="93">
        <f>IF('Net zero activities &amp; levers'!$C$14="Off",('Activity data'!AX17*EF!$H48*EF!$H66)*NtoN2O*kgtoGg,IF('Net zero activities &amp; levers'!$C$14="On",('Net zero Activity data'!AX17*EF!$H48*EF!$H66)*NtoN2O*kgtoGg,"ERROR"))</f>
        <v>8.6321222168383255E-2</v>
      </c>
      <c r="AF1111" s="93">
        <f>IF('Net zero activities &amp; levers'!$C$14="Off",('Activity data'!AY17*EF!$H48*EF!$H66)*NtoN2O*kgtoGg,IF('Net zero activities &amp; levers'!$C$14="On",('Net zero Activity data'!AY17*EF!$H48*EF!$H66)*NtoN2O*kgtoGg,"ERROR"))</f>
        <v>8.7530536010928472E-2</v>
      </c>
      <c r="AG1111" s="93">
        <f>IF('Net zero activities &amp; levers'!$C$14="Off",('Activity data'!AZ17*EF!$H48*EF!$H66)*NtoN2O*kgtoGg,IF('Net zero activities &amp; levers'!$C$14="On",('Net zero Activity data'!AZ17*EF!$H48*EF!$H66)*NtoN2O*kgtoGg,"ERROR"))</f>
        <v>8.9167849032446608E-2</v>
      </c>
      <c r="AH1111" s="93">
        <f>IF('Net zero activities &amp; levers'!$C$14="Off",('Activity data'!BA17*EF!$H48*EF!$H66)*NtoN2O*kgtoGg,IF('Net zero activities &amp; levers'!$C$14="On",('Net zero Activity data'!BA17*EF!$H48*EF!$H66)*NtoN2O*kgtoGg,"ERROR"))</f>
        <v>9.0051741731639295E-2</v>
      </c>
      <c r="AI1111" s="93">
        <f>IF('Net zero activities &amp; levers'!$C$14="Off",('Activity data'!BB17*EF!$H48*EF!$H66)*NtoN2O*kgtoGg,IF('Net zero activities &amp; levers'!$C$14="On",('Net zero Activity data'!BB17*EF!$H48*EF!$H66)*NtoN2O*kgtoGg,"ERROR"))</f>
        <v>9.0823732502808008E-2</v>
      </c>
      <c r="AJ1111" s="93">
        <f>IF('Net zero activities &amp; levers'!$C$14="Off",('Activity data'!BC17*EF!$H48*EF!$H66)*NtoN2O*kgtoGg,IF('Net zero activities &amp; levers'!$C$14="On",('Net zero Activity data'!BC17*EF!$H48*EF!$H66)*NtoN2O*kgtoGg,"ERROR"))</f>
        <v>9.1793903682288E-2</v>
      </c>
      <c r="AK1111" s="93">
        <f>IF('Net zero activities &amp; levers'!$C$14="Off",('Activity data'!BD17*EF!$H48*EF!$H66)*NtoN2O*kgtoGg,IF('Net zero activities &amp; levers'!$C$14="On",('Net zero Activity data'!BD17*EF!$H48*EF!$H66)*NtoN2O*kgtoGg,"ERROR"))</f>
        <v>9.2636221139642705E-2</v>
      </c>
      <c r="AL1111" s="93">
        <f>IF('Net zero activities &amp; levers'!$C$14="Off",('Activity data'!BE17*EF!$H48*EF!$H66)*NtoN2O*kgtoGg,IF('Net zero activities &amp; levers'!$C$14="On",('Net zero Activity data'!BE17*EF!$H48*EF!$H66)*NtoN2O*kgtoGg,"ERROR"))</f>
        <v>9.3568236692189041E-2</v>
      </c>
      <c r="AM1111" s="93">
        <f>IF('Net zero activities &amp; levers'!$C$14="Off",('Activity data'!BF17*EF!$H48*EF!$H66)*NtoN2O*kgtoGg,IF('Net zero activities &amp; levers'!$C$14="On",('Net zero Activity data'!BF17*EF!$H48*EF!$H66)*NtoN2O*kgtoGg,"ERROR"))</f>
        <v>9.4477344703207677E-2</v>
      </c>
      <c r="AN1111" s="93">
        <f>IF('Net zero activities &amp; levers'!$C$14="Off",('Activity data'!BG17*EF!$H48*EF!$H66)*NtoN2O*kgtoGg,IF('Net zero activities &amp; levers'!$C$14="On",('Net zero Activity data'!BG17*EF!$H48*EF!$H66)*NtoN2O*kgtoGg,"ERROR"))</f>
        <v>9.5701309146604296E-2</v>
      </c>
      <c r="AO1111" s="93">
        <f>IF('Net zero activities &amp; levers'!$C$14="Off",('Activity data'!BH17*EF!$H48*EF!$H66)*NtoN2O*kgtoGg,IF('Net zero activities &amp; levers'!$C$14="On",('Net zero Activity data'!BH17*EF!$H48*EF!$H66)*NtoN2O*kgtoGg,"ERROR"))</f>
        <v>9.6764158959885563E-2</v>
      </c>
      <c r="AP1111" s="93">
        <f>IF('Net zero activities &amp; levers'!$C$14="Off",('Activity data'!BI17*EF!$H48*EF!$H66)*NtoN2O*kgtoGg,IF('Net zero activities &amp; levers'!$C$14="On",('Net zero Activity data'!BI17*EF!$H48*EF!$H66)*NtoN2O*kgtoGg,"ERROR"))</f>
        <v>9.7826064209534019E-2</v>
      </c>
      <c r="AQ1111" s="93">
        <f>IF('Net zero activities &amp; levers'!$C$14="Off",('Activity data'!BJ17*EF!$H48*EF!$H66)*NtoN2O*kgtoGg,IF('Net zero activities &amp; levers'!$C$14="On",('Net zero Activity data'!BJ17*EF!$H48*EF!$H66)*NtoN2O*kgtoGg,"ERROR"))</f>
        <v>9.8925683865692504E-2</v>
      </c>
      <c r="AR1111" s="93">
        <f>IF('Net zero activities &amp; levers'!$C$14="Off",('Activity data'!BK17*EF!$H48*EF!$H66)*NtoN2O*kgtoGg,IF('Net zero activities &amp; levers'!$C$14="On",('Net zero Activity data'!BK17*EF!$H48*EF!$H66)*NtoN2O*kgtoGg,"ERROR"))</f>
        <v>0.1000753787258143</v>
      </c>
      <c r="AS1111" s="93">
        <f>IF('Net zero activities &amp; levers'!$C$14="Off",('Activity data'!BL17*EF!$H48*EF!$H66)*NtoN2O*kgtoGg,IF('Net zero activities &amp; levers'!$C$14="On",('Net zero Activity data'!BL17*EF!$H48*EF!$H66)*NtoN2O*kgtoGg,"ERROR"))</f>
        <v>0.10157365781943821</v>
      </c>
      <c r="AT1111" s="93">
        <f>IF('Net zero activities &amp; levers'!$C$14="Off",('Activity data'!BM17*EF!$H48*EF!$H66)*NtoN2O*kgtoGg,IF('Net zero activities &amp; levers'!$C$14="On",('Net zero Activity data'!BM17*EF!$H48*EF!$H66)*NtoN2O*kgtoGg,"ERROR"))</f>
        <v>0.10203766217050345</v>
      </c>
      <c r="AU1111" s="93">
        <f>IF('Net zero activities &amp; levers'!$C$14="Off",('Activity data'!BN17*EF!$H48*EF!$H66)*NtoN2O*kgtoGg,IF('Net zero activities &amp; levers'!$C$14="On",('Net zero Activity data'!BN17*EF!$H48*EF!$H66)*NtoN2O*kgtoGg,"ERROR"))</f>
        <v>0.10240826928518969</v>
      </c>
      <c r="AV1111" s="93">
        <f>IF('Net zero activities &amp; levers'!$C$14="Off",('Activity data'!BO17*EF!$H48*EF!$H66)*NtoN2O*kgtoGg,IF('Net zero activities &amp; levers'!$C$14="On",('Net zero Activity data'!BO17*EF!$H48*EF!$H66)*NtoN2O*kgtoGg,"ERROR"))</f>
        <v>0.10279047259457187</v>
      </c>
      <c r="AW1111" s="93">
        <f>IF('Net zero activities &amp; levers'!$C$14="Off",('Activity data'!BP17*EF!$H48*EF!$H66)*NtoN2O*kgtoGg,IF('Net zero activities &amp; levers'!$C$14="On",('Net zero Activity data'!BP17*EF!$H48*EF!$H66)*NtoN2O*kgtoGg,"ERROR"))</f>
        <v>0.10314026973807801</v>
      </c>
      <c r="AY1111" s="79"/>
    </row>
    <row r="1112" spans="1:51" x14ac:dyDescent="0.2">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3.7923788015899976E-2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3.7023578211438583E-2</v>
      </c>
      <c r="P1112" s="93">
        <f>IF('Net zero activities &amp; levers'!$C$14="Off",('Activity data'!AI18*EF!$H49*EF!$H67)*NtoN2O*kgtoGg,IF('Net zero activities &amp; levers'!$C$14="On",('Net zero Activity data'!AI18*EF!$H49*EF!$H67)*NtoN2O*kgtoGg,"ERROR"))</f>
        <v>3.6243206089281214E-2</v>
      </c>
      <c r="Q1112" s="93">
        <f>IF('Net zero activities &amp; levers'!$C$14="Off",('Activity data'!AJ18*EF!$H49*EF!$H67)*NtoN2O*kgtoGg,IF('Net zero activities &amp; levers'!$C$14="On",('Net zero Activity data'!AJ18*EF!$H49*EF!$H67)*NtoN2O*kgtoGg,"ERROR"))</f>
        <v>3.5676569387541844E-2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3.132741070223205E-2</v>
      </c>
      <c r="T1112" s="93">
        <f>IF('Net zero activities &amp; levers'!$C$14="Off",('Activity data'!AM18*EF!$H49*EF!$H67)*NtoN2O*kgtoGg,IF('Net zero activities &amp; levers'!$C$14="On",('Net zero Activity data'!AM18*EF!$H49*EF!$H67)*NtoN2O*kgtoGg,"ERROR"))</f>
        <v>3.1816533021911265E-2</v>
      </c>
      <c r="U1112" s="93">
        <f>IF('Net zero activities &amp; levers'!$C$14="Off",('Activity data'!AN18*EF!$H49*EF!$H67)*NtoN2O*kgtoGg,IF('Net zero activities &amp; levers'!$C$14="On",('Net zero Activity data'!AN18*EF!$H49*EF!$H67)*NtoN2O*kgtoGg,"ERROR"))</f>
        <v>3.2024267762765575E-2</v>
      </c>
      <c r="V1112" s="93">
        <f>IF('Net zero activities &amp; levers'!$C$14="Off",('Activity data'!AO18*EF!$H49*EF!$H67)*NtoN2O*kgtoGg,IF('Net zero activities &amp; levers'!$C$14="On",('Net zero Activity data'!AO18*EF!$H49*EF!$H67)*NtoN2O*kgtoGg,"ERROR"))</f>
        <v>3.2161076656727829E-2</v>
      </c>
      <c r="W1112" s="93">
        <f>IF('Net zero activities &amp; levers'!$C$14="Off",('Activity data'!AP18*EF!$H49*EF!$H67)*NtoN2O*kgtoGg,IF('Net zero activities &amp; levers'!$C$14="On",('Net zero Activity data'!AP18*EF!$H49*EF!$H67)*NtoN2O*kgtoGg,"ERROR"))</f>
        <v>3.2414402500845374E-2</v>
      </c>
      <c r="X1112" s="93">
        <f>IF('Net zero activities &amp; levers'!$C$14="Off",('Activity data'!AQ18*EF!$H49*EF!$H67)*NtoN2O*kgtoGg,IF('Net zero activities &amp; levers'!$C$14="On",('Net zero Activity data'!AQ18*EF!$H49*EF!$H67)*NtoN2O*kgtoGg,"ERROR"))</f>
        <v>3.2603081292804072E-2</v>
      </c>
      <c r="Y1112" s="93">
        <f>IF('Net zero activities &amp; levers'!$C$14="Off",('Activity data'!AR18*EF!$H49*EF!$H67)*NtoN2O*kgtoGg,IF('Net zero activities &amp; levers'!$C$14="On",('Net zero Activity data'!AR18*EF!$H49*EF!$H67)*NtoN2O*kgtoGg,"ERROR"))</f>
        <v>3.2702050318540822E-2</v>
      </c>
      <c r="Z1112" s="93">
        <f>IF('Net zero activities &amp; levers'!$C$14="Off",('Activity data'!AS18*EF!$H49*EF!$H67)*NtoN2O*kgtoGg,IF('Net zero activities &amp; levers'!$C$14="On",('Net zero Activity data'!AS18*EF!$H49*EF!$H67)*NtoN2O*kgtoGg,"ERROR"))</f>
        <v>3.2762688085523954E-2</v>
      </c>
      <c r="AA1112" s="93">
        <f>IF('Net zero activities &amp; levers'!$C$14="Off",('Activity data'!AT18*EF!$H49*EF!$H67)*NtoN2O*kgtoGg,IF('Net zero activities &amp; levers'!$C$14="On",('Net zero Activity data'!AT18*EF!$H49*EF!$H67)*NtoN2O*kgtoGg,"ERROR"))</f>
        <v>3.2770913676457285E-2</v>
      </c>
      <c r="AB1112" s="93">
        <f>IF('Net zero activities &amp; levers'!$C$14="Off",('Activity data'!AU18*EF!$H49*EF!$H67)*NtoN2O*kgtoGg,IF('Net zero activities &amp; levers'!$C$14="On",('Net zero Activity data'!AU18*EF!$H49*EF!$H67)*NtoN2O*kgtoGg,"ERROR"))</f>
        <v>3.2961213732434436E-2</v>
      </c>
      <c r="AC1112" s="93">
        <f>IF('Net zero activities &amp; levers'!$C$14="Off",('Activity data'!AV18*EF!$H49*EF!$H67)*NtoN2O*kgtoGg,IF('Net zero activities &amp; levers'!$C$14="On",('Net zero Activity data'!AV18*EF!$H49*EF!$H67)*NtoN2O*kgtoGg,"ERROR"))</f>
        <v>3.3127439656806437E-2</v>
      </c>
      <c r="AD1112" s="93">
        <f>IF('Net zero activities &amp; levers'!$C$14="Off",('Activity data'!AW18*EF!$H49*EF!$H67)*NtoN2O*kgtoGg,IF('Net zero activities &amp; levers'!$C$14="On",('Net zero Activity data'!AW18*EF!$H49*EF!$H67)*NtoN2O*kgtoGg,"ERROR"))</f>
        <v>3.3366608486320448E-2</v>
      </c>
      <c r="AE1112" s="93">
        <f>IF('Net zero activities &amp; levers'!$C$14="Off",('Activity data'!AX18*EF!$H49*EF!$H67)*NtoN2O*kgtoGg,IF('Net zero activities &amp; levers'!$C$14="On",('Net zero Activity data'!AX18*EF!$H49*EF!$H67)*NtoN2O*kgtoGg,"ERROR"))</f>
        <v>3.377060983968385E-2</v>
      </c>
      <c r="AF1112" s="93">
        <f>IF('Net zero activities &amp; levers'!$C$14="Off",('Activity data'!AY18*EF!$H49*EF!$H67)*NtoN2O*kgtoGg,IF('Net zero activities &amp; levers'!$C$14="On",('Net zero Activity data'!AY18*EF!$H49*EF!$H67)*NtoN2O*kgtoGg,"ERROR"))</f>
        <v>3.4243717899607513E-2</v>
      </c>
      <c r="AG1112" s="93">
        <f>IF('Net zero activities &amp; levers'!$C$14="Off",('Activity data'!AZ18*EF!$H49*EF!$H67)*NtoN2O*kgtoGg,IF('Net zero activities &amp; levers'!$C$14="On",('Net zero Activity data'!AZ18*EF!$H49*EF!$H67)*NtoN2O*kgtoGg,"ERROR"))</f>
        <v>3.4884267903953659E-2</v>
      </c>
      <c r="AH1112" s="93">
        <f>IF('Net zero activities &amp; levers'!$C$14="Off",('Activity data'!BA18*EF!$H49*EF!$H67)*NtoN2O*kgtoGg,IF('Net zero activities &amp; levers'!$C$14="On",('Net zero Activity data'!BA18*EF!$H49*EF!$H67)*NtoN2O*kgtoGg,"ERROR"))</f>
        <v>3.523006462386518E-2</v>
      </c>
      <c r="AI1112" s="93">
        <f>IF('Net zero activities &amp; levers'!$C$14="Off",('Activity data'!BB18*EF!$H49*EF!$H67)*NtoN2O*kgtoGg,IF('Net zero activities &amp; levers'!$C$14="On",('Net zero Activity data'!BB18*EF!$H49*EF!$H67)*NtoN2O*kgtoGg,"ERROR"))</f>
        <v>3.5532083043879219E-2</v>
      </c>
      <c r="AJ1112" s="93">
        <f>IF('Net zero activities &amp; levers'!$C$14="Off",('Activity data'!BC18*EF!$H49*EF!$H67)*NtoN2O*kgtoGg,IF('Net zero activities &amp; levers'!$C$14="On",('Net zero Activity data'!BC18*EF!$H49*EF!$H67)*NtoN2O*kgtoGg,"ERROR"))</f>
        <v>3.5911633652141173E-2</v>
      </c>
      <c r="AK1112" s="93">
        <f>IF('Net zero activities &amp; levers'!$C$14="Off",('Activity data'!BD18*EF!$H49*EF!$H67)*NtoN2O*kgtoGg,IF('Net zero activities &amp; levers'!$C$14="On",('Net zero Activity data'!BD18*EF!$H49*EF!$H67)*NtoN2O*kgtoGg,"ERROR"))</f>
        <v>3.6241165295680604E-2</v>
      </c>
      <c r="AL1112" s="93">
        <f>IF('Net zero activities &amp; levers'!$C$14="Off",('Activity data'!BE18*EF!$H49*EF!$H67)*NtoN2O*kgtoGg,IF('Net zero activities &amp; levers'!$C$14="On",('Net zero Activity data'!BE18*EF!$H49*EF!$H67)*NtoN2O*kgtoGg,"ERROR"))</f>
        <v>3.6605788650157255E-2</v>
      </c>
      <c r="AM1112" s="93">
        <f>IF('Net zero activities &amp; levers'!$C$14="Off",('Activity data'!BF18*EF!$H49*EF!$H67)*NtoN2O*kgtoGg,IF('Net zero activities &amp; levers'!$C$14="On",('Net zero Activity data'!BF18*EF!$H49*EF!$H67)*NtoN2O*kgtoGg,"ERROR"))</f>
        <v>3.6961450110584139E-2</v>
      </c>
      <c r="AN1112" s="93">
        <f>IF('Net zero activities &amp; levers'!$C$14="Off",('Activity data'!BG18*EF!$H49*EF!$H67)*NtoN2O*kgtoGg,IF('Net zero activities &amp; levers'!$C$14="On",('Net zero Activity data'!BG18*EF!$H49*EF!$H67)*NtoN2O*kgtoGg,"ERROR"))</f>
        <v>3.7440289782188468E-2</v>
      </c>
      <c r="AO1112" s="93">
        <f>IF('Net zero activities &amp; levers'!$C$14="Off",('Activity data'!BH18*EF!$H49*EF!$H67)*NtoN2O*kgtoGg,IF('Net zero activities &amp; levers'!$C$14="On",('Net zero Activity data'!BH18*EF!$H49*EF!$H67)*NtoN2O*kgtoGg,"ERROR"))</f>
        <v>3.7856098148438051E-2</v>
      </c>
      <c r="AP1112" s="93">
        <f>IF('Net zero activities &amp; levers'!$C$14="Off",('Activity data'!BI18*EF!$H49*EF!$H67)*NtoN2O*kgtoGg,IF('Net zero activities &amp; levers'!$C$14="On",('Net zero Activity data'!BI18*EF!$H49*EF!$H67)*NtoN2O*kgtoGg,"ERROR"))</f>
        <v>3.82715369822701E-2</v>
      </c>
      <c r="AQ1112" s="93">
        <f>IF('Net zero activities &amp; levers'!$C$14="Off",('Activity data'!BJ18*EF!$H49*EF!$H67)*NtoN2O*kgtoGg,IF('Net zero activities &amp; levers'!$C$14="On",('Net zero Activity data'!BJ18*EF!$H49*EF!$H67)*NtoN2O*kgtoGg,"ERROR"))</f>
        <v>3.8701730455524434E-2</v>
      </c>
      <c r="AR1112" s="93">
        <f>IF('Net zero activities &amp; levers'!$C$14="Off",('Activity data'!BK18*EF!$H49*EF!$H67)*NtoN2O*kgtoGg,IF('Net zero activities &amp; levers'!$C$14="On",('Net zero Activity data'!BK18*EF!$H49*EF!$H67)*NtoN2O*kgtoGg,"ERROR"))</f>
        <v>3.9151514362431208E-2</v>
      </c>
      <c r="AS1112" s="93">
        <f>IF('Net zero activities &amp; levers'!$C$14="Off",('Activity data'!BL18*EF!$H49*EF!$H67)*NtoN2O*kgtoGg,IF('Net zero activities &amp; levers'!$C$14="On",('Net zero Activity data'!BL18*EF!$H49*EF!$H67)*NtoN2O*kgtoGg,"ERROR"))</f>
        <v>3.973767147919479E-2</v>
      </c>
      <c r="AT1112" s="93">
        <f>IF('Net zero activities &amp; levers'!$C$14="Off",('Activity data'!BM18*EF!$H49*EF!$H67)*NtoN2O*kgtoGg,IF('Net zero activities &amp; levers'!$C$14="On",('Net zero Activity data'!BM18*EF!$H49*EF!$H67)*NtoN2O*kgtoGg,"ERROR"))</f>
        <v>3.9919199375928846E-2</v>
      </c>
      <c r="AU1112" s="93">
        <f>IF('Net zero activities &amp; levers'!$C$14="Off",('Activity data'!BN18*EF!$H49*EF!$H67)*NtoN2O*kgtoGg,IF('Net zero activities &amp; levers'!$C$14="On",('Net zero Activity data'!BN18*EF!$H49*EF!$H67)*NtoN2O*kgtoGg,"ERROR"))</f>
        <v>4.0064188382797468E-2</v>
      </c>
      <c r="AV1112" s="93">
        <f>IF('Net zero activities &amp; levers'!$C$14="Off",('Activity data'!BO18*EF!$H49*EF!$H67)*NtoN2O*kgtoGg,IF('Net zero activities &amp; levers'!$C$14="On",('Net zero Activity data'!BO18*EF!$H49*EF!$H67)*NtoN2O*kgtoGg,"ERROR"))</f>
        <v>4.0213714055816842E-2</v>
      </c>
      <c r="AW1112" s="93">
        <f>IF('Net zero activities &amp; levers'!$C$14="Off",('Activity data'!BP18*EF!$H49*EF!$H67)*NtoN2O*kgtoGg,IF('Net zero activities &amp; levers'!$C$14="On",('Net zero Activity data'!BP18*EF!$H49*EF!$H67)*NtoN2O*kgtoGg,"ERROR"))</f>
        <v>4.0350561780624759E-2</v>
      </c>
      <c r="AY1112" s="79"/>
    </row>
    <row r="1113" spans="1:51" x14ac:dyDescent="0.2">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0.32784224726088984</v>
      </c>
      <c r="L1113" s="93">
        <f>IF('Net zero activities &amp; levers'!$C$14="Off",('Activity data'!AE19*EF!$H50*EF!$H68)*NtoN2O*kgtoGg,IF('Net zero activities &amp; levers'!$C$14="On",('Net zero Activity data'!AE19*EF!$H50*EF!$H68)*NtoN2O*kgtoGg,"ERROR"))</f>
        <v>0.33450793008613738</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0.35308310351311484</v>
      </c>
      <c r="P1113" s="93">
        <f>IF('Net zero activities &amp; levers'!$C$14="Off",('Activity data'!AI19*EF!$H50*EF!$H68)*NtoN2O*kgtoGg,IF('Net zero activities &amp; levers'!$C$14="On",('Net zero Activity data'!AI19*EF!$H50*EF!$H68)*NtoN2O*kgtoGg,"ERROR"))</f>
        <v>0.35667649320457151</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0.36607496135357964</v>
      </c>
      <c r="S1113" s="93">
        <f>IF('Net zero activities &amp; levers'!$C$14="Off",('Activity data'!AL19*EF!$H50*EF!$H68)*NtoN2O*kgtoGg,IF('Net zero activities &amp; levers'!$C$14="On",('Net zero Activity data'!AL19*EF!$H50*EF!$H68)*NtoN2O*kgtoGg,"ERROR"))</f>
        <v>0.35143183243338239</v>
      </c>
      <c r="T1113" s="93">
        <f>IF('Net zero activities &amp; levers'!$C$14="Off",('Activity data'!AM19*EF!$H50*EF!$H68)*NtoN2O*kgtoGg,IF('Net zero activities &amp; levers'!$C$14="On",('Net zero Activity data'!AM19*EF!$H50*EF!$H68)*NtoN2O*kgtoGg,"ERROR"))</f>
        <v>0.36075285272545593</v>
      </c>
      <c r="U1113" s="93">
        <f>IF('Net zero activities &amp; levers'!$C$14="Off",('Activity data'!AN19*EF!$H50*EF!$H68)*NtoN2O*kgtoGg,IF('Net zero activities &amp; levers'!$C$14="On",('Net zero Activity data'!AN19*EF!$H50*EF!$H68)*NtoN2O*kgtoGg,"ERROR"))</f>
        <v>0.36853031698633509</v>
      </c>
      <c r="V1113" s="93">
        <f>IF('Net zero activities &amp; levers'!$C$14="Off",('Activity data'!AO19*EF!$H50*EF!$H68)*NtoN2O*kgtoGg,IF('Net zero activities &amp; levers'!$C$14="On",('Net zero Activity data'!AO19*EF!$H50*EF!$H68)*NtoN2O*kgtoGg,"ERROR"))</f>
        <v>0.37596763636775804</v>
      </c>
      <c r="W1113" s="93">
        <f>IF('Net zero activities &amp; levers'!$C$14="Off",('Activity data'!AP19*EF!$H50*EF!$H68)*NtoN2O*kgtoGg,IF('Net zero activities &amp; levers'!$C$14="On",('Net zero Activity data'!AP19*EF!$H50*EF!$H68)*NtoN2O*kgtoGg,"ERROR"))</f>
        <v>0.38423631077311071</v>
      </c>
      <c r="X1113" s="93">
        <f>IF('Net zero activities &amp; levers'!$C$14="Off",('Activity data'!AQ19*EF!$H50*EF!$H68)*NtoN2O*kgtoGg,IF('Net zero activities &amp; levers'!$C$14="On",('Net zero Activity data'!AQ19*EF!$H50*EF!$H68)*NtoN2O*kgtoGg,"ERROR"))</f>
        <v>0.39220730600957571</v>
      </c>
      <c r="Y1113" s="93">
        <f>IF('Net zero activities &amp; levers'!$C$14="Off",('Activity data'!AR19*EF!$H50*EF!$H68)*NtoN2O*kgtoGg,IF('Net zero activities &amp; levers'!$C$14="On",('Net zero Activity data'!AR19*EF!$H50*EF!$H68)*NtoN2O*kgtoGg,"ERROR"))</f>
        <v>0.39936428537617313</v>
      </c>
      <c r="Z1113" s="93">
        <f>IF('Net zero activities &amp; levers'!$C$14="Off",('Activity data'!AS19*EF!$H50*EF!$H68)*NtoN2O*kgtoGg,IF('Net zero activities &amp; levers'!$C$14="On",('Net zero Activity data'!AS19*EF!$H50*EF!$H68)*NtoN2O*kgtoGg,"ERROR"))</f>
        <v>0.40634242638516721</v>
      </c>
      <c r="AA1113" s="93">
        <f>IF('Net zero activities &amp; levers'!$C$14="Off",('Activity data'!AT19*EF!$H50*EF!$H68)*NtoN2O*kgtoGg,IF('Net zero activities &amp; levers'!$C$14="On",('Net zero Activity data'!AT19*EF!$H50*EF!$H68)*NtoN2O*kgtoGg,"ERROR"))</f>
        <v>0.41303118340854511</v>
      </c>
      <c r="AB1113" s="93">
        <f>IF('Net zero activities &amp; levers'!$C$14="Off",('Activity data'!AU19*EF!$H50*EF!$H68)*NtoN2O*kgtoGg,IF('Net zero activities &amp; levers'!$C$14="On",('Net zero Activity data'!AU19*EF!$H50*EF!$H68)*NtoN2O*kgtoGg,"ERROR"))</f>
        <v>0.42107387695618559</v>
      </c>
      <c r="AC1113" s="93">
        <f>IF('Net zero activities &amp; levers'!$C$14="Off",('Activity data'!AV19*EF!$H50*EF!$H68)*NtoN2O*kgtoGg,IF('Net zero activities &amp; levers'!$C$14="On",('Net zero Activity data'!AV19*EF!$H50*EF!$H68)*NtoN2O*kgtoGg,"ERROR"))</f>
        <v>0.42906142963568294</v>
      </c>
      <c r="AD1113" s="93">
        <f>IF('Net zero activities &amp; levers'!$C$14="Off",('Activity data'!AW19*EF!$H50*EF!$H68)*NtoN2O*kgtoGg,IF('Net zero activities &amp; levers'!$C$14="On",('Net zero Activity data'!AW19*EF!$H50*EF!$H68)*NtoN2O*kgtoGg,"ERROR"))</f>
        <v>0.43743347438516689</v>
      </c>
      <c r="AE1113" s="93">
        <f>IF('Net zero activities &amp; levers'!$C$14="Off",('Activity data'!AX19*EF!$H50*EF!$H68)*NtoN2O*kgtoGg,IF('Net zero activities &amp; levers'!$C$14="On",('Net zero Activity data'!AX19*EF!$H50*EF!$H68)*NtoN2O*kgtoGg,"ERROR"))</f>
        <v>0.44718290108725961</v>
      </c>
      <c r="AF1113" s="93">
        <f>IF('Net zero activities &amp; levers'!$C$14="Off",('Activity data'!AY19*EF!$H50*EF!$H68)*NtoN2O*kgtoGg,IF('Net zero activities &amp; levers'!$C$14="On",('Net zero Activity data'!AY19*EF!$H50*EF!$H68)*NtoN2O*kgtoGg,"ERROR"))</f>
        <v>0.45765280094933275</v>
      </c>
      <c r="AG1113" s="93">
        <f>IF('Net zero activities &amp; levers'!$C$14="Off",('Activity data'!AZ19*EF!$H50*EF!$H68)*NtoN2O*kgtoGg,IF('Net zero activities &amp; levers'!$C$14="On",('Net zero Activity data'!AZ19*EF!$H50*EF!$H68)*NtoN2O*kgtoGg,"ERROR"))</f>
        <v>0.46964954754544574</v>
      </c>
      <c r="AH1113" s="93">
        <f>IF('Net zero activities &amp; levers'!$C$14="Off",('Activity data'!BA19*EF!$H50*EF!$H68)*NtoN2O*kgtoGg,IF('Net zero activities &amp; levers'!$C$14="On",('Net zero Activity data'!BA19*EF!$H50*EF!$H68)*NtoN2O*kgtoGg,"ERROR"))</f>
        <v>0.47956610826401264</v>
      </c>
      <c r="AI1113" s="93">
        <f>IF('Net zero activities &amp; levers'!$C$14="Off",('Activity data'!BB19*EF!$H50*EF!$H68)*NtoN2O*kgtoGg,IF('Net zero activities &amp; levers'!$C$14="On",('Net zero Activity data'!BB19*EF!$H50*EF!$H68)*NtoN2O*kgtoGg,"ERROR"))</f>
        <v>0.48905427439468169</v>
      </c>
      <c r="AJ1113" s="93">
        <f>IF('Net zero activities &amp; levers'!$C$14="Off",('Activity data'!BC19*EF!$H50*EF!$H68)*NtoN2O*kgtoGg,IF('Net zero activities &amp; levers'!$C$14="On",('Net zero Activity data'!BC19*EF!$H50*EF!$H68)*NtoN2O*kgtoGg,"ERROR"))</f>
        <v>0.49936104134598547</v>
      </c>
      <c r="AK1113" s="93">
        <f>IF('Net zero activities &amp; levers'!$C$14="Off",('Activity data'!BD19*EF!$H50*EF!$H68)*NtoN2O*kgtoGg,IF('Net zero activities &amp; levers'!$C$14="On",('Net zero Activity data'!BD19*EF!$H50*EF!$H68)*NtoN2O*kgtoGg,"ERROR"))</f>
        <v>0.5094502425603159</v>
      </c>
      <c r="AL1113" s="93">
        <f>IF('Net zero activities &amp; levers'!$C$14="Off",('Activity data'!BE19*EF!$H50*EF!$H68)*NtoN2O*kgtoGg,IF('Net zero activities &amp; levers'!$C$14="On",('Net zero Activity data'!BE19*EF!$H50*EF!$H68)*NtoN2O*kgtoGg,"ERROR"))</f>
        <v>0.52003660978561117</v>
      </c>
      <c r="AM1113" s="93">
        <f>IF('Net zero activities &amp; levers'!$C$14="Off",('Activity data'!BF19*EF!$H50*EF!$H68)*NtoN2O*kgtoGg,IF('Net zero activities &amp; levers'!$C$14="On",('Net zero Activity data'!BF19*EF!$H50*EF!$H68)*NtoN2O*kgtoGg,"ERROR"))</f>
        <v>0.53075624094362661</v>
      </c>
      <c r="AN1113" s="93">
        <f>IF('Net zero activities &amp; levers'!$C$14="Off",('Activity data'!BG19*EF!$H50*EF!$H68)*NtoN2O*kgtoGg,IF('Net zero activities &amp; levers'!$C$14="On",('Net zero Activity data'!BG19*EF!$H50*EF!$H68)*NtoN2O*kgtoGg,"ERROR"))</f>
        <v>0.54254535314858965</v>
      </c>
      <c r="AO1113" s="93">
        <f>IF('Net zero activities &amp; levers'!$C$14="Off",('Activity data'!BH19*EF!$H50*EF!$H68)*NtoN2O*kgtoGg,IF('Net zero activities &amp; levers'!$C$14="On",('Net zero Activity data'!BH19*EF!$H50*EF!$H68)*NtoN2O*kgtoGg,"ERROR"))</f>
        <v>0.55401935597193963</v>
      </c>
      <c r="AP1113" s="93">
        <f>IF('Net zero activities &amp; levers'!$C$14="Off",('Activity data'!BI19*EF!$H50*EF!$H68)*NtoN2O*kgtoGg,IF('Net zero activities &amp; levers'!$C$14="On",('Net zero Activity data'!BI19*EF!$H50*EF!$H68)*NtoN2O*kgtoGg,"ERROR"))</f>
        <v>0.56573487647354037</v>
      </c>
      <c r="AQ1113" s="93">
        <f>IF('Net zero activities &amp; levers'!$C$14="Off",('Activity data'!BJ19*EF!$H50*EF!$H68)*NtoN2O*kgtoGg,IF('Net zero activities &amp; levers'!$C$14="On",('Net zero Activity data'!BJ19*EF!$H50*EF!$H68)*NtoN2O*kgtoGg,"ERROR"))</f>
        <v>0.57784177154062866</v>
      </c>
      <c r="AR1113" s="93">
        <f>IF('Net zero activities &amp; levers'!$C$14="Off",('Activity data'!BK19*EF!$H50*EF!$H68)*NtoN2O*kgtoGg,IF('Net zero activities &amp; levers'!$C$14="On",('Net zero Activity data'!BK19*EF!$H50*EF!$H68)*NtoN2O*kgtoGg,"ERROR"))</f>
        <v>0.59040171392478091</v>
      </c>
      <c r="AS1113" s="93">
        <f>IF('Net zero activities &amp; levers'!$C$14="Off",('Activity data'!BL19*EF!$H50*EF!$H68)*NtoN2O*kgtoGg,IF('Net zero activities &amp; levers'!$C$14="On",('Net zero Activity data'!BL19*EF!$H50*EF!$H68)*NtoN2O*kgtoGg,"ERROR"))</f>
        <v>0.60432458622346374</v>
      </c>
      <c r="AT1113" s="93">
        <f>IF('Net zero activities &amp; levers'!$C$14="Off",('Activity data'!BM19*EF!$H50*EF!$H68)*NtoN2O*kgtoGg,IF('Net zero activities &amp; levers'!$C$14="On",('Net zero Activity data'!BM19*EF!$H50*EF!$H68)*NtoN2O*kgtoGg,"ERROR"))</f>
        <v>0.61453867581789445</v>
      </c>
      <c r="AU1113" s="93">
        <f>IF('Net zero activities &amp; levers'!$C$14="Off",('Activity data'!BN19*EF!$H50*EF!$H68)*NtoN2O*kgtoGg,IF('Net zero activities &amp; levers'!$C$14="On",('Net zero Activity data'!BN19*EF!$H50*EF!$H68)*NtoN2O*kgtoGg,"ERROR"))</f>
        <v>0.62457515677108666</v>
      </c>
      <c r="AV1113" s="93">
        <f>IF('Net zero activities &amp; levers'!$C$14="Off",('Activity data'!BO19*EF!$H50*EF!$H68)*NtoN2O*kgtoGg,IF('Net zero activities &amp; levers'!$C$14="On",('Net zero Activity data'!BO19*EF!$H50*EF!$H68)*NtoN2O*kgtoGg,"ERROR"))</f>
        <v>0.63484544126508857</v>
      </c>
      <c r="AW1113" s="93">
        <f>IF('Net zero activities &amp; levers'!$C$14="Off",('Activity data'!BP19*EF!$H50*EF!$H68)*NtoN2O*kgtoGg,IF('Net zero activities &amp; levers'!$C$14="On",('Net zero Activity data'!BP19*EF!$H50*EF!$H68)*NtoN2O*kgtoGg,"ERROR"))</f>
        <v>0.64517661361237144</v>
      </c>
      <c r="AY1113" s="79"/>
    </row>
    <row r="1114" spans="1:51" x14ac:dyDescent="0.2">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1.7017151675634961</v>
      </c>
      <c r="L1114" s="93">
        <f>IF('Net zero activities &amp; levers'!$C$14="Off",('Activity data'!AE20*EF!$H51*EF!$H69)*NtoN2O*kgtoGg,IF('Net zero activities &amp; levers'!$C$14="On",('Net zero Activity data'!AE20*EF!$H51*EF!$H69)*NtoN2O*kgtoGg,"ERROR"))</f>
        <v>1.7241237147327644</v>
      </c>
      <c r="M1114" s="93">
        <f>IF('Net zero activities &amp; levers'!$C$14="Off",('Activity data'!AF20*EF!$H51*EF!$H69)*NtoN2O*kgtoGg,IF('Net zero activities &amp; levers'!$C$14="On",('Net zero Activity data'!AF20*EF!$H51*EF!$H69)*NtoN2O*kgtoGg,"ERROR"))</f>
        <v>1.7601182693498112</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1.7315152516158574</v>
      </c>
      <c r="R1114" s="93">
        <f>IF('Net zero activities &amp; levers'!$C$14="Off",('Activity data'!AK20*EF!$H51*EF!$H69)*NtoN2O*kgtoGg,IF('Net zero activities &amp; levers'!$C$14="On",('Net zero Activity data'!AK20*EF!$H51*EF!$H69)*NtoN2O*kgtoGg,"ERROR"))</f>
        <v>1.7240481490859678</v>
      </c>
      <c r="S1114" s="93">
        <f>IF('Net zero activities &amp; levers'!$C$14="Off",('Activity data'!AL20*EF!$H51*EF!$H69)*NtoN2O*kgtoGg,IF('Net zero activities &amp; levers'!$C$14="On",('Net zero Activity data'!AL20*EF!$H51*EF!$H69)*NtoN2O*kgtoGg,"ERROR"))</f>
        <v>1.4738757031674365</v>
      </c>
      <c r="T1114" s="93">
        <f>IF('Net zero activities &amp; levers'!$C$14="Off",('Activity data'!AM20*EF!$H51*EF!$H69)*NtoN2O*kgtoGg,IF('Net zero activities &amp; levers'!$C$14="On",('Net zero Activity data'!AM20*EF!$H51*EF!$H69)*NtoN2O*kgtoGg,"ERROR"))</f>
        <v>1.5388372787954712</v>
      </c>
      <c r="U1114" s="93">
        <f>IF('Net zero activities &amp; levers'!$C$14="Off",('Activity data'!AN20*EF!$H51*EF!$H69)*NtoN2O*kgtoGg,IF('Net zero activities &amp; levers'!$C$14="On",('Net zero Activity data'!AN20*EF!$H51*EF!$H69)*NtoN2O*kgtoGg,"ERROR"))</f>
        <v>1.5836036619864218</v>
      </c>
      <c r="V1114" s="93">
        <f>IF('Net zero activities &amp; levers'!$C$14="Off",('Activity data'!AO20*EF!$H51*EF!$H69)*NtoN2O*kgtoGg,IF('Net zero activities &amp; levers'!$C$14="On",('Net zero Activity data'!AO20*EF!$H51*EF!$H69)*NtoN2O*kgtoGg,"ERROR"))</f>
        <v>1.6233328828738469</v>
      </c>
      <c r="W1114" s="93">
        <f>IF('Net zero activities &amp; levers'!$C$14="Off",('Activity data'!AP20*EF!$H51*EF!$H69)*NtoN2O*kgtoGg,IF('Net zero activities &amp; levers'!$C$14="On",('Net zero Activity data'!AP20*EF!$H51*EF!$H69)*NtoN2O*kgtoGg,"ERROR"))</f>
        <v>1.6722487915194271</v>
      </c>
      <c r="X1114" s="93">
        <f>IF('Net zero activities &amp; levers'!$C$14="Off",('Activity data'!AQ20*EF!$H51*EF!$H69)*NtoN2O*kgtoGg,IF('Net zero activities &amp; levers'!$C$14="On",('Net zero Activity data'!AQ20*EF!$H51*EF!$H69)*NtoN2O*kgtoGg,"ERROR"))</f>
        <v>1.7166486312949987</v>
      </c>
      <c r="Y1114" s="93">
        <f>IF('Net zero activities &amp; levers'!$C$14="Off",('Activity data'!AR20*EF!$H51*EF!$H69)*NtoN2O*kgtoGg,IF('Net zero activities &amp; levers'!$C$14="On",('Net zero Activity data'!AR20*EF!$H51*EF!$H69)*NtoN2O*kgtoGg,"ERROR"))</f>
        <v>1.7558377432347874</v>
      </c>
      <c r="Z1114" s="93">
        <f>IF('Net zero activities &amp; levers'!$C$14="Off",('Activity data'!AS20*EF!$H51*EF!$H69)*NtoN2O*kgtoGg,IF('Net zero activities &amp; levers'!$C$14="On",('Net zero Activity data'!AS20*EF!$H51*EF!$H69)*NtoN2O*kgtoGg,"ERROR"))</f>
        <v>1.7922488857917309</v>
      </c>
      <c r="AA1114" s="93">
        <f>IF('Net zero activities &amp; levers'!$C$14="Off",('Activity data'!AT20*EF!$H51*EF!$H69)*NtoN2O*kgtoGg,IF('Net zero activities &amp; levers'!$C$14="On",('Net zero Activity data'!AT20*EF!$H51*EF!$H69)*NtoN2O*kgtoGg,"ERROR"))</f>
        <v>1.8246587141077992</v>
      </c>
      <c r="AB1114" s="93">
        <f>IF('Net zero activities &amp; levers'!$C$14="Off",('Activity data'!AU20*EF!$H51*EF!$H69)*NtoN2O*kgtoGg,IF('Net zero activities &amp; levers'!$C$14="On",('Net zero Activity data'!AU20*EF!$H51*EF!$H69)*NtoN2O*kgtoGg,"ERROR"))</f>
        <v>1.8721447091119181</v>
      </c>
      <c r="AC1114" s="93">
        <f>IF('Net zero activities &amp; levers'!$C$14="Off",('Activity data'!AV20*EF!$H51*EF!$H69)*NtoN2O*kgtoGg,IF('Net zero activities &amp; levers'!$C$14="On",('Net zero Activity data'!AV20*EF!$H51*EF!$H69)*NtoN2O*kgtoGg,"ERROR"))</f>
        <v>1.9182061569635991</v>
      </c>
      <c r="AD1114" s="93">
        <f>IF('Net zero activities &amp; levers'!$C$14="Off",('Activity data'!AW20*EF!$H51*EF!$H69)*NtoN2O*kgtoGg,IF('Net zero activities &amp; levers'!$C$14="On",('Net zero Activity data'!AW20*EF!$H51*EF!$H69)*NtoN2O*kgtoGg,"ERROR"))</f>
        <v>1.9720971341440943</v>
      </c>
      <c r="AE1114" s="93">
        <f>IF('Net zero activities &amp; levers'!$C$14="Off",('Activity data'!AX20*EF!$H51*EF!$H69)*NtoN2O*kgtoGg,IF('Net zero activities &amp; levers'!$C$14="On",('Net zero Activity data'!AX20*EF!$H51*EF!$H69)*NtoN2O*kgtoGg,"ERROR"))</f>
        <v>2.0407669485031263</v>
      </c>
      <c r="AF1114" s="93">
        <f>IF('Net zero activities &amp; levers'!$C$14="Off",('Activity data'!AY20*EF!$H51*EF!$H69)*NtoN2O*kgtoGg,IF('Net zero activities &amp; levers'!$C$14="On",('Net zero Activity data'!AY20*EF!$H51*EF!$H69)*NtoN2O*kgtoGg,"ERROR"))</f>
        <v>2.1165368943229095</v>
      </c>
      <c r="AG1114" s="93">
        <f>IF('Net zero activities &amp; levers'!$C$14="Off",('Activity data'!AZ20*EF!$H51*EF!$H69)*NtoN2O*kgtoGg,IF('Net zero activities &amp; levers'!$C$14="On",('Net zero Activity data'!AZ20*EF!$H51*EF!$H69)*NtoN2O*kgtoGg,"ERROR"))</f>
        <v>2.2082604288024275</v>
      </c>
      <c r="AH1114" s="93">
        <f>IF('Net zero activities &amp; levers'!$C$14="Off",('Activity data'!BA20*EF!$H51*EF!$H69)*NtoN2O*kgtoGg,IF('Net zero activities &amp; levers'!$C$14="On",('Net zero Activity data'!BA20*EF!$H51*EF!$H69)*NtoN2O*kgtoGg,"ERROR"))</f>
        <v>2.275680198252084</v>
      </c>
      <c r="AI1114" s="93">
        <f>IF('Net zero activities &amp; levers'!$C$14="Off",('Activity data'!BB20*EF!$H51*EF!$H69)*NtoN2O*kgtoGg,IF('Net zero activities &amp; levers'!$C$14="On",('Net zero Activity data'!BB20*EF!$H51*EF!$H69)*NtoN2O*kgtoGg,"ERROR"))</f>
        <v>2.3413904736766207</v>
      </c>
      <c r="AJ1114" s="93">
        <f>IF('Net zero activities &amp; levers'!$C$14="Off",('Activity data'!BC20*EF!$H51*EF!$H69)*NtoN2O*kgtoGg,IF('Net zero activities &amp; levers'!$C$14="On",('Net zero Activity data'!BC20*EF!$H51*EF!$H69)*NtoN2O*kgtoGg,"ERROR"))</f>
        <v>2.415218944506448</v>
      </c>
      <c r="AK1114" s="93">
        <f>IF('Net zero activities &amp; levers'!$C$14="Off",('Activity data'!BD20*EF!$H51*EF!$H69)*NtoN2O*kgtoGg,IF('Net zero activities &amp; levers'!$C$14="On",('Net zero Activity data'!BD20*EF!$H51*EF!$H69)*NtoN2O*kgtoGg,"ERROR"))</f>
        <v>2.4857625444009255</v>
      </c>
      <c r="AL1114" s="93">
        <f>IF('Net zero activities &amp; levers'!$C$14="Off",('Activity data'!BE20*EF!$H51*EF!$H69)*NtoN2O*kgtoGg,IF('Net zero activities &amp; levers'!$C$14="On",('Net zero Activity data'!BE20*EF!$H51*EF!$H69)*NtoN2O*kgtoGg,"ERROR"))</f>
        <v>2.5608054567251783</v>
      </c>
      <c r="AM1114" s="93">
        <f>IF('Net zero activities &amp; levers'!$C$14="Off",('Activity data'!BF20*EF!$H51*EF!$H69)*NtoN2O*kgtoGg,IF('Net zero activities &amp; levers'!$C$14="On",('Net zero Activity data'!BF20*EF!$H51*EF!$H69)*NtoN2O*kgtoGg,"ERROR"))</f>
        <v>2.6363672729917886</v>
      </c>
      <c r="AN1114" s="93">
        <f>IF('Net zero activities &amp; levers'!$C$14="Off",('Activity data'!BG20*EF!$H51*EF!$H69)*NtoN2O*kgtoGg,IF('Net zero activities &amp; levers'!$C$14="On",('Net zero Activity data'!BG20*EF!$H51*EF!$H69)*NtoN2O*kgtoGg,"ERROR"))</f>
        <v>2.7260471010137848</v>
      </c>
      <c r="AO1114" s="93">
        <f>IF('Net zero activities &amp; levers'!$C$14="Off",('Activity data'!BH20*EF!$H51*EF!$H69)*NtoN2O*kgtoGg,IF('Net zero activities &amp; levers'!$C$14="On",('Net zero Activity data'!BH20*EF!$H51*EF!$H69)*NtoN2O*kgtoGg,"ERROR"))</f>
        <v>2.8113754255419443</v>
      </c>
      <c r="AP1114" s="93">
        <f>IF('Net zero activities &amp; levers'!$C$14="Off",('Activity data'!BI20*EF!$H51*EF!$H69)*NtoN2O*kgtoGg,IF('Net zero activities &amp; levers'!$C$14="On",('Net zero Activity data'!BI20*EF!$H51*EF!$H69)*NtoN2O*kgtoGg,"ERROR"))</f>
        <v>2.8983044964731111</v>
      </c>
      <c r="AQ1114" s="93">
        <f>IF('Net zero activities &amp; levers'!$C$14="Off",('Activity data'!BJ20*EF!$H51*EF!$H69)*NtoN2O*kgtoGg,IF('Net zero activities &amp; levers'!$C$14="On",('Net zero Activity data'!BJ20*EF!$H51*EF!$H69)*NtoN2O*kgtoGg,"ERROR"))</f>
        <v>2.9883855152257053</v>
      </c>
      <c r="AR1114" s="93">
        <f>IF('Net zero activities &amp; levers'!$C$14="Off",('Activity data'!BK20*EF!$H51*EF!$H69)*NtoN2O*kgtoGg,IF('Net zero activities &amp; levers'!$C$14="On",('Net zero Activity data'!BK20*EF!$H51*EF!$H69)*NtoN2O*kgtoGg,"ERROR"))</f>
        <v>3.0822159477018669</v>
      </c>
      <c r="AS1114" s="93">
        <f>IF('Net zero activities &amp; levers'!$C$14="Off",('Activity data'!BL20*EF!$H51*EF!$H69)*NtoN2O*kgtoGg,IF('Net zero activities &amp; levers'!$C$14="On",('Net zero Activity data'!BL20*EF!$H51*EF!$H69)*NtoN2O*kgtoGg,"ERROR"))</f>
        <v>3.1927841339465477</v>
      </c>
      <c r="AT1114" s="93">
        <f>IF('Net zero activities &amp; levers'!$C$14="Off",('Activity data'!BM20*EF!$H51*EF!$H69)*NtoN2O*kgtoGg,IF('Net zero activities &amp; levers'!$C$14="On",('Net zero Activity data'!BM20*EF!$H51*EF!$H69)*NtoN2O*kgtoGg,"ERROR"))</f>
        <v>3.2639921874822613</v>
      </c>
      <c r="AU1114" s="93">
        <f>IF('Net zero activities &amp; levers'!$C$14="Off",('Activity data'!BN20*EF!$H51*EF!$H69)*NtoN2O*kgtoGg,IF('Net zero activities &amp; levers'!$C$14="On",('Net zero Activity data'!BN20*EF!$H51*EF!$H69)*NtoN2O*kgtoGg,"ERROR"))</f>
        <v>3.3326892535191242</v>
      </c>
      <c r="AV1114" s="93">
        <f>IF('Net zero activities &amp; levers'!$C$14="Off",('Activity data'!BO20*EF!$H51*EF!$H69)*NtoN2O*kgtoGg,IF('Net zero activities &amp; levers'!$C$14="On",('Net zero Activity data'!BO20*EF!$H51*EF!$H69)*NtoN2O*kgtoGg,"ERROR"))</f>
        <v>3.4031153641230509</v>
      </c>
      <c r="AW1114" s="93">
        <f>IF('Net zero activities &amp; levers'!$C$14="Off",('Activity data'!BP20*EF!$H51*EF!$H69)*NtoN2O*kgtoGg,IF('Net zero activities &amp; levers'!$C$14="On",('Net zero Activity data'!BP20*EF!$H51*EF!$H69)*NtoN2O*kgtoGg,"ERROR"))</f>
        <v>3.4734928434212469</v>
      </c>
      <c r="AY1114" s="79"/>
    </row>
    <row r="1115" spans="1:51" x14ac:dyDescent="0.2">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1.3660093635870424E-2</v>
      </c>
      <c r="L1115" s="93">
        <f>IF('Net zero activities &amp; levers'!$C$14="Off",('Activity data'!AE21*EF!$H52*EF!$H70)*NtoN2O*kgtoGg,IF('Net zero activities &amp; levers'!$C$14="On",('Net zero Activity data'!AE21*EF!$H52*EF!$H70)*NtoN2O*kgtoGg,"ERROR"))</f>
        <v>1.3937830420255738E-2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1.4711795979713135E-2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1.5253123389732504E-2</v>
      </c>
      <c r="S1115" s="93">
        <f>IF('Net zero activities &amp; levers'!$C$14="Off",('Activity data'!AL21*EF!$H52*EF!$H70)*NtoN2O*kgtoGg,IF('Net zero activities &amp; levers'!$C$14="On",('Net zero Activity data'!AL21*EF!$H52*EF!$H70)*NtoN2O*kgtoGg,"ERROR"))</f>
        <v>1.4642993018057613E-2</v>
      </c>
      <c r="T1115" s="93">
        <f>IF('Net zero activities &amp; levers'!$C$14="Off",('Activity data'!AM21*EF!$H52*EF!$H70)*NtoN2O*kgtoGg,IF('Net zero activities &amp; levers'!$C$14="On",('Net zero Activity data'!AM21*EF!$H52*EF!$H70)*NtoN2O*kgtoGg,"ERROR"))</f>
        <v>1.5031368863560678E-2</v>
      </c>
      <c r="U1115" s="93">
        <f>IF('Net zero activities &amp; levers'!$C$14="Off",('Activity data'!AN21*EF!$H52*EF!$H70)*NtoN2O*kgtoGg,IF('Net zero activities &amp; levers'!$C$14="On",('Net zero Activity data'!AN21*EF!$H52*EF!$H70)*NtoN2O*kgtoGg,"ERROR"))</f>
        <v>1.5355429874430639E-2</v>
      </c>
      <c r="V1115" s="93">
        <f>IF('Net zero activities &amp; levers'!$C$14="Off",('Activity data'!AO21*EF!$H52*EF!$H70)*NtoN2O*kgtoGg,IF('Net zero activities &amp; levers'!$C$14="On",('Net zero Activity data'!AO21*EF!$H52*EF!$H70)*NtoN2O*kgtoGg,"ERROR"))</f>
        <v>1.5665318181989931E-2</v>
      </c>
      <c r="W1115" s="93">
        <f>IF('Net zero activities &amp; levers'!$C$14="Off",('Activity data'!AP21*EF!$H52*EF!$H70)*NtoN2O*kgtoGg,IF('Net zero activities &amp; levers'!$C$14="On",('Net zero Activity data'!AP21*EF!$H52*EF!$H70)*NtoN2O*kgtoGg,"ERROR"))</f>
        <v>1.6009846282212959E-2</v>
      </c>
      <c r="X1115" s="93">
        <f>IF('Net zero activities &amp; levers'!$C$14="Off",('Activity data'!AQ21*EF!$H52*EF!$H70)*NtoN2O*kgtoGg,IF('Net zero activities &amp; levers'!$C$14="On",('Net zero Activity data'!AQ21*EF!$H52*EF!$H70)*NtoN2O*kgtoGg,"ERROR"))</f>
        <v>1.6341971083732341E-2</v>
      </c>
      <c r="Y1115" s="93">
        <f>IF('Net zero activities &amp; levers'!$C$14="Off",('Activity data'!AR21*EF!$H52*EF!$H70)*NtoN2O*kgtoGg,IF('Net zero activities &amp; levers'!$C$14="On",('Net zero Activity data'!AR21*EF!$H52*EF!$H70)*NtoN2O*kgtoGg,"ERROR"))</f>
        <v>1.6640178557340561E-2</v>
      </c>
      <c r="Z1115" s="93">
        <f>IF('Net zero activities &amp; levers'!$C$14="Off",('Activity data'!AS21*EF!$H52*EF!$H70)*NtoN2O*kgtoGg,IF('Net zero activities &amp; levers'!$C$14="On",('Net zero Activity data'!AS21*EF!$H52*EF!$H70)*NtoN2O*kgtoGg,"ERROR"))</f>
        <v>1.693093443271531E-2</v>
      </c>
      <c r="AA1115" s="93">
        <f>IF('Net zero activities &amp; levers'!$C$14="Off",('Activity data'!AT21*EF!$H52*EF!$H70)*NtoN2O*kgtoGg,IF('Net zero activities &amp; levers'!$C$14="On",('Net zero Activity data'!AT21*EF!$H52*EF!$H70)*NtoN2O*kgtoGg,"ERROR"))</f>
        <v>1.7209632642022729E-2</v>
      </c>
      <c r="AB1115" s="93">
        <f>IF('Net zero activities &amp; levers'!$C$14="Off",('Activity data'!AU21*EF!$H52*EF!$H70)*NtoN2O*kgtoGg,IF('Net zero activities &amp; levers'!$C$14="On",('Net zero Activity data'!AU21*EF!$H52*EF!$H70)*NtoN2O*kgtoGg,"ERROR"))</f>
        <v>1.7544744873174416E-2</v>
      </c>
      <c r="AC1115" s="93">
        <f>IF('Net zero activities &amp; levers'!$C$14="Off",('Activity data'!AV21*EF!$H52*EF!$H70)*NtoN2O*kgtoGg,IF('Net zero activities &amp; levers'!$C$14="On",('Net zero Activity data'!AV21*EF!$H52*EF!$H70)*NtoN2O*kgtoGg,"ERROR"))</f>
        <v>1.7877559568153477E-2</v>
      </c>
      <c r="AD1115" s="93">
        <f>IF('Net zero activities &amp; levers'!$C$14="Off",('Activity data'!AW21*EF!$H52*EF!$H70)*NtoN2O*kgtoGg,IF('Net zero activities &amp; levers'!$C$14="On",('Net zero Activity data'!AW21*EF!$H52*EF!$H70)*NtoN2O*kgtoGg,"ERROR"))</f>
        <v>1.8226394766048638E-2</v>
      </c>
      <c r="AE1115" s="93">
        <f>IF('Net zero activities &amp; levers'!$C$14="Off",('Activity data'!AX21*EF!$H52*EF!$H70)*NtoN2O*kgtoGg,IF('Net zero activities &amp; levers'!$C$14="On",('Net zero Activity data'!AX21*EF!$H52*EF!$H70)*NtoN2O*kgtoGg,"ERROR"))</f>
        <v>1.8632620878635837E-2</v>
      </c>
      <c r="AF1115" s="93">
        <f>IF('Net zero activities &amp; levers'!$C$14="Off",('Activity data'!AY21*EF!$H52*EF!$H70)*NtoN2O*kgtoGg,IF('Net zero activities &amp; levers'!$C$14="On",('Net zero Activity data'!AY21*EF!$H52*EF!$H70)*NtoN2O*kgtoGg,"ERROR"))</f>
        <v>1.906886670622222E-2</v>
      </c>
      <c r="AG1115" s="93">
        <f>IF('Net zero activities &amp; levers'!$C$14="Off",('Activity data'!AZ21*EF!$H52*EF!$H70)*NtoN2O*kgtoGg,IF('Net zero activities &amp; levers'!$C$14="On",('Net zero Activity data'!AZ21*EF!$H52*EF!$H70)*NtoN2O*kgtoGg,"ERROR"))</f>
        <v>1.9568731147726923E-2</v>
      </c>
      <c r="AH1115" s="93">
        <f>IF('Net zero activities &amp; levers'!$C$14="Off",('Activity data'!BA21*EF!$H52*EF!$H70)*NtoN2O*kgtoGg,IF('Net zero activities &amp; levers'!$C$14="On",('Net zero Activity data'!BA21*EF!$H52*EF!$H70)*NtoN2O*kgtoGg,"ERROR"))</f>
        <v>1.9981921177667211E-2</v>
      </c>
      <c r="AI1115" s="93">
        <f>IF('Net zero activities &amp; levers'!$C$14="Off",('Activity data'!BB21*EF!$H52*EF!$H70)*NtoN2O*kgtoGg,IF('Net zero activities &amp; levers'!$C$14="On",('Net zero Activity data'!BB21*EF!$H52*EF!$H70)*NtoN2O*kgtoGg,"ERROR"))</f>
        <v>2.0377261433111755E-2</v>
      </c>
      <c r="AJ1115" s="93">
        <f>IF('Net zero activities &amp; levers'!$C$14="Off",('Activity data'!BC21*EF!$H52*EF!$H70)*NtoN2O*kgtoGg,IF('Net zero activities &amp; levers'!$C$14="On",('Net zero Activity data'!BC21*EF!$H52*EF!$H70)*NtoN2O*kgtoGg,"ERROR"))</f>
        <v>2.0806710056082745E-2</v>
      </c>
      <c r="AK1115" s="93">
        <f>IF('Net zero activities &amp; levers'!$C$14="Off",('Activity data'!BD21*EF!$H52*EF!$H70)*NtoN2O*kgtoGg,IF('Net zero activities &amp; levers'!$C$14="On",('Net zero Activity data'!BD21*EF!$H52*EF!$H70)*NtoN2O*kgtoGg,"ERROR"))</f>
        <v>2.1227093440013181E-2</v>
      </c>
      <c r="AL1115" s="93">
        <f>IF('Net zero activities &amp; levers'!$C$14="Off",('Activity data'!BE21*EF!$H52*EF!$H70)*NtoN2O*kgtoGg,IF('Net zero activities &amp; levers'!$C$14="On",('Net zero Activity data'!BE21*EF!$H52*EF!$H70)*NtoN2O*kgtoGg,"ERROR"))</f>
        <v>2.1668192074400485E-2</v>
      </c>
      <c r="AM1115" s="93">
        <f>IF('Net zero activities &amp; levers'!$C$14="Off",('Activity data'!BF21*EF!$H52*EF!$H70)*NtoN2O*kgtoGg,IF('Net zero activities &amp; levers'!$C$14="On",('Net zero Activity data'!BF21*EF!$H52*EF!$H70)*NtoN2O*kgtoGg,"ERROR"))</f>
        <v>2.2114843372651131E-2</v>
      </c>
      <c r="AN1115" s="93">
        <f>IF('Net zero activities &amp; levers'!$C$14="Off",('Activity data'!BG21*EF!$H52*EF!$H70)*NtoN2O*kgtoGg,IF('Net zero activities &amp; levers'!$C$14="On",('Net zero Activity data'!BG21*EF!$H52*EF!$H70)*NtoN2O*kgtoGg,"ERROR"))</f>
        <v>2.2606056381191265E-2</v>
      </c>
      <c r="AO1115" s="93">
        <f>IF('Net zero activities &amp; levers'!$C$14="Off",('Activity data'!BH21*EF!$H52*EF!$H70)*NtoN2O*kgtoGg,IF('Net zero activities &amp; levers'!$C$14="On",('Net zero Activity data'!BH21*EF!$H52*EF!$H70)*NtoN2O*kgtoGg,"ERROR"))</f>
        <v>2.3084139832164171E-2</v>
      </c>
      <c r="AP1115" s="93">
        <f>IF('Net zero activities &amp; levers'!$C$14="Off",('Activity data'!BI21*EF!$H52*EF!$H70)*NtoN2O*kgtoGg,IF('Net zero activities &amp; levers'!$C$14="On",('Net zero Activity data'!BI21*EF!$H52*EF!$H70)*NtoN2O*kgtoGg,"ERROR"))</f>
        <v>2.3572286519730874E-2</v>
      </c>
      <c r="AQ1115" s="93">
        <f>IF('Net zero activities &amp; levers'!$C$14="Off",('Activity data'!BJ21*EF!$H52*EF!$H70)*NtoN2O*kgtoGg,IF('Net zero activities &amp; levers'!$C$14="On",('Net zero Activity data'!BJ21*EF!$H52*EF!$H70)*NtoN2O*kgtoGg,"ERROR"))</f>
        <v>2.4076740480859553E-2</v>
      </c>
      <c r="AR1115" s="93">
        <f>IF('Net zero activities &amp; levers'!$C$14="Off",('Activity data'!BK21*EF!$H52*EF!$H70)*NtoN2O*kgtoGg,IF('Net zero activities &amp; levers'!$C$14="On",('Net zero Activity data'!BK21*EF!$H52*EF!$H70)*NtoN2O*kgtoGg,"ERROR"))</f>
        <v>2.4600071413532563E-2</v>
      </c>
      <c r="AS1115" s="93">
        <f>IF('Net zero activities &amp; levers'!$C$14="Off",('Activity data'!BL21*EF!$H52*EF!$H70)*NtoN2O*kgtoGg,IF('Net zero activities &amp; levers'!$C$14="On",('Net zero Activity data'!BL21*EF!$H52*EF!$H70)*NtoN2O*kgtoGg,"ERROR"))</f>
        <v>2.5180191092644345E-2</v>
      </c>
      <c r="AT1115" s="93">
        <f>IF('Net zero activities &amp; levers'!$C$14="Off",('Activity data'!BM21*EF!$H52*EF!$H70)*NtoN2O*kgtoGg,IF('Net zero activities &amp; levers'!$C$14="On",('Net zero Activity data'!BM21*EF!$H52*EF!$H70)*NtoN2O*kgtoGg,"ERROR"))</f>
        <v>2.5605778159078961E-2</v>
      </c>
      <c r="AU1115" s="93">
        <f>IF('Net zero activities &amp; levers'!$C$14="Off",('Activity data'!BN21*EF!$H52*EF!$H70)*NtoN2O*kgtoGg,IF('Net zero activities &amp; levers'!$C$14="On",('Net zero Activity data'!BN21*EF!$H52*EF!$H70)*NtoN2O*kgtoGg,"ERROR"))</f>
        <v>2.6023964865461973E-2</v>
      </c>
      <c r="AV1115" s="93">
        <f>IF('Net zero activities &amp; levers'!$C$14="Off",('Activity data'!BO21*EF!$H52*EF!$H70)*NtoN2O*kgtoGg,IF('Net zero activities &amp; levers'!$C$14="On",('Net zero Activity data'!BO21*EF!$H52*EF!$H70)*NtoN2O*kgtoGg,"ERROR"))</f>
        <v>2.6451893386045391E-2</v>
      </c>
      <c r="AW1115" s="93">
        <f>IF('Net zero activities &amp; levers'!$C$14="Off",('Activity data'!BP21*EF!$H52*EF!$H70)*NtoN2O*kgtoGg,IF('Net zero activities &amp; levers'!$C$14="On",('Net zero Activity data'!BP21*EF!$H52*EF!$H70)*NtoN2O*kgtoGg,"ERROR"))</f>
        <v>2.6882358900515501E-2</v>
      </c>
      <c r="AY1115" s="79"/>
    </row>
    <row r="1116" spans="1:51" x14ac:dyDescent="0.2">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7.0904798648479067E-2</v>
      </c>
      <c r="L1116" s="93">
        <f>IF('Net zero activities &amp; levers'!$C$14="Off",('Activity data'!AE22*EF!$H53*EF!$H71)*NtoN2O*kgtoGg,IF('Net zero activities &amp; levers'!$C$14="On",('Net zero Activity data'!AE22*EF!$H53*EF!$H71)*NtoN2O*kgtoGg,"ERROR"))</f>
        <v>7.1838488113865256E-2</v>
      </c>
      <c r="M1116" s="93">
        <f>IF('Net zero activities &amp; levers'!$C$14="Off",('Activity data'!AF22*EF!$H53*EF!$H71)*NtoN2O*kgtoGg,IF('Net zero activities &amp; levers'!$C$14="On",('Net zero Activity data'!AF22*EF!$H53*EF!$H71)*NtoN2O*kgtoGg,"ERROR"))</f>
        <v>7.333826122290886E-2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7.2146468817327461E-2</v>
      </c>
      <c r="R1116" s="93">
        <f>IF('Net zero activities &amp; levers'!$C$14="Off",('Activity data'!AK22*EF!$H53*EF!$H71)*NtoN2O*kgtoGg,IF('Net zero activities &amp; levers'!$C$14="On",('Net zero Activity data'!AK22*EF!$H53*EF!$H71)*NtoN2O*kgtoGg,"ERROR"))</f>
        <v>7.1835339545248733E-2</v>
      </c>
      <c r="S1116" s="93">
        <f>IF('Net zero activities &amp; levers'!$C$14="Off",('Activity data'!AL22*EF!$H53*EF!$H71)*NtoN2O*kgtoGg,IF('Net zero activities &amp; levers'!$C$14="On",('Net zero Activity data'!AL22*EF!$H53*EF!$H71)*NtoN2O*kgtoGg,"ERROR"))</f>
        <v>6.1411487631976583E-2</v>
      </c>
      <c r="T1116" s="93">
        <f>IF('Net zero activities &amp; levers'!$C$14="Off",('Activity data'!AM22*EF!$H53*EF!$H71)*NtoN2O*kgtoGg,IF('Net zero activities &amp; levers'!$C$14="On",('Net zero Activity data'!AM22*EF!$H53*EF!$H71)*NtoN2O*kgtoGg,"ERROR"))</f>
        <v>6.4118219949811373E-2</v>
      </c>
      <c r="U1116" s="93">
        <f>IF('Net zero activities &amp; levers'!$C$14="Off",('Activity data'!AN22*EF!$H53*EF!$H71)*NtoN2O*kgtoGg,IF('Net zero activities &amp; levers'!$C$14="On",('Net zero Activity data'!AN22*EF!$H53*EF!$H71)*NtoN2O*kgtoGg,"ERROR"))</f>
        <v>6.5983485916100967E-2</v>
      </c>
      <c r="V1116" s="93">
        <f>IF('Net zero activities &amp; levers'!$C$14="Off",('Activity data'!AO22*EF!$H53*EF!$H71)*NtoN2O*kgtoGg,IF('Net zero activities &amp; levers'!$C$14="On",('Net zero Activity data'!AO22*EF!$H53*EF!$H71)*NtoN2O*kgtoGg,"ERROR"))</f>
        <v>6.7638870119743691E-2</v>
      </c>
      <c r="W1116" s="93">
        <f>IF('Net zero activities &amp; levers'!$C$14="Off",('Activity data'!AP22*EF!$H53*EF!$H71)*NtoN2O*kgtoGg,IF('Net zero activities &amp; levers'!$C$14="On",('Net zero Activity data'!AP22*EF!$H53*EF!$H71)*NtoN2O*kgtoGg,"ERROR"))</f>
        <v>6.9677032979976197E-2</v>
      </c>
      <c r="X1116" s="93">
        <f>IF('Net zero activities &amp; levers'!$C$14="Off",('Activity data'!AQ22*EF!$H53*EF!$H71)*NtoN2O*kgtoGg,IF('Net zero activities &amp; levers'!$C$14="On",('Net zero Activity data'!AQ22*EF!$H53*EF!$H71)*NtoN2O*kgtoGg,"ERROR"))</f>
        <v>7.1527026303958338E-2</v>
      </c>
      <c r="Y1116" s="93">
        <f>IF('Net zero activities &amp; levers'!$C$14="Off",('Activity data'!AR22*EF!$H53*EF!$H71)*NtoN2O*kgtoGg,IF('Net zero activities &amp; levers'!$C$14="On",('Net zero Activity data'!AR22*EF!$H53*EF!$H71)*NtoN2O*kgtoGg,"ERROR"))</f>
        <v>7.3159905968116196E-2</v>
      </c>
      <c r="Z1116" s="93">
        <f>IF('Net zero activities &amp; levers'!$C$14="Off",('Activity data'!AS22*EF!$H53*EF!$H71)*NtoN2O*kgtoGg,IF('Net zero activities &amp; levers'!$C$14="On",('Net zero Activity data'!AS22*EF!$H53*EF!$H71)*NtoN2O*kgtoGg,"ERROR"))</f>
        <v>7.4677036907988839E-2</v>
      </c>
      <c r="AA1116" s="93">
        <f>IF('Net zero activities &amp; levers'!$C$14="Off",('Activity data'!AT22*EF!$H53*EF!$H71)*NtoN2O*kgtoGg,IF('Net zero activities &amp; levers'!$C$14="On",('Net zero Activity data'!AT22*EF!$H53*EF!$H71)*NtoN2O*kgtoGg,"ERROR"))</f>
        <v>7.6027446421158371E-2</v>
      </c>
      <c r="AB1116" s="93">
        <f>IF('Net zero activities &amp; levers'!$C$14="Off",('Activity data'!AU22*EF!$H53*EF!$H71)*NtoN2O*kgtoGg,IF('Net zero activities &amp; levers'!$C$14="On",('Net zero Activity data'!AU22*EF!$H53*EF!$H71)*NtoN2O*kgtoGg,"ERROR"))</f>
        <v>7.8006029546329986E-2</v>
      </c>
      <c r="AC1116" s="93">
        <f>IF('Net zero activities &amp; levers'!$C$14="Off",('Activity data'!AV22*EF!$H53*EF!$H71)*NtoN2O*kgtoGg,IF('Net zero activities &amp; levers'!$C$14="On",('Net zero Activity data'!AV22*EF!$H53*EF!$H71)*NtoN2O*kgtoGg,"ERROR"))</f>
        <v>7.9925256540150022E-2</v>
      </c>
      <c r="AD1116" s="93">
        <f>IF('Net zero activities &amp; levers'!$C$14="Off",('Activity data'!AW22*EF!$H53*EF!$H71)*NtoN2O*kgtoGg,IF('Net zero activities &amp; levers'!$C$14="On",('Net zero Activity data'!AW22*EF!$H53*EF!$H71)*NtoN2O*kgtoGg,"ERROR"))</f>
        <v>8.2170713922670655E-2</v>
      </c>
      <c r="AE1116" s="93">
        <f>IF('Net zero activities &amp; levers'!$C$14="Off",('Activity data'!AX22*EF!$H53*EF!$H71)*NtoN2O*kgtoGg,IF('Net zero activities &amp; levers'!$C$14="On",('Net zero Activity data'!AX22*EF!$H53*EF!$H71)*NtoN2O*kgtoGg,"ERROR"))</f>
        <v>8.5031956187630361E-2</v>
      </c>
      <c r="AF1116" s="93">
        <f>IF('Net zero activities &amp; levers'!$C$14="Off",('Activity data'!AY22*EF!$H53*EF!$H71)*NtoN2O*kgtoGg,IF('Net zero activities &amp; levers'!$C$14="On",('Net zero Activity data'!AY22*EF!$H53*EF!$H71)*NtoN2O*kgtoGg,"ERROR"))</f>
        <v>8.8189037263454617E-2</v>
      </c>
      <c r="AG1116" s="93">
        <f>IF('Net zero activities &amp; levers'!$C$14="Off",('Activity data'!AZ22*EF!$H53*EF!$H71)*NtoN2O*kgtoGg,IF('Net zero activities &amp; levers'!$C$14="On",('Net zero Activity data'!AZ22*EF!$H53*EF!$H71)*NtoN2O*kgtoGg,"ERROR"))</f>
        <v>9.2010851200101232E-2</v>
      </c>
      <c r="AH1116" s="93">
        <f>IF('Net zero activities &amp; levers'!$C$14="Off",('Activity data'!BA22*EF!$H53*EF!$H71)*NtoN2O*kgtoGg,IF('Net zero activities &amp; levers'!$C$14="On",('Net zero Activity data'!BA22*EF!$H53*EF!$H71)*NtoN2O*kgtoGg,"ERROR"))</f>
        <v>9.4820008260503588E-2</v>
      </c>
      <c r="AI1116" s="93">
        <f>IF('Net zero activities &amp; levers'!$C$14="Off",('Activity data'!BB22*EF!$H53*EF!$H71)*NtoN2O*kgtoGg,IF('Net zero activities &amp; levers'!$C$14="On",('Net zero Activity data'!BB22*EF!$H53*EF!$H71)*NtoN2O*kgtoGg,"ERROR"))</f>
        <v>9.755793640319263E-2</v>
      </c>
      <c r="AJ1116" s="93">
        <f>IF('Net zero activities &amp; levers'!$C$14="Off",('Activity data'!BC22*EF!$H53*EF!$H71)*NtoN2O*kgtoGg,IF('Net zero activities &amp; levers'!$C$14="On",('Net zero Activity data'!BC22*EF!$H53*EF!$H71)*NtoN2O*kgtoGg,"ERROR"))</f>
        <v>0.10063412268776877</v>
      </c>
      <c r="AK1116" s="93">
        <f>IF('Net zero activities &amp; levers'!$C$14="Off",('Activity data'!BD22*EF!$H53*EF!$H71)*NtoN2O*kgtoGg,IF('Net zero activities &amp; levers'!$C$14="On",('Net zero Activity data'!BD22*EF!$H53*EF!$H71)*NtoN2O*kgtoGg,"ERROR"))</f>
        <v>0.10357343935003867</v>
      </c>
      <c r="AL1116" s="93">
        <f>IF('Net zero activities &amp; levers'!$C$14="Off",('Activity data'!BE22*EF!$H53*EF!$H71)*NtoN2O*kgtoGg,IF('Net zero activities &amp; levers'!$C$14="On",('Net zero Activity data'!BE22*EF!$H53*EF!$H71)*NtoN2O*kgtoGg,"ERROR"))</f>
        <v>0.10670022736354919</v>
      </c>
      <c r="AM1116" s="93">
        <f>IF('Net zero activities &amp; levers'!$C$14="Off",('Activity data'!BF22*EF!$H53*EF!$H71)*NtoN2O*kgtoGg,IF('Net zero activities &amp; levers'!$C$14="On",('Net zero Activity data'!BF22*EF!$H53*EF!$H71)*NtoN2O*kgtoGg,"ERROR"))</f>
        <v>0.10984863637465794</v>
      </c>
      <c r="AN1116" s="93">
        <f>IF('Net zero activities &amp; levers'!$C$14="Off",('Activity data'!BG22*EF!$H53*EF!$H71)*NtoN2O*kgtoGg,IF('Net zero activities &amp; levers'!$C$14="On",('Net zero Activity data'!BG22*EF!$H53*EF!$H71)*NtoN2O*kgtoGg,"ERROR"))</f>
        <v>0.11358529587557446</v>
      </c>
      <c r="AO1116" s="93">
        <f>IF('Net zero activities &amp; levers'!$C$14="Off",('Activity data'!BH22*EF!$H53*EF!$H71)*NtoN2O*kgtoGg,IF('Net zero activities &amp; levers'!$C$14="On",('Net zero Activity data'!BH22*EF!$H53*EF!$H71)*NtoN2O*kgtoGg,"ERROR"))</f>
        <v>0.11714064273091444</v>
      </c>
      <c r="AP1116" s="93">
        <f>IF('Net zero activities &amp; levers'!$C$14="Off",('Activity data'!BI22*EF!$H53*EF!$H71)*NtoN2O*kgtoGg,IF('Net zero activities &amp; levers'!$C$14="On",('Net zero Activity data'!BI22*EF!$H53*EF!$H71)*NtoN2O*kgtoGg,"ERROR"))</f>
        <v>0.12076268735304639</v>
      </c>
      <c r="AQ1116" s="93">
        <f>IF('Net zero activities &amp; levers'!$C$14="Off",('Activity data'!BJ22*EF!$H53*EF!$H71)*NtoN2O*kgtoGg,IF('Net zero activities &amp; levers'!$C$14="On",('Net zero Activity data'!BJ22*EF!$H53*EF!$H71)*NtoN2O*kgtoGg,"ERROR"))</f>
        <v>0.12451606313440448</v>
      </c>
      <c r="AR1116" s="93">
        <f>IF('Net zero activities &amp; levers'!$C$14="Off",('Activity data'!BK22*EF!$H53*EF!$H71)*NtoN2O*kgtoGg,IF('Net zero activities &amp; levers'!$C$14="On",('Net zero Activity data'!BK22*EF!$H53*EF!$H71)*NtoN2O*kgtoGg,"ERROR"))</f>
        <v>0.12842566448757792</v>
      </c>
      <c r="AS1116" s="93">
        <f>IF('Net zero activities &amp; levers'!$C$14="Off",('Activity data'!BL22*EF!$H53*EF!$H71)*NtoN2O*kgtoGg,IF('Net zero activities &amp; levers'!$C$14="On",('Net zero Activity data'!BL22*EF!$H53*EF!$H71)*NtoN2O*kgtoGg,"ERROR"))</f>
        <v>0.1330326722477729</v>
      </c>
      <c r="AT1116" s="93">
        <f>IF('Net zero activities &amp; levers'!$C$14="Off",('Activity data'!BM22*EF!$H53*EF!$H71)*NtoN2O*kgtoGg,IF('Net zero activities &amp; levers'!$C$14="On",('Net zero Activity data'!BM22*EF!$H53*EF!$H71)*NtoN2O*kgtoGg,"ERROR"))</f>
        <v>0.1359996744784277</v>
      </c>
      <c r="AU1116" s="93">
        <f>IF('Net zero activities &amp; levers'!$C$14="Off",('Activity data'!BN22*EF!$H53*EF!$H71)*NtoN2O*kgtoGg,IF('Net zero activities &amp; levers'!$C$14="On",('Net zero Activity data'!BN22*EF!$H53*EF!$H71)*NtoN2O*kgtoGg,"ERROR"))</f>
        <v>0.13886205222996365</v>
      </c>
      <c r="AV1116" s="93">
        <f>IF('Net zero activities &amp; levers'!$C$14="Off",('Activity data'!BO22*EF!$H53*EF!$H71)*NtoN2O*kgtoGg,IF('Net zero activities &amp; levers'!$C$14="On",('Net zero Activity data'!BO22*EF!$H53*EF!$H71)*NtoN2O*kgtoGg,"ERROR"))</f>
        <v>0.14179647350512722</v>
      </c>
      <c r="AW1116" s="93">
        <f>IF('Net zero activities &amp; levers'!$C$14="Off",('Activity data'!BP22*EF!$H53*EF!$H71)*NtoN2O*kgtoGg,IF('Net zero activities &amp; levers'!$C$14="On",('Net zero Activity data'!BP22*EF!$H53*EF!$H71)*NtoN2O*kgtoGg,"ERROR"))</f>
        <v>0.14472886847588542</v>
      </c>
      <c r="AY1116" s="79"/>
    </row>
    <row r="1117" spans="1:51" x14ac:dyDescent="0.2">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6.60388696259374</v>
      </c>
      <c r="U1117" s="22">
        <f t="shared" si="375"/>
        <v>6.6020342469478921</v>
      </c>
      <c r="V1117" s="22">
        <f t="shared" si="375"/>
        <v>6.6005840725031204</v>
      </c>
      <c r="W1117" s="22">
        <f t="shared" si="375"/>
        <v>6.5992416571177221</v>
      </c>
      <c r="X1117" s="22">
        <f t="shared" si="375"/>
        <v>6.5977411232427086</v>
      </c>
      <c r="Y1117" s="22">
        <f t="shared" si="375"/>
        <v>6.5963380636148372</v>
      </c>
      <c r="Z1117" s="22">
        <f t="shared" si="375"/>
        <v>6.5950885900535399</v>
      </c>
      <c r="AA1117" s="22">
        <f t="shared" si="375"/>
        <v>6.593899664910774</v>
      </c>
      <c r="AB1117" s="22">
        <f t="shared" si="375"/>
        <v>6.5927919026350441</v>
      </c>
      <c r="AC1117" s="22">
        <f t="shared" si="375"/>
        <v>6.5914248070564794</v>
      </c>
      <c r="AD1117" s="22">
        <f t="shared" si="375"/>
        <v>6.5900953819081538</v>
      </c>
      <c r="AE1117" s="22">
        <f t="shared" si="375"/>
        <v>6.5886770470789005</v>
      </c>
      <c r="AF1117" s="22">
        <f t="shared" si="375"/>
        <v>6.5870194021035937</v>
      </c>
      <c r="AG1117" s="22">
        <f t="shared" si="375"/>
        <v>6.5852622329414547</v>
      </c>
      <c r="AH1117" s="22">
        <f t="shared" si="375"/>
        <v>6.5832642389355076</v>
      </c>
      <c r="AI1117" s="22">
        <f t="shared" si="375"/>
        <v>6.5816933184770097</v>
      </c>
      <c r="AJ1117" s="22">
        <f t="shared" si="375"/>
        <v>6.5801985919199808</v>
      </c>
      <c r="AK1117" s="22">
        <f t="shared" si="375"/>
        <v>6.5785915117586082</v>
      </c>
      <c r="AL1117" s="22">
        <f t="shared" si="375"/>
        <v>6.5770555695996213</v>
      </c>
      <c r="AM1117" s="22">
        <f t="shared" si="375"/>
        <v>6.5754680730045454</v>
      </c>
      <c r="AN1117" s="22">
        <f t="shared" si="375"/>
        <v>6.5738921443316158</v>
      </c>
      <c r="AO1117" s="22">
        <f t="shared" si="375"/>
        <v>6.5721499435540869</v>
      </c>
      <c r="AP1117" s="22">
        <f t="shared" si="375"/>
        <v>6.5704963238558332</v>
      </c>
      <c r="AQ1117" s="22">
        <f t="shared" si="375"/>
        <v>6.5688413494168394</v>
      </c>
      <c r="AR1117" s="22">
        <f t="shared" si="375"/>
        <v>6.5671634182939496</v>
      </c>
      <c r="AS1117" s="22">
        <f t="shared" si="375"/>
        <v>6.5654557216665381</v>
      </c>
      <c r="AT1117" s="22">
        <f t="shared" si="375"/>
        <v>6.5635649622881891</v>
      </c>
      <c r="AU1117" s="22">
        <f t="shared" si="375"/>
        <v>6.5622389108641883</v>
      </c>
      <c r="AV1117" s="22">
        <f t="shared" si="375"/>
        <v>6.560960344070546</v>
      </c>
      <c r="AW1117" s="22">
        <f t="shared" si="375"/>
        <v>6.5596714127254918</v>
      </c>
      <c r="AY1117" s="79"/>
    </row>
    <row r="1118" spans="1:51" x14ac:dyDescent="0.2">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4.358565395311869E-2</v>
      </c>
      <c r="U1118" s="94">
        <f>IF('Net zero activities &amp; levers'!$C$14="Off",'Activity data'!AN48*ttokg*ONEF*NtoN2O*kgtoGg,IF('Net zero activities &amp; levers'!$C$14="On",'Net zero Activity data'!AN48*ttokg*ONEF*NtoN2O*kgtoGg,"ERROR"))</f>
        <v>4.3573426029856095E-2</v>
      </c>
      <c r="V1118" s="94">
        <f>IF('Net zero activities &amp; levers'!$C$14="Off",'Activity data'!AO48*ttokg*ONEF*NtoN2O*kgtoGg,IF('Net zero activities &amp; levers'!$C$14="On",'Net zero Activity data'!AO48*ttokg*ONEF*NtoN2O*kgtoGg,"ERROR"))</f>
        <v>4.3563854878520596E-2</v>
      </c>
      <c r="W1118" s="94">
        <f>IF('Net zero activities &amp; levers'!$C$14="Off",'Activity data'!AP48*ttokg*ONEF*NtoN2O*kgtoGg,IF('Net zero activities &amp; levers'!$C$14="On",'Net zero Activity data'!AP48*ttokg*ONEF*NtoN2O*kgtoGg,"ERROR"))</f>
        <v>4.3554994936976968E-2</v>
      </c>
      <c r="X1118" s="94">
        <f>IF('Net zero activities &amp; levers'!$C$14="Off",'Activity data'!AQ48*ttokg*ONEF*NtoN2O*kgtoGg,IF('Net zero activities &amp; levers'!$C$14="On",'Net zero Activity data'!AQ48*ttokg*ONEF*NtoN2O*kgtoGg,"ERROR"))</f>
        <v>4.354509141340189E-2</v>
      </c>
      <c r="Y1118" s="94">
        <f>IF('Net zero activities &amp; levers'!$C$14="Off",'Activity data'!AR48*ttokg*ONEF*NtoN2O*kgtoGg,IF('Net zero activities &amp; levers'!$C$14="On",'Net zero Activity data'!AR48*ttokg*ONEF*NtoN2O*kgtoGg,"ERROR"))</f>
        <v>4.3535831219857934E-2</v>
      </c>
      <c r="Z1118" s="94">
        <f>IF('Net zero activities &amp; levers'!$C$14="Off",'Activity data'!AS48*ttokg*ONEF*NtoN2O*kgtoGg,IF('Net zero activities &amp; levers'!$C$14="On",'Net zero Activity data'!AS48*ttokg*ONEF*NtoN2O*kgtoGg,"ERROR"))</f>
        <v>4.3527584694353361E-2</v>
      </c>
      <c r="AA1118" s="94">
        <f>IF('Net zero activities &amp; levers'!$C$14="Off",'Activity data'!AT48*ttokg*ONEF*NtoN2O*kgtoGg,IF('Net zero activities &amp; levers'!$C$14="On",'Net zero Activity data'!AT48*ttokg*ONEF*NtoN2O*kgtoGg,"ERROR"))</f>
        <v>4.3519737788411117E-2</v>
      </c>
      <c r="AB1118" s="94">
        <f>IF('Net zero activities &amp; levers'!$C$14="Off",'Activity data'!AU48*ttokg*ONEF*NtoN2O*kgtoGg,IF('Net zero activities &amp; levers'!$C$14="On",'Net zero Activity data'!AU48*ttokg*ONEF*NtoN2O*kgtoGg,"ERROR"))</f>
        <v>4.35124265573913E-2</v>
      </c>
      <c r="AC1118" s="94">
        <f>IF('Net zero activities &amp; levers'!$C$14="Off",'Activity data'!AV48*ttokg*ONEF*NtoN2O*kgtoGg,IF('Net zero activities &amp; levers'!$C$14="On",'Net zero Activity data'!AV48*ttokg*ONEF*NtoN2O*kgtoGg,"ERROR"))</f>
        <v>4.350340372657277E-2</v>
      </c>
      <c r="AD1118" s="94">
        <f>IF('Net zero activities &amp; levers'!$C$14="Off",'Activity data'!AW48*ttokg*ONEF*NtoN2O*kgtoGg,IF('Net zero activities &amp; levers'!$C$14="On",'Net zero Activity data'!AW48*ttokg*ONEF*NtoN2O*kgtoGg,"ERROR"))</f>
        <v>4.3494629520593811E-2</v>
      </c>
      <c r="AE1118" s="94">
        <f>IF('Net zero activities &amp; levers'!$C$14="Off",'Activity data'!AX48*ttokg*ONEF*NtoN2O*kgtoGg,IF('Net zero activities &amp; levers'!$C$14="On",'Net zero Activity data'!AX48*ttokg*ONEF*NtoN2O*kgtoGg,"ERROR"))</f>
        <v>4.3485268510720758E-2</v>
      </c>
      <c r="AF1118" s="94">
        <f>IF('Net zero activities &amp; levers'!$C$14="Off",'Activity data'!AY48*ttokg*ONEF*NtoN2O*kgtoGg,IF('Net zero activities &amp; levers'!$C$14="On",'Net zero Activity data'!AY48*ttokg*ONEF*NtoN2O*kgtoGg,"ERROR"))</f>
        <v>4.347432805388373E-2</v>
      </c>
      <c r="AG1118" s="94">
        <f>IF('Net zero activities &amp; levers'!$C$14="Off",'Activity data'!AZ48*ttokg*ONEF*NtoN2O*kgtoGg,IF('Net zero activities &amp; levers'!$C$14="On",'Net zero Activity data'!AZ48*ttokg*ONEF*NtoN2O*kgtoGg,"ERROR"))</f>
        <v>4.3462730737413614E-2</v>
      </c>
      <c r="AH1118" s="94">
        <f>IF('Net zero activities &amp; levers'!$C$14="Off",'Activity data'!BA48*ttokg*ONEF*NtoN2O*kgtoGg,IF('Net zero activities &amp; levers'!$C$14="On",'Net zero Activity data'!BA48*ttokg*ONEF*NtoN2O*kgtoGg,"ERROR"))</f>
        <v>4.3449543976974349E-2</v>
      </c>
      <c r="AI1118" s="94">
        <f>IF('Net zero activities &amp; levers'!$C$14="Off",'Activity data'!BB48*ttokg*ONEF*NtoN2O*kgtoGg,IF('Net zero activities &amp; levers'!$C$14="On",'Net zero Activity data'!BB48*ttokg*ONEF*NtoN2O*kgtoGg,"ERROR"))</f>
        <v>4.343917590194827E-2</v>
      </c>
      <c r="AJ1118" s="94">
        <f>IF('Net zero activities &amp; levers'!$C$14="Off",'Activity data'!BC48*ttokg*ONEF*NtoN2O*kgtoGg,IF('Net zero activities &amp; levers'!$C$14="On",'Net zero Activity data'!BC48*ttokg*ONEF*NtoN2O*kgtoGg,"ERROR"))</f>
        <v>4.3429310706671886E-2</v>
      </c>
      <c r="AK1118" s="94">
        <f>IF('Net zero activities &amp; levers'!$C$14="Off",'Activity data'!BD48*ttokg*ONEF*NtoN2O*kgtoGg,IF('Net zero activities &amp; levers'!$C$14="On",'Net zero Activity data'!BD48*ttokg*ONEF*NtoN2O*kgtoGg,"ERROR"))</f>
        <v>4.3418703977606825E-2</v>
      </c>
      <c r="AL1118" s="94">
        <f>IF('Net zero activities &amp; levers'!$C$14="Off",'Activity data'!BE48*ttokg*ONEF*NtoN2O*kgtoGg,IF('Net zero activities &amp; levers'!$C$14="On",'Net zero Activity data'!BE48*ttokg*ONEF*NtoN2O*kgtoGg,"ERROR"))</f>
        <v>4.340856675935751E-2</v>
      </c>
      <c r="AM1118" s="94">
        <f>IF('Net zero activities &amp; levers'!$C$14="Off",'Activity data'!BF48*ttokg*ONEF*NtoN2O*kgtoGg,IF('Net zero activities &amp; levers'!$C$14="On",'Net zero Activity data'!BF48*ttokg*ONEF*NtoN2O*kgtoGg,"ERROR"))</f>
        <v>4.3398089281830012E-2</v>
      </c>
      <c r="AN1118" s="94">
        <f>IF('Net zero activities &amp; levers'!$C$14="Off",'Activity data'!BG48*ttokg*ONEF*NtoN2O*kgtoGg,IF('Net zero activities &amp; levers'!$C$14="On",'Net zero Activity data'!BG48*ttokg*ONEF*NtoN2O*kgtoGg,"ERROR"))</f>
        <v>4.3387688152588685E-2</v>
      </c>
      <c r="AO1118" s="94">
        <f>IF('Net zero activities &amp; levers'!$C$14="Off",'Activity data'!BH48*ttokg*ONEF*NtoN2O*kgtoGg,IF('Net zero activities &amp; levers'!$C$14="On",'Net zero Activity data'!BH48*ttokg*ONEF*NtoN2O*kgtoGg,"ERROR"))</f>
        <v>4.3376189627456985E-2</v>
      </c>
      <c r="AP1118" s="94">
        <f>IF('Net zero activities &amp; levers'!$C$14="Off",'Activity data'!BI48*ttokg*ONEF*NtoN2O*kgtoGg,IF('Net zero activities &amp; levers'!$C$14="On",'Net zero Activity data'!BI48*ttokg*ONEF*NtoN2O*kgtoGg,"ERROR"))</f>
        <v>4.3365275737448507E-2</v>
      </c>
      <c r="AQ1118" s="94">
        <f>IF('Net zero activities &amp; levers'!$C$14="Off",'Activity data'!BJ48*ttokg*ONEF*NtoN2O*kgtoGg,IF('Net zero activities &amp; levers'!$C$14="On",'Net zero Activity data'!BJ48*ttokg*ONEF*NtoN2O*kgtoGg,"ERROR"))</f>
        <v>4.3354352906151139E-2</v>
      </c>
      <c r="AR1118" s="94">
        <f>IF('Net zero activities &amp; levers'!$C$14="Off",'Activity data'!BK48*ttokg*ONEF*NtoN2O*kgtoGg,IF('Net zero activities &amp; levers'!$C$14="On",'Net zero Activity data'!BK48*ttokg*ONEF*NtoN2O*kgtoGg,"ERROR"))</f>
        <v>4.3343278560740071E-2</v>
      </c>
      <c r="AS1118" s="94">
        <f>IF('Net zero activities &amp; levers'!$C$14="Off",'Activity data'!BL48*ttokg*ONEF*NtoN2O*kgtoGg,IF('Net zero activities &amp; levers'!$C$14="On",'Net zero Activity data'!BL48*ttokg*ONEF*NtoN2O*kgtoGg,"ERROR"))</f>
        <v>4.3332007762999163E-2</v>
      </c>
      <c r="AT1118" s="94">
        <f>IF('Net zero activities &amp; levers'!$C$14="Off",'Activity data'!BM48*ttokg*ONEF*NtoN2O*kgtoGg,IF('Net zero activities &amp; levers'!$C$14="On",'Net zero Activity data'!BM48*ttokg*ONEF*NtoN2O*kgtoGg,"ERROR"))</f>
        <v>4.3319528751102059E-2</v>
      </c>
      <c r="AU1118" s="94">
        <f>IF('Net zero activities &amp; levers'!$C$14="Off",'Activity data'!BN48*ttokg*ONEF*NtoN2O*kgtoGg,IF('Net zero activities &amp; levers'!$C$14="On",'Net zero Activity data'!BN48*ttokg*ONEF*NtoN2O*kgtoGg,"ERROR"))</f>
        <v>4.3310776811703651E-2</v>
      </c>
      <c r="AV1118" s="94">
        <f>IF('Net zero activities &amp; levers'!$C$14="Off",'Activity data'!BO48*ttokg*ONEF*NtoN2O*kgtoGg,IF('Net zero activities &amp; levers'!$C$14="On",'Net zero Activity data'!BO48*ttokg*ONEF*NtoN2O*kgtoGg,"ERROR"))</f>
        <v>4.3302338270865603E-2</v>
      </c>
      <c r="AW1118" s="94">
        <f>IF('Net zero activities &amp; levers'!$C$14="Off",'Activity data'!BP48*ttokg*ONEF*NtoN2O*kgtoGg,IF('Net zero activities &amp; levers'!$C$14="On",'Net zero Activity data'!BP48*ttokg*ONEF*NtoN2O*kgtoGg,"ERROR"))</f>
        <v>4.3293831323988244E-2</v>
      </c>
      <c r="AY1118" s="79"/>
    </row>
    <row r="1119" spans="1:51" x14ac:dyDescent="0.2">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2.968676648093143</v>
      </c>
      <c r="U1119" s="22">
        <f t="shared" si="376"/>
        <v>2.9825082583829583</v>
      </c>
      <c r="V1119" s="22">
        <f t="shared" si="376"/>
        <v>2.9933346622173946</v>
      </c>
      <c r="W1119" s="22">
        <f t="shared" si="376"/>
        <v>3.0033565813928953</v>
      </c>
      <c r="X1119" s="22">
        <f t="shared" si="376"/>
        <v>3.0145589479472883</v>
      </c>
      <c r="Y1119" s="22">
        <f t="shared" si="376"/>
        <v>3.0250336120057435</v>
      </c>
      <c r="Z1119" s="22">
        <f t="shared" si="376"/>
        <v>3.0343616658849326</v>
      </c>
      <c r="AA1119" s="22">
        <f t="shared" si="376"/>
        <v>3.0432376902631781</v>
      </c>
      <c r="AB1119" s="22">
        <f t="shared" si="376"/>
        <v>3.0515077861767024</v>
      </c>
      <c r="AC1119" s="22">
        <f t="shared" si="376"/>
        <v>3.0617139574874526</v>
      </c>
      <c r="AD1119" s="22">
        <f t="shared" si="376"/>
        <v>3.0716388969147959</v>
      </c>
      <c r="AE1119" s="22">
        <f t="shared" si="376"/>
        <v>3.0822275993217993</v>
      </c>
      <c r="AF1119" s="22">
        <f t="shared" si="376"/>
        <v>3.0946028925022198</v>
      </c>
      <c r="AG1119" s="22">
        <f t="shared" si="376"/>
        <v>3.1077211921821801</v>
      </c>
      <c r="AH1119" s="22">
        <f t="shared" si="376"/>
        <v>3.122637390743785</v>
      </c>
      <c r="AI1119" s="22">
        <f t="shared" si="376"/>
        <v>3.1343652344778912</v>
      </c>
      <c r="AJ1119" s="22">
        <f t="shared" si="376"/>
        <v>3.1455242459932262</v>
      </c>
      <c r="AK1119" s="22">
        <f t="shared" si="376"/>
        <v>3.1575220431438074</v>
      </c>
      <c r="AL1119" s="22">
        <f t="shared" si="376"/>
        <v>3.1689887533313184</v>
      </c>
      <c r="AM1119" s="22">
        <f t="shared" si="376"/>
        <v>3.1808403476591942</v>
      </c>
      <c r="AN1119" s="22">
        <f t="shared" si="376"/>
        <v>3.1926055806550666</v>
      </c>
      <c r="AO1119" s="22">
        <f t="shared" si="376"/>
        <v>3.2056121325538434</v>
      </c>
      <c r="AP1119" s="22">
        <f t="shared" si="376"/>
        <v>3.217957374677253</v>
      </c>
      <c r="AQ1119" s="22">
        <f t="shared" si="376"/>
        <v>3.2303127307358399</v>
      </c>
      <c r="AR1119" s="22">
        <f t="shared" si="376"/>
        <v>3.24283947192085</v>
      </c>
      <c r="AS1119" s="22">
        <f t="shared" si="376"/>
        <v>3.2555884300766866</v>
      </c>
      <c r="AT1119" s="22">
        <f t="shared" si="376"/>
        <v>3.2697040591705311</v>
      </c>
      <c r="AU1119" s="22">
        <f t="shared" si="376"/>
        <v>3.2796038117645905</v>
      </c>
      <c r="AV1119" s="22">
        <f t="shared" si="376"/>
        <v>3.2891490637080194</v>
      </c>
      <c r="AW1119" s="22">
        <f t="shared" si="376"/>
        <v>3.2987716931142437</v>
      </c>
      <c r="AY1119" s="79"/>
    </row>
    <row r="1120" spans="1:51" x14ac:dyDescent="0.2">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0.32056321299147922</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0.32579638434951891</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0.32880601635823298</v>
      </c>
      <c r="S1120" s="94">
        <f>IF('Net zero activities &amp; levers'!$C$14="Off",'Activity data'!AL50*ManureNEF*NtoN2O*kgtoGg,IF('Net zero activities &amp; levers'!$C$14="On",'Net zero Activity data'!AL50*ManureNEF*NtoN2O*kgtoGg,"ERROR"))</f>
        <v>0.31980488008437191</v>
      </c>
      <c r="T1120" s="94">
        <f>IF('Net zero activities &amp; levers'!$C$14="Off",'Activity data'!AM50*ManureNEF*NtoN2O*kgtoGg,IF('Net zero activities &amp; levers'!$C$14="On",'Net zero Activity data'!AM50*ManureNEF*NtoN2O*kgtoGg,"ERROR"))</f>
        <v>0.32348013385904834</v>
      </c>
      <c r="U1120" s="94">
        <f>IF('Net zero activities &amp; levers'!$C$14="Off",'Activity data'!AN50*ManureNEF*NtoN2O*kgtoGg,IF('Net zero activities &amp; levers'!$C$14="On",'Net zero Activity data'!AN50*ManureNEF*NtoN2O*kgtoGg,"ERROR"))</f>
        <v>0.3263600829079687</v>
      </c>
      <c r="V1120" s="94">
        <f>IF('Net zero activities &amp; levers'!$C$14="Off",'Activity data'!AO50*ManureNEF*NtoN2O*kgtoGg,IF('Net zero activities &amp; levers'!$C$14="On",'Net zero Activity data'!AO50*ManureNEF*NtoN2O*kgtoGg,"ERROR"))</f>
        <v>0.32908851818149565</v>
      </c>
      <c r="W1120" s="94">
        <f>IF('Net zero activities &amp; levers'!$C$14="Off",'Activity data'!AP50*ManureNEF*NtoN2O*kgtoGg,IF('Net zero activities &amp; levers'!$C$14="On",'Net zero Activity data'!AP50*ManureNEF*NtoN2O*kgtoGg,"ERROR"))</f>
        <v>0.33227832556349268</v>
      </c>
      <c r="X1120" s="94">
        <f>IF('Net zero activities &amp; levers'!$C$14="Off",'Activity data'!AQ50*ManureNEF*NtoN2O*kgtoGg,IF('Net zero activities &amp; levers'!$C$14="On",'Net zero Activity data'!AQ50*ManureNEF*NtoN2O*kgtoGg,"ERROR"))</f>
        <v>0.33533311826905887</v>
      </c>
      <c r="Y1120" s="94">
        <f>IF('Net zero activities &amp; levers'!$C$14="Off",'Activity data'!AR50*ManureNEF*NtoN2O*kgtoGg,IF('Net zero activities &amp; levers'!$C$14="On",'Net zero Activity data'!AR50*ManureNEF*NtoN2O*kgtoGg,"ERROR"))</f>
        <v>0.33789515194056902</v>
      </c>
      <c r="Z1120" s="94">
        <f>IF('Net zero activities &amp; levers'!$C$14="Off",'Activity data'!AS50*ManureNEF*NtoN2O*kgtoGg,IF('Net zero activities &amp; levers'!$C$14="On",'Net zero Activity data'!AS50*ManureNEF*NtoN2O*kgtoGg,"ERROR"))</f>
        <v>0.34038602610303131</v>
      </c>
      <c r="AA1120" s="94">
        <f>IF('Net zero activities &amp; levers'!$C$14="Off",'Activity data'!AT50*ManureNEF*NtoN2O*kgtoGg,IF('Net zero activities &amp; levers'!$C$14="On",'Net zero Activity data'!AT50*ManureNEF*NtoN2O*kgtoGg,"ERROR"))</f>
        <v>0.34274865356811024</v>
      </c>
      <c r="AB1120" s="94">
        <f>IF('Net zero activities &amp; levers'!$C$14="Off",'Activity data'!AU50*ManureNEF*NtoN2O*kgtoGg,IF('Net zero activities &amp; levers'!$C$14="On",'Net zero Activity data'!AU50*ManureNEF*NtoN2O*kgtoGg,"ERROR"))</f>
        <v>0.34582201192682688</v>
      </c>
      <c r="AC1120" s="94">
        <f>IF('Net zero activities &amp; levers'!$C$14="Off",'Activity data'!AV50*ManureNEF*NtoN2O*kgtoGg,IF('Net zero activities &amp; levers'!$C$14="On",'Net zero Activity data'!AV50*ManureNEF*NtoN2O*kgtoGg,"ERROR"))</f>
        <v>0.34887956660233338</v>
      </c>
      <c r="AD1120" s="94">
        <f>IF('Net zero activities &amp; levers'!$C$14="Off",'Activity data'!AW50*ManureNEF*NtoN2O*kgtoGg,IF('Net zero activities &amp; levers'!$C$14="On",'Net zero Activity data'!AW50*ManureNEF*NtoN2O*kgtoGg,"ERROR"))</f>
        <v>0.35206948034993701</v>
      </c>
      <c r="AE1120" s="94">
        <f>IF('Net zero activities &amp; levers'!$C$14="Off",'Activity data'!AX50*ManureNEF*NtoN2O*kgtoGg,IF('Net zero activities &amp; levers'!$C$14="On",'Net zero Activity data'!AX50*ManureNEF*NtoN2O*kgtoGg,"ERROR"))</f>
        <v>0.3559611034908382</v>
      </c>
      <c r="AF1120" s="94">
        <f>IF('Net zero activities &amp; levers'!$C$14="Off",'Activity data'!AY50*ManureNEF*NtoN2O*kgtoGg,IF('Net zero activities &amp; levers'!$C$14="On",'Net zero Activity data'!AY50*ManureNEF*NtoN2O*kgtoGg,"ERROR"))</f>
        <v>0.36021553712523996</v>
      </c>
      <c r="AG1120" s="94">
        <f>IF('Net zero activities &amp; levers'!$C$14="Off",'Activity data'!AZ50*ManureNEF*NtoN2O*kgtoGg,IF('Net zero activities &amp; levers'!$C$14="On",'Net zero Activity data'!AZ50*ManureNEF*NtoN2O*kgtoGg,"ERROR"))</f>
        <v>0.36523063944756523</v>
      </c>
      <c r="AH1120" s="94">
        <f>IF('Net zero activities &amp; levers'!$C$14="Off",'Activity data'!BA50*ManureNEF*NtoN2O*kgtoGg,IF('Net zero activities &amp; levers'!$C$14="On",'Net zero Activity data'!BA50*ManureNEF*NtoN2O*kgtoGg,"ERROR"))</f>
        <v>0.36920261310751928</v>
      </c>
      <c r="AI1120" s="94">
        <f>IF('Net zero activities &amp; levers'!$C$14="Off",'Activity data'!BB50*ManureNEF*NtoN2O*kgtoGg,IF('Net zero activities &amp; levers'!$C$14="On",'Net zero Activity data'!BB50*ManureNEF*NtoN2O*kgtoGg,"ERROR"))</f>
        <v>0.3728925335928876</v>
      </c>
      <c r="AJ1120" s="94">
        <f>IF('Net zero activities &amp; levers'!$C$14="Off",'Activity data'!BC50*ManureNEF*NtoN2O*kgtoGg,IF('Net zero activities &amp; levers'!$C$14="On",'Net zero Activity data'!BC50*ManureNEF*NtoN2O*kgtoGg,"ERROR"))</f>
        <v>0.37698699496053195</v>
      </c>
      <c r="AK1120" s="94">
        <f>IF('Net zero activities &amp; levers'!$C$14="Off",'Activity data'!BD50*ManureNEF*NtoN2O*kgtoGg,IF('Net zero activities &amp; levers'!$C$14="On",'Net zero Activity data'!BD50*ManureNEF*NtoN2O*kgtoGg,"ERROR"))</f>
        <v>0.38097151646383681</v>
      </c>
      <c r="AL1120" s="94">
        <f>IF('Net zero activities &amp; levers'!$C$14="Off",'Activity data'!BE50*ManureNEF*NtoN2O*kgtoGg,IF('Net zero activities &amp; levers'!$C$14="On",'Net zero Activity data'!BE50*ManureNEF*NtoN2O*kgtoGg,"ERROR"))</f>
        <v>0.38519729456570295</v>
      </c>
      <c r="AM1120" s="94">
        <f>IF('Net zero activities &amp; levers'!$C$14="Off",'Activity data'!BF50*ManureNEF*NtoN2O*kgtoGg,IF('Net zero activities &amp; levers'!$C$14="On",'Net zero Activity data'!BF50*ManureNEF*NtoN2O*kgtoGg,"ERROR"))</f>
        <v>0.38948381880632194</v>
      </c>
      <c r="AN1120" s="94">
        <f>IF('Net zero activities &amp; levers'!$C$14="Off",'Activity data'!BG50*ManureNEF*NtoN2O*kgtoGg,IF('Net zero activities &amp; levers'!$C$14="On",'Net zero Activity data'!BG50*ManureNEF*NtoN2O*kgtoGg,"ERROR"))</f>
        <v>0.3942210595490877</v>
      </c>
      <c r="AO1120" s="94">
        <f>IF('Net zero activities &amp; levers'!$C$14="Off",'Activity data'!BH50*ManureNEF*NtoN2O*kgtoGg,IF('Net zero activities &amp; levers'!$C$14="On",'Net zero Activity data'!BH50*ManureNEF*NtoN2O*kgtoGg,"ERROR"))</f>
        <v>0.39879649772923048</v>
      </c>
      <c r="AP1120" s="94">
        <f>IF('Net zero activities &amp; levers'!$C$14="Off",'Activity data'!BI50*ManureNEF*NtoN2O*kgtoGg,IF('Net zero activities &amp; levers'!$C$14="On",'Net zero Activity data'!BI50*ManureNEF*NtoN2O*kgtoGg,"ERROR"))</f>
        <v>0.40348070497447158</v>
      </c>
      <c r="AQ1120" s="94">
        <f>IF('Net zero activities &amp; levers'!$C$14="Off",'Activity data'!BJ50*ManureNEF*NtoN2O*kgtoGg,IF('Net zero activities &amp; levers'!$C$14="On",'Net zero Activity data'!BJ50*ManureNEF*NtoN2O*kgtoGg,"ERROR"))</f>
        <v>0.40834470639522963</v>
      </c>
      <c r="AR1120" s="94">
        <f>IF('Net zero activities &amp; levers'!$C$14="Off",'Activity data'!BK50*ManureNEF*NtoN2O*kgtoGg,IF('Net zero activities &amp; levers'!$C$14="On",'Net zero Activity data'!BK50*ManureNEF*NtoN2O*kgtoGg,"ERROR"))</f>
        <v>0.41341630943614366</v>
      </c>
      <c r="AS1120" s="94">
        <f>IF('Net zero activities &amp; levers'!$C$14="Off",'Activity data'!BL50*ManureNEF*NtoN2O*kgtoGg,IF('Net zero activities &amp; levers'!$C$14="On",'Net zero Activity data'!BL50*ManureNEF*NtoN2O*kgtoGg,"ERROR"))</f>
        <v>0.41906350167167566</v>
      </c>
      <c r="AT1120" s="94">
        <f>IF('Net zero activities &amp; levers'!$C$14="Off",'Activity data'!BM50*ManureNEF*NtoN2O*kgtoGg,IF('Net zero activities &amp; levers'!$C$14="On",'Net zero Activity data'!BM50*ManureNEF*NtoN2O*kgtoGg,"ERROR"))</f>
        <v>0.42292582986675353</v>
      </c>
      <c r="AU1120" s="94">
        <f>IF('Net zero activities &amp; levers'!$C$14="Off",'Activity data'!BN50*ManureNEF*NtoN2O*kgtoGg,IF('Net zero activities &amp; levers'!$C$14="On",'Net zero Activity data'!BN50*ManureNEF*NtoN2O*kgtoGg,"ERROR"))</f>
        <v>0.42669932950648143</v>
      </c>
      <c r="AV1120" s="94">
        <f>IF('Net zero activities &amp; levers'!$C$14="Off",'Activity data'!BO50*ManureNEF*NtoN2O*kgtoGg,IF('Net zero activities &amp; levers'!$C$14="On",'Net zero Activity data'!BO50*ManureNEF*NtoN2O*kgtoGg,"ERROR"))</f>
        <v>0.43057975647849034</v>
      </c>
      <c r="AW1120" s="94">
        <f>IF('Net zero activities &amp; levers'!$C$14="Off",'Activity data'!BP50*ManureNEF*NtoN2O*kgtoGg,IF('Net zero activities &amp; levers'!$C$14="On",'Net zero Activity data'!BP50*ManureNEF*NtoN2O*kgtoGg,"ERROR"))</f>
        <v>0.43448428362104141</v>
      </c>
      <c r="AY1120" s="79"/>
    </row>
    <row r="1121" spans="1:51" x14ac:dyDescent="0.2">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0.93731746283627526</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0.95261910289076102</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0.96141917889497119</v>
      </c>
      <c r="S1121" s="94">
        <f>IF('Net zero activities &amp; levers'!$C$14="Off",'Activity data'!AL51*ManureNEF*NtoN2O*kgtoGg,IF('Net zero activities &amp; levers'!$C$14="On",'Net zero Activity data'!AL51*ManureNEF*NtoN2O*kgtoGg,"ERROR"))</f>
        <v>0.93510011958643091</v>
      </c>
      <c r="T1121" s="94">
        <f>IF('Net zero activities &amp; levers'!$C$14="Off",'Activity data'!AM51*ManureNEF*NtoN2O*kgtoGg,IF('Net zero activities &amp; levers'!$C$14="On",'Net zero Activity data'!AM51*ManureNEF*NtoN2O*kgtoGg,"ERROR"))</f>
        <v>0.94584645417427005</v>
      </c>
      <c r="U1121" s="94">
        <f>IF('Net zero activities &amp; levers'!$C$14="Off",'Activity data'!AN51*ManureNEF*NtoN2O*kgtoGg,IF('Net zero activities &amp; levers'!$C$14="On",'Net zero Activity data'!AN51*ManureNEF*NtoN2O*kgtoGg,"ERROR"))</f>
        <v>0.95426734099543964</v>
      </c>
      <c r="V1121" s="94">
        <f>IF('Net zero activities &amp; levers'!$C$14="Off",'Activity data'!AO51*ManureNEF*NtoN2O*kgtoGg,IF('Net zero activities &amp; levers'!$C$14="On",'Net zero Activity data'!AO51*ManureNEF*NtoN2O*kgtoGg,"ERROR"))</f>
        <v>0.96224520596699892</v>
      </c>
      <c r="W1121" s="94">
        <f>IF('Net zero activities &amp; levers'!$C$14="Off",'Activity data'!AP51*ManureNEF*NtoN2O*kgtoGg,IF('Net zero activities &amp; levers'!$C$14="On",'Net zero Activity data'!AP51*ManureNEF*NtoN2O*kgtoGg,"ERROR"))</f>
        <v>0.97157210949510064</v>
      </c>
      <c r="X1121" s="94">
        <f>IF('Net zero activities &amp; levers'!$C$14="Off",'Activity data'!AQ51*ManureNEF*NtoN2O*kgtoGg,IF('Net zero activities &amp; levers'!$C$14="On",'Net zero Activity data'!AQ51*ManureNEF*NtoN2O*kgtoGg,"ERROR"))</f>
        <v>0.98050423405659315</v>
      </c>
      <c r="Y1121" s="94">
        <f>IF('Net zero activities &amp; levers'!$C$14="Off",'Activity data'!AR51*ManureNEF*NtoN2O*kgtoGg,IF('Net zero activities &amp; levers'!$C$14="On",'Net zero Activity data'!AR51*ManureNEF*NtoN2O*kgtoGg,"ERROR"))</f>
        <v>0.98799554560875424</v>
      </c>
      <c r="Z1121" s="94">
        <f>IF('Net zero activities &amp; levers'!$C$14="Off",'Activity data'!AS51*ManureNEF*NtoN2O*kgtoGg,IF('Net zero activities &amp; levers'!$C$14="On",'Net zero Activity data'!AS51*ManureNEF*NtoN2O*kgtoGg,"ERROR"))</f>
        <v>0.99527878883687138</v>
      </c>
      <c r="AA1121" s="94">
        <f>IF('Net zero activities &amp; levers'!$C$14="Off",'Activity data'!AT51*ManureNEF*NtoN2O*kgtoGg,IF('Net zero activities &amp; levers'!$C$14="On",'Net zero Activity data'!AT51*ManureNEF*NtoN2O*kgtoGg,"ERROR"))</f>
        <v>1.0021870424712456</v>
      </c>
      <c r="AB1121" s="94">
        <f>IF('Net zero activities &amp; levers'!$C$14="Off",'Activity data'!AU51*ManureNEF*NtoN2O*kgtoGg,IF('Net zero activities &amp; levers'!$C$14="On",'Net zero Activity data'!AU51*ManureNEF*NtoN2O*kgtoGg,"ERROR"))</f>
        <v>1.011173452459766</v>
      </c>
      <c r="AC1121" s="94">
        <f>IF('Net zero activities &amp; levers'!$C$14="Off",'Activity data'!AV51*ManureNEF*NtoN2O*kgtoGg,IF('Net zero activities &amp; levers'!$C$14="On",'Net zero Activity data'!AV51*ManureNEF*NtoN2O*kgtoGg,"ERROR"))</f>
        <v>1.0201136529406156</v>
      </c>
      <c r="AD1121" s="94">
        <f>IF('Net zero activities &amp; levers'!$C$14="Off",'Activity data'!AW51*ManureNEF*NtoN2O*kgtoGg,IF('Net zero activities &amp; levers'!$C$14="On",'Net zero Activity data'!AW51*ManureNEF*NtoN2O*kgtoGg,"ERROR"))</f>
        <v>1.0294408674786415</v>
      </c>
      <c r="AE1121" s="94">
        <f>IF('Net zero activities &amp; levers'!$C$14="Off",'Activity data'!AX51*ManureNEF*NtoN2O*kgtoGg,IF('Net zero activities &amp; levers'!$C$14="On",'Net zero Activity data'!AX51*ManureNEF*NtoN2O*kgtoGg,"ERROR"))</f>
        <v>1.0408198597675704</v>
      </c>
      <c r="AF1121" s="94">
        <f>IF('Net zero activities &amp; levers'!$C$14="Off",'Activity data'!AY51*ManureNEF*NtoN2O*kgtoGg,IF('Net zero activities &amp; levers'!$C$14="On",'Net zero Activity data'!AY51*ManureNEF*NtoN2O*kgtoGg,"ERROR"))</f>
        <v>1.0532596993324077</v>
      </c>
      <c r="AG1121" s="94">
        <f>IF('Net zero activities &amp; levers'!$C$14="Off",'Activity data'!AZ51*ManureNEF*NtoN2O*kgtoGg,IF('Net zero activities &amp; levers'!$C$14="On",'Net zero Activity data'!AZ51*ManureNEF*NtoN2O*kgtoGg,"ERROR"))</f>
        <v>1.0679237119019074</v>
      </c>
      <c r="AH1121" s="94">
        <f>IF('Net zero activities &amp; levers'!$C$14="Off",'Activity data'!BA51*ManureNEF*NtoN2O*kgtoGg,IF('Net zero activities &amp; levers'!$C$14="On",'Net zero Activity data'!BA51*ManureNEF*NtoN2O*kgtoGg,"ERROR"))</f>
        <v>1.0795376467594282</v>
      </c>
      <c r="AI1121" s="94">
        <f>IF('Net zero activities &amp; levers'!$C$14="Off",'Activity data'!BB51*ManureNEF*NtoN2O*kgtoGg,IF('Net zero activities &amp; levers'!$C$14="On",'Net zero Activity data'!BB51*ManureNEF*NtoN2O*kgtoGg,"ERROR"))</f>
        <v>1.0903268663805361</v>
      </c>
      <c r="AJ1121" s="94">
        <f>IF('Net zero activities &amp; levers'!$C$14="Off",'Activity data'!BC51*ManureNEF*NtoN2O*kgtoGg,IF('Net zero activities &amp; levers'!$C$14="On",'Net zero Activity data'!BC51*ManureNEF*NtoN2O*kgtoGg,"ERROR"))</f>
        <v>1.102298951714306</v>
      </c>
      <c r="AK1121" s="94">
        <f>IF('Net zero activities &amp; levers'!$C$14="Off",'Activity data'!BD51*ManureNEF*NtoN2O*kgtoGg,IF('Net zero activities &amp; levers'!$C$14="On",'Net zero Activity data'!BD51*ManureNEF*NtoN2O*kgtoGg,"ERROR"))</f>
        <v>1.1139495760989377</v>
      </c>
      <c r="AL1121" s="94">
        <f>IF('Net zero activities &amp; levers'!$C$14="Off",'Activity data'!BE51*ManureNEF*NtoN2O*kgtoGg,IF('Net zero activities &amp; levers'!$C$14="On",'Net zero Activity data'!BE51*ManureNEF*NtoN2O*kgtoGg,"ERROR"))</f>
        <v>1.1263056277244112</v>
      </c>
      <c r="AM1121" s="94">
        <f>IF('Net zero activities &amp; levers'!$C$14="Off",'Activity data'!BF51*ManureNEF*NtoN2O*kgtoGg,IF('Net zero activities &amp; levers'!$C$14="On",'Net zero Activity data'!BF51*ManureNEF*NtoN2O*kgtoGg,"ERROR"))</f>
        <v>1.1388392992836296</v>
      </c>
      <c r="AN1121" s="94">
        <f>IF('Net zero activities &amp; levers'!$C$14="Off",'Activity data'!BG51*ManureNEF*NtoN2O*kgtoGg,IF('Net zero activities &amp; levers'!$C$14="On",'Net zero Activity data'!BG51*ManureNEF*NtoN2O*kgtoGg,"ERROR"))</f>
        <v>1.152690852718028</v>
      </c>
      <c r="AO1121" s="94">
        <f>IF('Net zero activities &amp; levers'!$C$14="Off",'Activity data'!BH51*ManureNEF*NtoN2O*kgtoGg,IF('Net zero activities &amp; levers'!$C$14="On",'Net zero Activity data'!BH51*ManureNEF*NtoN2O*kgtoGg,"ERROR"))</f>
        <v>1.1660693001897589</v>
      </c>
      <c r="AP1121" s="94">
        <f>IF('Net zero activities &amp; levers'!$C$14="Off",'Activity data'!BI51*ManureNEF*NtoN2O*kgtoGg,IF('Net zero activities &amp; levers'!$C$14="On",'Net zero Activity data'!BI51*ManureNEF*NtoN2O*kgtoGg,"ERROR"))</f>
        <v>1.1797657852278758</v>
      </c>
      <c r="AQ1121" s="94">
        <f>IF('Net zero activities &amp; levers'!$C$14="Off",'Activity data'!BJ51*ManureNEF*NtoN2O*kgtoGg,IF('Net zero activities &amp; levers'!$C$14="On",'Net zero Activity data'!BJ51*ManureNEF*NtoN2O*kgtoGg,"ERROR"))</f>
        <v>1.1939879831787625</v>
      </c>
      <c r="AR1121" s="94">
        <f>IF('Net zero activities &amp; levers'!$C$14="Off",'Activity data'!BK51*ManureNEF*NtoN2O*kgtoGg,IF('Net zero activities &amp; levers'!$C$14="On",'Net zero Activity data'!BK51*ManureNEF*NtoN2O*kgtoGg,"ERROR"))</f>
        <v>1.2088172021975669</v>
      </c>
      <c r="AS1121" s="94">
        <f>IF('Net zero activities &amp; levers'!$C$14="Off",'Activity data'!BL51*ManureNEF*NtoN2O*kgtoGg,IF('Net zero activities &amp; levers'!$C$14="On",'Net zero Activity data'!BL51*ManureNEF*NtoN2O*kgtoGg,"ERROR"))</f>
        <v>1.225329427193572</v>
      </c>
      <c r="AT1121" s="94">
        <f>IF('Net zero activities &amp; levers'!$C$14="Off",'Activity data'!BM51*ManureNEF*NtoN2O*kgtoGg,IF('Net zero activities &amp; levers'!$C$14="On",'Net zero Activity data'!BM51*ManureNEF*NtoN2O*kgtoGg,"ERROR"))</f>
        <v>1.2366227619173775</v>
      </c>
      <c r="AU1121" s="94">
        <f>IF('Net zero activities &amp; levers'!$C$14="Off",'Activity data'!BN51*ManureNEF*NtoN2O*kgtoGg,IF('Net zero activities &amp; levers'!$C$14="On",'Net zero Activity data'!BN51*ManureNEF*NtoN2O*kgtoGg,"ERROR"))</f>
        <v>1.2476563645423218</v>
      </c>
      <c r="AV1121" s="94">
        <f>IF('Net zero activities &amp; levers'!$C$14="Off",'Activity data'!BO51*ManureNEF*NtoN2O*kgtoGg,IF('Net zero activities &amp; levers'!$C$14="On",'Net zero Activity data'!BO51*ManureNEF*NtoN2O*kgtoGg,"ERROR"))</f>
        <v>1.2590026195607404</v>
      </c>
      <c r="AW1121" s="94">
        <f>IF('Net zero activities &amp; levers'!$C$14="Off",'Activity data'!BP51*ManureNEF*NtoN2O*kgtoGg,IF('Net zero activities &amp; levers'!$C$14="On",'Net zero Activity data'!BP51*ManureNEF*NtoN2O*kgtoGg,"ERROR"))</f>
        <v>1.2704193427732338</v>
      </c>
      <c r="AY1121" s="79"/>
    </row>
    <row r="1122" spans="1:51" x14ac:dyDescent="0.2">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5.0141199304605817E-2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5.0959750770976343E-2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5.1430505218981168E-2</v>
      </c>
      <c r="S1122" s="94">
        <f>IF('Net zero activities &amp; levers'!$C$14="Off",'Activity data'!AL52*ManureNEF*NtoN2O*kgtoGg,IF('Net zero activities &amp; levers'!$C$14="On",'Net zero Activity data'!AL52*ManureNEF*NtoN2O*kgtoGg,"ERROR"))</f>
        <v>5.0022583942975041E-2</v>
      </c>
      <c r="T1122" s="94">
        <f>IF('Net zero activities &amp; levers'!$C$14="Off",'Activity data'!AM52*ManureNEF*NtoN2O*kgtoGg,IF('Net zero activities &amp; levers'!$C$14="On",'Net zero Activity data'!AM52*ManureNEF*NtoN2O*kgtoGg,"ERROR"))</f>
        <v>5.0597452251447961E-2</v>
      </c>
      <c r="U1122" s="94">
        <f>IF('Net zero activities &amp; levers'!$C$14="Off",'Activity data'!AN52*ManureNEF*NtoN2O*kgtoGg,IF('Net zero activities &amp; levers'!$C$14="On",'Net zero Activity data'!AN52*ManureNEF*NtoN2O*kgtoGg,"ERROR"))</f>
        <v>5.1047922216174907E-2</v>
      </c>
      <c r="V1122" s="94">
        <f>IF('Net zero activities &amp; levers'!$C$14="Off",'Activity data'!AO52*ManureNEF*NtoN2O*kgtoGg,IF('Net zero activities &amp; levers'!$C$14="On",'Net zero Activity data'!AO52*ManureNEF*NtoN2O*kgtoGg,"ERROR"))</f>
        <v>5.147469300987563E-2</v>
      </c>
      <c r="W1122" s="94">
        <f>IF('Net zero activities &amp; levers'!$C$14="Off",'Activity data'!AP52*ManureNEF*NtoN2O*kgtoGg,IF('Net zero activities &amp; levers'!$C$14="On",'Net zero Activity data'!AP52*ManureNEF*NtoN2O*kgtoGg,"ERROR"))</f>
        <v>5.1973629759952025E-2</v>
      </c>
      <c r="X1122" s="94">
        <f>IF('Net zero activities &amp; levers'!$C$14="Off",'Activity data'!AQ52*ManureNEF*NtoN2O*kgtoGg,IF('Net zero activities &amp; levers'!$C$14="On",'Net zero Activity data'!AQ52*ManureNEF*NtoN2O*kgtoGg,"ERROR"))</f>
        <v>5.2451448061230796E-2</v>
      </c>
      <c r="Y1122" s="94">
        <f>IF('Net zero activities &amp; levers'!$C$14="Off",'Activity data'!AR52*ManureNEF*NtoN2O*kgtoGg,IF('Net zero activities &amp; levers'!$C$14="On",'Net zero Activity data'!AR52*ManureNEF*NtoN2O*kgtoGg,"ERROR"))</f>
        <v>5.285219099036944E-2</v>
      </c>
      <c r="Z1122" s="94">
        <f>IF('Net zero activities &amp; levers'!$C$14="Off",'Activity data'!AS52*ManureNEF*NtoN2O*kgtoGg,IF('Net zero activities &amp; levers'!$C$14="On",'Net zero Activity data'!AS52*ManureNEF*NtoN2O*kgtoGg,"ERROR"))</f>
        <v>5.3241803437341126E-2</v>
      </c>
      <c r="AA1122" s="94">
        <f>IF('Net zero activities &amp; levers'!$C$14="Off",'Activity data'!AT52*ManureNEF*NtoN2O*kgtoGg,IF('Net zero activities &amp; levers'!$C$14="On",'Net zero Activity data'!AT52*ManureNEF*NtoN2O*kgtoGg,"ERROR"))</f>
        <v>5.361135605538344E-2</v>
      </c>
      <c r="AB1122" s="94">
        <f>IF('Net zero activities &amp; levers'!$C$14="Off",'Activity data'!AU52*ManureNEF*NtoN2O*kgtoGg,IF('Net zero activities &amp; levers'!$C$14="On",'Net zero Activity data'!AU52*ManureNEF*NtoN2O*kgtoGg,"ERROR"))</f>
        <v>5.4092078320926051E-2</v>
      </c>
      <c r="AC1122" s="94">
        <f>IF('Net zero activities &amp; levers'!$C$14="Off",'Activity data'!AV52*ManureNEF*NtoN2O*kgtoGg,IF('Net zero activities &amp; levers'!$C$14="On",'Net zero Activity data'!AV52*ManureNEF*NtoN2O*kgtoGg,"ERROR"))</f>
        <v>5.457032863835528E-2</v>
      </c>
      <c r="AD1122" s="94">
        <f>IF('Net zero activities &amp; levers'!$C$14="Off",'Activity data'!AW52*ManureNEF*NtoN2O*kgtoGg,IF('Net zero activities &amp; levers'!$C$14="On",'Net zero Activity data'!AW52*ManureNEF*NtoN2O*kgtoGg,"ERROR"))</f>
        <v>5.5069282025709015E-2</v>
      </c>
      <c r="AE1122" s="94">
        <f>IF('Net zero activities &amp; levers'!$C$14="Off",'Activity data'!AX52*ManureNEF*NtoN2O*kgtoGg,IF('Net zero activities &amp; levers'!$C$14="On",'Net zero Activity data'!AX52*ManureNEF*NtoN2O*kgtoGg,"ERROR"))</f>
        <v>5.5677993954022266E-2</v>
      </c>
      <c r="AF1122" s="94">
        <f>IF('Net zero activities &amp; levers'!$C$14="Off",'Activity data'!AY52*ManureNEF*NtoN2O*kgtoGg,IF('Net zero activities &amp; levers'!$C$14="On",'Net zero Activity data'!AY52*ManureNEF*NtoN2O*kgtoGg,"ERROR"))</f>
        <v>5.634345523013079E-2</v>
      </c>
      <c r="AG1122" s="94">
        <f>IF('Net zero activities &amp; levers'!$C$14="Off",'Activity data'!AZ52*ManureNEF*NtoN2O*kgtoGg,IF('Net zero activities &amp; levers'!$C$14="On",'Net zero Activity data'!AZ52*ManureNEF*NtoN2O*kgtoGg,"ERROR"))</f>
        <v>5.7127897221244069E-2</v>
      </c>
      <c r="AH1122" s="94">
        <f>IF('Net zero activities &amp; levers'!$C$14="Off",'Activity data'!BA52*ManureNEF*NtoN2O*kgtoGg,IF('Net zero activities &amp; levers'!$C$14="On",'Net zero Activity data'!BA52*ManureNEF*NtoN2O*kgtoGg,"ERROR"))</f>
        <v>5.774917725228023E-2</v>
      </c>
      <c r="AI1122" s="94">
        <f>IF('Net zero activities &amp; levers'!$C$14="Off",'Activity data'!BB52*ManureNEF*NtoN2O*kgtoGg,IF('Net zero activities &amp; levers'!$C$14="On",'Net zero Activity data'!BB52*ManureNEF*NtoN2O*kgtoGg,"ERROR"))</f>
        <v>5.8326339668230698E-2</v>
      </c>
      <c r="AJ1122" s="94">
        <f>IF('Net zero activities &amp; levers'!$C$14="Off",'Activity data'!BC52*ManureNEF*NtoN2O*kgtoGg,IF('Net zero activities &amp; levers'!$C$14="On",'Net zero Activity data'!BC52*ManureNEF*NtoN2O*kgtoGg,"ERROR"))</f>
        <v>5.8966778730355766E-2</v>
      </c>
      <c r="AK1122" s="94">
        <f>IF('Net zero activities &amp; levers'!$C$14="Off",'Activity data'!BD52*ManureNEF*NtoN2O*kgtoGg,IF('Net zero activities &amp; levers'!$C$14="On",'Net zero Activity data'!BD52*ManureNEF*NtoN2O*kgtoGg,"ERROR"))</f>
        <v>5.9590021444222652E-2</v>
      </c>
      <c r="AL1122" s="94">
        <f>IF('Net zero activities &amp; levers'!$C$14="Off",'Activity data'!BE52*ManureNEF*NtoN2O*kgtoGg,IF('Net zero activities &amp; levers'!$C$14="On",'Net zero Activity data'!BE52*ManureNEF*NtoN2O*kgtoGg,"ERROR"))</f>
        <v>6.025100053800389E-2</v>
      </c>
      <c r="AM1122" s="94">
        <f>IF('Net zero activities &amp; levers'!$C$14="Off",'Activity data'!BF52*ManureNEF*NtoN2O*kgtoGg,IF('Net zero activities &amp; levers'!$C$14="On",'Net zero Activity data'!BF52*ManureNEF*NtoN2O*kgtoGg,"ERROR"))</f>
        <v>6.0921481296750873E-2</v>
      </c>
      <c r="AN1122" s="94">
        <f>IF('Net zero activities &amp; levers'!$C$14="Off",'Activity data'!BG52*ManureNEF*NtoN2O*kgtoGg,IF('Net zero activities &amp; levers'!$C$14="On",'Net zero Activity data'!BG52*ManureNEF*NtoN2O*kgtoGg,"ERROR"))</f>
        <v>6.1662461305093973E-2</v>
      </c>
      <c r="AO1122" s="94">
        <f>IF('Net zero activities &amp; levers'!$C$14="Off",'Activity data'!BH52*ManureNEF*NtoN2O*kgtoGg,IF('Net zero activities &amp; levers'!$C$14="On",'Net zero Activity data'!BH52*ManureNEF*NtoN2O*kgtoGg,"ERROR"))</f>
        <v>6.2378132811988125E-2</v>
      </c>
      <c r="AP1122" s="94">
        <f>IF('Net zero activities &amp; levers'!$C$14="Off",'Activity data'!BI52*ManureNEF*NtoN2O*kgtoGg,IF('Net zero activities &amp; levers'!$C$14="On",'Net zero Activity data'!BI52*ManureNEF*NtoN2O*kgtoGg,"ERROR"))</f>
        <v>6.3110817535465588E-2</v>
      </c>
      <c r="AQ1122" s="94">
        <f>IF('Net zero activities &amp; levers'!$C$14="Off",'Activity data'!BJ52*ManureNEF*NtoN2O*kgtoGg,IF('Net zero activities &amp; levers'!$C$14="On",'Net zero Activity data'!BJ52*ManureNEF*NtoN2O*kgtoGg,"ERROR"))</f>
        <v>6.3871624935604179E-2</v>
      </c>
      <c r="AR1122" s="94">
        <f>IF('Net zero activities &amp; levers'!$C$14="Off",'Activity data'!BK52*ManureNEF*NtoN2O*kgtoGg,IF('Net zero activities &amp; levers'!$C$14="On",'Net zero Activity data'!BK52*ManureNEF*NtoN2O*kgtoGg,"ERROR"))</f>
        <v>6.4664904540257612E-2</v>
      </c>
      <c r="AS1122" s="94">
        <f>IF('Net zero activities &amp; levers'!$C$14="Off",'Activity data'!BL52*ManureNEF*NtoN2O*kgtoGg,IF('Net zero activities &amp; levers'!$C$14="On",'Net zero Activity data'!BL52*ManureNEF*NtoN2O*kgtoGg,"ERROR"))</f>
        <v>6.5548215475254884E-2</v>
      </c>
      <c r="AT1122" s="94">
        <f>IF('Net zero activities &amp; levers'!$C$14="Off",'Activity data'!BM52*ManureNEF*NtoN2O*kgtoGg,IF('Net zero activities &amp; levers'!$C$14="On",'Net zero Activity data'!BM52*ManureNEF*NtoN2O*kgtoGg,"ERROR"))</f>
        <v>6.6152345206804408E-2</v>
      </c>
      <c r="AU1122" s="94">
        <f>IF('Net zero activities &amp; levers'!$C$14="Off",'Activity data'!BN52*ManureNEF*NtoN2O*kgtoGg,IF('Net zero activities &amp; levers'!$C$14="On",'Net zero Activity data'!BN52*ManureNEF*NtoN2O*kgtoGg,"ERROR"))</f>
        <v>6.6742580735534546E-2</v>
      </c>
      <c r="AV1122" s="94">
        <f>IF('Net zero activities &amp; levers'!$C$14="Off",'Activity data'!BO52*ManureNEF*NtoN2O*kgtoGg,IF('Net zero activities &amp; levers'!$C$14="On",'Net zero Activity data'!BO52*ManureNEF*NtoN2O*kgtoGg,"ERROR"))</f>
        <v>6.7349541404460839E-2</v>
      </c>
      <c r="AW1122" s="94">
        <f>IF('Net zero activities &amp; levers'!$C$14="Off",'Activity data'!BP52*ManureNEF*NtoN2O*kgtoGg,IF('Net zero activities &amp; levers'!$C$14="On",'Net zero Activity data'!BP52*ManureNEF*NtoN2O*kgtoGg,"ERROR"))</f>
        <v>6.7960271724443314E-2</v>
      </c>
      <c r="AY1122" s="79"/>
    </row>
    <row r="1123" spans="1:51" x14ac:dyDescent="0.2">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0.3999997899835232</v>
      </c>
      <c r="L1123" s="94">
        <f>IF('Net zero activities &amp; levers'!$C$14="Off",'Activity data'!AE53*ManureNEF*NtoN2O*kgtoGg,IF('Net zero activities &amp; levers'!$C$14="On",'Net zero Activity data'!AE53*ManureNEF*NtoN2O*kgtoGg,"ERROR"))</f>
        <v>0.39653071954810204</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0.38227219443770111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0.31703545795580812</v>
      </c>
      <c r="T1123" s="94">
        <f>IF('Net zero activities &amp; levers'!$C$14="Off",'Activity data'!AM53*ManureNEF*NtoN2O*kgtoGg,IF('Net zero activities &amp; levers'!$C$14="On",'Net zero Activity data'!AM53*ManureNEF*NtoN2O*kgtoGg,"ERROR"))</f>
        <v>0.32309971218055339</v>
      </c>
      <c r="U1123" s="94">
        <f>IF('Net zero activities &amp; levers'!$C$14="Off",'Activity data'!AN53*ManureNEF*NtoN2O*kgtoGg,IF('Net zero activities &amp; levers'!$C$14="On",'Net zero Activity data'!AN53*ManureNEF*NtoN2O*kgtoGg,"ERROR"))</f>
        <v>0.32634203711003062</v>
      </c>
      <c r="V1123" s="94">
        <f>IF('Net zero activities &amp; levers'!$C$14="Off",'Activity data'!AO53*ManureNEF*NtoN2O*kgtoGg,IF('Net zero activities &amp; levers'!$C$14="On",'Net zero Activity data'!AO53*ManureNEF*NtoN2O*kgtoGg,"ERROR"))</f>
        <v>0.32883794885575124</v>
      </c>
      <c r="W1123" s="94">
        <f>IF('Net zero activities &amp; levers'!$C$14="Off",'Activity data'!AP53*ManureNEF*NtoN2O*kgtoGg,IF('Net zero activities &amp; levers'!$C$14="On",'Net zero Activity data'!AP53*ManureNEF*NtoN2O*kgtoGg,"ERROR"))</f>
        <v>0.33244914541099557</v>
      </c>
      <c r="X1123" s="94">
        <f>IF('Net zero activities &amp; levers'!$C$14="Off",'Activity data'!AQ53*ManureNEF*NtoN2O*kgtoGg,IF('Net zero activities &amp; levers'!$C$14="On",'Net zero Activity data'!AQ53*ManureNEF*NtoN2O*kgtoGg,"ERROR"))</f>
        <v>0.33537982425623064</v>
      </c>
      <c r="Y1123" s="94">
        <f>IF('Net zero activities &amp; levers'!$C$14="Off",'Activity data'!AR53*ManureNEF*NtoN2O*kgtoGg,IF('Net zero activities &amp; levers'!$C$14="On",'Net zero Activity data'!AR53*ManureNEF*NtoN2O*kgtoGg,"ERROR"))</f>
        <v>0.33726910277056216</v>
      </c>
      <c r="Z1123" s="94">
        <f>IF('Net zero activities &amp; levers'!$C$14="Off",'Activity data'!AS53*ManureNEF*NtoN2O*kgtoGg,IF('Net zero activities &amp; levers'!$C$14="On",'Net zero Activity data'!AS53*ManureNEF*NtoN2O*kgtoGg,"ERROR"))</f>
        <v>0.33873976472971684</v>
      </c>
      <c r="AA1123" s="94">
        <f>IF('Net zero activities &amp; levers'!$C$14="Off",'Activity data'!AT53*ManureNEF*NtoN2O*kgtoGg,IF('Net zero activities &amp; levers'!$C$14="On",'Net zero Activity data'!AT53*ManureNEF*NtoN2O*kgtoGg,"ERROR"))</f>
        <v>0.3396512538265225</v>
      </c>
      <c r="AB1123" s="94">
        <f>IF('Net zero activities &amp; levers'!$C$14="Off",'Activity data'!AU53*ManureNEF*NtoN2O*kgtoGg,IF('Net zero activities &amp; levers'!$C$14="On",'Net zero Activity data'!AU53*ManureNEF*NtoN2O*kgtoGg,"ERROR"))</f>
        <v>0.34234961980351264</v>
      </c>
      <c r="AC1123" s="94">
        <f>IF('Net zero activities &amp; levers'!$C$14="Off",'Activity data'!AV53*ManureNEF*NtoN2O*kgtoGg,IF('Net zero activities &amp; levers'!$C$14="On",'Net zero Activity data'!AV53*ManureNEF*NtoN2O*kgtoGg,"ERROR"))</f>
        <v>0.34477749763229165</v>
      </c>
      <c r="AD1123" s="94">
        <f>IF('Net zero activities &amp; levers'!$C$14="Off",'Activity data'!AW53*ManureNEF*NtoN2O*kgtoGg,IF('Net zero activities &amp; levers'!$C$14="On",'Net zero Activity data'!AW53*ManureNEF*NtoN2O*kgtoGg,"ERROR"))</f>
        <v>0.34490271847402698</v>
      </c>
      <c r="AE1123" s="94">
        <f>IF('Net zero activities &amp; levers'!$C$14="Off",'Activity data'!AX53*ManureNEF*NtoN2O*kgtoGg,IF('Net zero activities &amp; levers'!$C$14="On",'Net zero Activity data'!AX53*ManureNEF*NtoN2O*kgtoGg,"ERROR"))</f>
        <v>0.34652917307942177</v>
      </c>
      <c r="AF1123" s="94">
        <f>IF('Net zero activities &amp; levers'!$C$14="Off",'Activity data'!AY53*ManureNEF*NtoN2O*kgtoGg,IF('Net zero activities &amp; levers'!$C$14="On",'Net zero Activity data'!AY53*ManureNEF*NtoN2O*kgtoGg,"ERROR"))</f>
        <v>0.34867994569293842</v>
      </c>
      <c r="AG1123" s="94">
        <f>IF('Net zero activities &amp; levers'!$C$14="Off",'Activity data'!AZ53*ManureNEF*NtoN2O*kgtoGg,IF('Net zero activities &amp; levers'!$C$14="On",'Net zero Activity data'!AZ53*ManureNEF*NtoN2O*kgtoGg,"ERROR"))</f>
        <v>0.35229087700726325</v>
      </c>
      <c r="AH1123" s="94">
        <f>IF('Net zero activities &amp; levers'!$C$14="Off",'Activity data'!BA53*ManureNEF*NtoN2O*kgtoGg,IF('Net zero activities &amp; levers'!$C$14="On",'Net zero Activity data'!BA53*ManureNEF*NtoN2O*kgtoGg,"ERROR"))</f>
        <v>0.35286760038592668</v>
      </c>
      <c r="AI1123" s="94">
        <f>IF('Net zero activities &amp; levers'!$C$14="Off",'Activity data'!BB53*ManureNEF*NtoN2O*kgtoGg,IF('Net zero activities &amp; levers'!$C$14="On",'Net zero Activity data'!BB53*ManureNEF*NtoN2O*kgtoGg,"ERROR"))</f>
        <v>0.35280706113320703</v>
      </c>
      <c r="AJ1123" s="94">
        <f>IF('Net zero activities &amp; levers'!$C$14="Off",'Activity data'!BC53*ManureNEF*NtoN2O*kgtoGg,IF('Net zero activities &amp; levers'!$C$14="On",'Net zero Activity data'!BC53*ManureNEF*NtoN2O*kgtoGg,"ERROR"))</f>
        <v>0.35333685278149574</v>
      </c>
      <c r="AK1123" s="94">
        <f>IF('Net zero activities &amp; levers'!$C$14="Off",'Activity data'!BD53*ManureNEF*NtoN2O*kgtoGg,IF('Net zero activities &amp; levers'!$C$14="On",'Net zero Activity data'!BD53*ManureNEF*NtoN2O*kgtoGg,"ERROR"))</f>
        <v>0.35323906806904226</v>
      </c>
      <c r="AL1123" s="94">
        <f>IF('Net zero activities &amp; levers'!$C$14="Off",'Activity data'!BE53*ManureNEF*NtoN2O*kgtoGg,IF('Net zero activities &amp; levers'!$C$14="On",'Net zero Activity data'!BE53*ManureNEF*NtoN2O*kgtoGg,"ERROR"))</f>
        <v>0.35331388529093138</v>
      </c>
      <c r="AM1123" s="94">
        <f>IF('Net zero activities &amp; levers'!$C$14="Off",'Activity data'!BF53*ManureNEF*NtoN2O*kgtoGg,IF('Net zero activities &amp; levers'!$C$14="On",'Net zero Activity data'!BF53*ManureNEF*NtoN2O*kgtoGg,"ERROR"))</f>
        <v>0.35314408948749232</v>
      </c>
      <c r="AN1123" s="94">
        <f>IF('Net zero activities &amp; levers'!$C$14="Off",'Activity data'!BG53*ManureNEF*NtoN2O*kgtoGg,IF('Net zero activities &amp; levers'!$C$14="On",'Net zero Activity data'!BG53*ManureNEF*NtoN2O*kgtoGg,"ERROR"))</f>
        <v>0.35567872633842856</v>
      </c>
      <c r="AO1123" s="94">
        <f>IF('Net zero activities &amp; levers'!$C$14="Off",'Activity data'!BH53*ManureNEF*NtoN2O*kgtoGg,IF('Net zero activities &amp; levers'!$C$14="On",'Net zero Activity data'!BH53*ManureNEF*NtoN2O*kgtoGg,"ERROR"))</f>
        <v>0.35753295708802146</v>
      </c>
      <c r="AP1123" s="94">
        <f>IF('Net zero activities &amp; levers'!$C$14="Off",'Activity data'!BI53*ManureNEF*NtoN2O*kgtoGg,IF('Net zero activities &amp; levers'!$C$14="On",'Net zero Activity data'!BI53*ManureNEF*NtoN2O*kgtoGg,"ERROR"))</f>
        <v>0.35928020343080169</v>
      </c>
      <c r="AQ1123" s="94">
        <f>IF('Net zero activities &amp; levers'!$C$14="Off",'Activity data'!BJ53*ManureNEF*NtoN2O*kgtoGg,IF('Net zero activities &amp; levers'!$C$14="On",'Net zero Activity data'!BJ53*ManureNEF*NtoN2O*kgtoGg,"ERROR"))</f>
        <v>0.36105415112579775</v>
      </c>
      <c r="AR1123" s="94">
        <f>IF('Net zero activities &amp; levers'!$C$14="Off",'Activity data'!BK53*ManureNEF*NtoN2O*kgtoGg,IF('Net zero activities &amp; levers'!$C$14="On",'Net zero Activity data'!BK53*ManureNEF*NtoN2O*kgtoGg,"ERROR"))</f>
        <v>0.36289326988326759</v>
      </c>
      <c r="AS1123" s="94">
        <f>IF('Net zero activities &amp; levers'!$C$14="Off",'Activity data'!BL53*ManureNEF*NtoN2O*kgtoGg,IF('Net zero activities &amp; levers'!$C$14="On",'Net zero Activity data'!BL53*ManureNEF*NtoN2O*kgtoGg,"ERROR"))</f>
        <v>0.36577537997432297</v>
      </c>
      <c r="AT1123" s="94">
        <f>IF('Net zero activities &amp; levers'!$C$14="Off",'Activity data'!BM53*ManureNEF*NtoN2O*kgtoGg,IF('Net zero activities &amp; levers'!$C$14="On",'Net zero Activity data'!BM53*ManureNEF*NtoN2O*kgtoGg,"ERROR"))</f>
        <v>0.36496360671057504</v>
      </c>
      <c r="AU1123" s="94">
        <f>IF('Net zero activities &amp; levers'!$C$14="Off",'Activity data'!BN53*ManureNEF*NtoN2O*kgtoGg,IF('Net zero activities &amp; levers'!$C$14="On",'Net zero Activity data'!BN53*ManureNEF*NtoN2O*kgtoGg,"ERROR"))</f>
        <v>0.36374650903258482</v>
      </c>
      <c r="AV1123" s="94">
        <f>IF('Net zero activities &amp; levers'!$C$14="Off",'Activity data'!BO53*ManureNEF*NtoN2O*kgtoGg,IF('Net zero activities &amp; levers'!$C$14="On",'Net zero Activity data'!BO53*ManureNEF*NtoN2O*kgtoGg,"ERROR"))</f>
        <v>0.36248592595380585</v>
      </c>
      <c r="AW1123" s="94">
        <f>IF('Net zero activities &amp; levers'!$C$14="Off",'Activity data'!BP53*ManureNEF*NtoN2O*kgtoGg,IF('Net zero activities &amp; levers'!$C$14="On",'Net zero Activity data'!BP53*ManureNEF*NtoN2O*kgtoGg,"ERROR"))</f>
        <v>0.36103102436723483</v>
      </c>
      <c r="AY1123" s="79"/>
    </row>
    <row r="1124" spans="1:51" x14ac:dyDescent="0.2">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2.6602988559851246</v>
      </c>
      <c r="L1124" s="94">
        <f>IF('Net zero activities &amp; levers'!$C$14="Off",'Activity data'!AE54*ManureNEF*NtoN2O*kgtoGg,IF('Net zero activities &amp; levers'!$C$14="On",'Net zero Activity data'!AE54*ManureNEF*NtoN2O*kgtoGg,"ERROR"))</f>
        <v>2.6372269335947092</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2.5423970387070205</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2.1085237723282266</v>
      </c>
      <c r="T1124" s="94">
        <f>IF('Net zero activities &amp; levers'!$C$14="Off",'Activity data'!AM54*ManureNEF*NtoN2O*kgtoGg,IF('Net zero activities &amp; levers'!$C$14="On",'Net zero Activity data'!AM54*ManureNEF*NtoN2O*kgtoGg,"ERROR"))</f>
        <v>2.1488556149453371</v>
      </c>
      <c r="U1124" s="94">
        <f>IF('Net zero activities &amp; levers'!$C$14="Off",'Activity data'!AN54*ManureNEF*NtoN2O*kgtoGg,IF('Net zero activities &amp; levers'!$C$14="On",'Net zero Activity data'!AN54*ManureNEF*NtoN2O*kgtoGg,"ERROR"))</f>
        <v>2.1704195095188212</v>
      </c>
      <c r="V1124" s="94">
        <f>IF('Net zero activities &amp; levers'!$C$14="Off",'Activity data'!AO54*ManureNEF*NtoN2O*kgtoGg,IF('Net zero activities &amp; levers'!$C$14="On",'Net zero Activity data'!AO54*ManureNEF*NtoN2O*kgtoGg,"ERROR"))</f>
        <v>2.1870191961387908</v>
      </c>
      <c r="W1124" s="94">
        <f>IF('Net zero activities &amp; levers'!$C$14="Off",'Activity data'!AP54*ManureNEF*NtoN2O*kgtoGg,IF('Net zero activities &amp; levers'!$C$14="On",'Net zero Activity data'!AP54*ManureNEF*NtoN2O*kgtoGg,"ERROR"))</f>
        <v>2.211036363910428</v>
      </c>
      <c r="X1124" s="94">
        <f>IF('Net zero activities &amp; levers'!$C$14="Off",'Activity data'!AQ54*ManureNEF*NtoN2O*kgtoGg,IF('Net zero activities &amp; levers'!$C$14="On",'Net zero Activity data'!AQ54*ManureNEF*NtoN2O*kgtoGg,"ERROR"))</f>
        <v>2.2305275780922154</v>
      </c>
      <c r="Y1124" s="94">
        <f>IF('Net zero activities &amp; levers'!$C$14="Off",'Activity data'!AR54*ManureNEF*NtoN2O*kgtoGg,IF('Net zero activities &amp; levers'!$C$14="On",'Net zero Activity data'!AR54*ManureNEF*NtoN2O*kgtoGg,"ERROR"))</f>
        <v>2.2430926983652055</v>
      </c>
      <c r="Z1124" s="94">
        <f>IF('Net zero activities &amp; levers'!$C$14="Off",'Activity data'!AS54*ManureNEF*NtoN2O*kgtoGg,IF('Net zero activities &amp; levers'!$C$14="On",'Net zero Activity data'!AS54*ManureNEF*NtoN2O*kgtoGg,"ERROR"))</f>
        <v>2.252873704319335</v>
      </c>
      <c r="AA1124" s="94">
        <f>IF('Net zero activities &amp; levers'!$C$14="Off",'Activity data'!AT54*ManureNEF*NtoN2O*kgtoGg,IF('Net zero activities &amp; levers'!$C$14="On",'Net zero Activity data'!AT54*ManureNEF*NtoN2O*kgtoGg,"ERROR"))</f>
        <v>2.2589357910058689</v>
      </c>
      <c r="AB1124" s="94">
        <f>IF('Net zero activities &amp; levers'!$C$14="Off",'Activity data'!AU54*ManureNEF*NtoN2O*kgtoGg,IF('Net zero activities &amp; levers'!$C$14="On",'Net zero Activity data'!AU54*ManureNEF*NtoN2O*kgtoGg,"ERROR"))</f>
        <v>2.2768819502323812</v>
      </c>
      <c r="AC1124" s="94">
        <f>IF('Net zero activities &amp; levers'!$C$14="Off",'Activity data'!AV54*ManureNEF*NtoN2O*kgtoGg,IF('Net zero activities &amp; levers'!$C$14="On",'Net zero Activity data'!AV54*ManureNEF*NtoN2O*kgtoGg,"ERROR"))</f>
        <v>2.2930291602362631</v>
      </c>
      <c r="AD1124" s="94">
        <f>IF('Net zero activities &amp; levers'!$C$14="Off",'Activity data'!AW54*ManureNEF*NtoN2O*kgtoGg,IF('Net zero activities &amp; levers'!$C$14="On",'Net zero Activity data'!AW54*ManureNEF*NtoN2O*kgtoGg,"ERROR"))</f>
        <v>2.2938619728285596</v>
      </c>
      <c r="AE1124" s="94">
        <f>IF('Net zero activities &amp; levers'!$C$14="Off",'Activity data'!AX54*ManureNEF*NtoN2O*kgtoGg,IF('Net zero activities &amp; levers'!$C$14="On",'Net zero Activity data'!AX54*ManureNEF*NtoN2O*kgtoGg,"ERROR"))</f>
        <v>2.3046791168231131</v>
      </c>
      <c r="AF1124" s="94">
        <f>IF('Net zero activities &amp; levers'!$C$14="Off",'Activity data'!AY54*ManureNEF*NtoN2O*kgtoGg,IF('Net zero activities &amp; levers'!$C$14="On",'Net zero Activity data'!AY54*ManureNEF*NtoN2O*kgtoGg,"ERROR"))</f>
        <v>2.3189833691414923</v>
      </c>
      <c r="AG1124" s="94">
        <f>IF('Net zero activities &amp; levers'!$C$14="Off",'Activity data'!AZ54*ManureNEF*NtoN2O*kgtoGg,IF('Net zero activities &amp; levers'!$C$14="On",'Net zero Activity data'!AZ54*ManureNEF*NtoN2O*kgtoGg,"ERROR"))</f>
        <v>2.3429987728619159</v>
      </c>
      <c r="AH1124" s="94">
        <f>IF('Net zero activities &amp; levers'!$C$14="Off",'Activity data'!BA54*ManureNEF*NtoN2O*kgtoGg,IF('Net zero activities &amp; levers'!$C$14="On",'Net zero Activity data'!BA54*ManureNEF*NtoN2O*kgtoGg,"ERROR"))</f>
        <v>2.346834416236983</v>
      </c>
      <c r="AI1124" s="94">
        <f>IF('Net zero activities &amp; levers'!$C$14="Off",'Activity data'!BB54*ManureNEF*NtoN2O*kgtoGg,IF('Net zero activities &amp; levers'!$C$14="On",'Net zero Activity data'!BB54*ManureNEF*NtoN2O*kgtoGg,"ERROR"))</f>
        <v>2.3464317847637033</v>
      </c>
      <c r="AJ1124" s="94">
        <f>IF('Net zero activities &amp; levers'!$C$14="Off",'Activity data'!BC54*ManureNEF*NtoN2O*kgtoGg,IF('Net zero activities &amp; levers'!$C$14="On",'Net zero Activity data'!BC54*ManureNEF*NtoN2O*kgtoGg,"ERROR"))</f>
        <v>2.3499552969033255</v>
      </c>
      <c r="AK1124" s="94">
        <f>IF('Net zero activities &amp; levers'!$C$14="Off",'Activity data'!BD54*ManureNEF*NtoN2O*kgtoGg,IF('Net zero activities &amp; levers'!$C$14="On",'Net zero Activity data'!BD54*ManureNEF*NtoN2O*kgtoGg,"ERROR"))</f>
        <v>2.3493049551651861</v>
      </c>
      <c r="AL1124" s="94">
        <f>IF('Net zero activities &amp; levers'!$C$14="Off",'Activity data'!BE54*ManureNEF*NtoN2O*kgtoGg,IF('Net zero activities &amp; levers'!$C$14="On",'Net zero Activity data'!BE54*ManureNEF*NtoN2O*kgtoGg,"ERROR"))</f>
        <v>2.3498025458509408</v>
      </c>
      <c r="AM1124" s="94">
        <f>IF('Net zero activities &amp; levers'!$C$14="Off",'Activity data'!BF54*ManureNEF*NtoN2O*kgtoGg,IF('Net zero activities &amp; levers'!$C$14="On",'Net zero Activity data'!BF54*ManureNEF*NtoN2O*kgtoGg,"ERROR"))</f>
        <v>2.3486732763039284</v>
      </c>
      <c r="AN1124" s="94">
        <f>IF('Net zero activities &amp; levers'!$C$14="Off",'Activity data'!BG54*ManureNEF*NtoN2O*kgtoGg,IF('Net zero activities &amp; levers'!$C$14="On",'Net zero Activity data'!BG54*ManureNEF*NtoN2O*kgtoGg,"ERROR"))</f>
        <v>2.3655305139418807</v>
      </c>
      <c r="AO1124" s="94">
        <f>IF('Net zero activities &amp; levers'!$C$14="Off",'Activity data'!BH54*ManureNEF*NtoN2O*kgtoGg,IF('Net zero activities &amp; levers'!$C$14="On",'Net zero Activity data'!BH54*ManureNEF*NtoN2O*kgtoGg,"ERROR"))</f>
        <v>2.3778625402713889</v>
      </c>
      <c r="AP1124" s="94">
        <f>IF('Net zero activities &amp; levers'!$C$14="Off",'Activity data'!BI54*ManureNEF*NtoN2O*kgtoGg,IF('Net zero activities &amp; levers'!$C$14="On",'Net zero Activity data'!BI54*ManureNEF*NtoN2O*kgtoGg,"ERROR"))</f>
        <v>2.3894830399896865</v>
      </c>
      <c r="AQ1124" s="94">
        <f>IF('Net zero activities &amp; levers'!$C$14="Off",'Activity data'!BJ54*ManureNEF*NtoN2O*kgtoGg,IF('Net zero activities &amp; levers'!$C$14="On",'Net zero Activity data'!BJ54*ManureNEF*NtoN2O*kgtoGg,"ERROR"))</f>
        <v>2.4012811237431047</v>
      </c>
      <c r="AR1124" s="94">
        <f>IF('Net zero activities &amp; levers'!$C$14="Off",'Activity data'!BK54*ManureNEF*NtoN2O*kgtoGg,IF('Net zero activities &amp; levers'!$C$14="On",'Net zero Activity data'!BK54*ManureNEF*NtoN2O*kgtoGg,"ERROR"))</f>
        <v>2.413512643981452</v>
      </c>
      <c r="AS1124" s="94">
        <f>IF('Net zero activities &amp; levers'!$C$14="Off",'Activity data'!BL54*ManureNEF*NtoN2O*kgtoGg,IF('Net zero activities &amp; levers'!$C$14="On",'Net zero Activity data'!BL54*ManureNEF*NtoN2O*kgtoGg,"ERROR"))</f>
        <v>2.4326808394906876</v>
      </c>
      <c r="AT1124" s="94">
        <f>IF('Net zero activities &amp; levers'!$C$14="Off",'Activity data'!BM54*ManureNEF*NtoN2O*kgtoGg,IF('Net zero activities &amp; levers'!$C$14="On",'Net zero Activity data'!BM54*ManureNEF*NtoN2O*kgtoGg,"ERROR"))</f>
        <v>2.4272819379438721</v>
      </c>
      <c r="AU1124" s="94">
        <f>IF('Net zero activities &amp; levers'!$C$14="Off",'Activity data'!BN54*ManureNEF*NtoN2O*kgtoGg,IF('Net zero activities &amp; levers'!$C$14="On",'Net zero Activity data'!BN54*ManureNEF*NtoN2O*kgtoGg,"ERROR"))</f>
        <v>2.4191873247929188</v>
      </c>
      <c r="AV1124" s="94">
        <f>IF('Net zero activities &amp; levers'!$C$14="Off",'Activity data'!BO54*ManureNEF*NtoN2O*kgtoGg,IF('Net zero activities &amp; levers'!$C$14="On",'Net zero Activity data'!BO54*ManureNEF*NtoN2O*kgtoGg,"ERROR"))</f>
        <v>2.4108035010851898</v>
      </c>
      <c r="AW1124" s="94">
        <f>IF('Net zero activities &amp; levers'!$C$14="Off",'Activity data'!BP54*ManureNEF*NtoN2O*kgtoGg,IF('Net zero activities &amp; levers'!$C$14="On",'Net zero Activity data'!BP54*ManureNEF*NtoN2O*kgtoGg,"ERROR"))</f>
        <v>2.4011273134389794</v>
      </c>
      <c r="AY1124" s="79"/>
    </row>
    <row r="1125" spans="1:51" x14ac:dyDescent="0.2">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0.35516571939691516</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0.38707850955818868</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0.37652794837094722</v>
      </c>
      <c r="T1125" s="94">
        <f>IF('Net zero activities &amp; levers'!$C$14="Off",'Activity data'!AM55*ManureNEF*NtoN2O*kgtoGg,IF('Net zero activities &amp; levers'!$C$14="On",'Net zero Activity data'!AM55*ManureNEF*NtoN2O*kgtoGg,"ERROR"))</f>
        <v>0.39297526852441034</v>
      </c>
      <c r="U1125" s="94">
        <f>IF('Net zero activities &amp; levers'!$C$14="Off",'Activity data'!AN55*ManureNEF*NtoN2O*kgtoGg,IF('Net zero activities &amp; levers'!$C$14="On",'Net zero Activity data'!AN55*ManureNEF*NtoN2O*kgtoGg,"ERROR"))</f>
        <v>0.40635032563114942</v>
      </c>
      <c r="V1125" s="94">
        <f>IF('Net zero activities &amp; levers'!$C$14="Off",'Activity data'!AO55*ManureNEF*NtoN2O*kgtoGg,IF('Net zero activities &amp; levers'!$C$14="On",'Net zero Activity data'!AO55*ManureNEF*NtoN2O*kgtoGg,"ERROR"))</f>
        <v>0.41906397887076929</v>
      </c>
      <c r="W1125" s="94">
        <f>IF('Net zero activities &amp; levers'!$C$14="Off",'Activity data'!AP55*ManureNEF*NtoN2O*kgtoGg,IF('Net zero activities &amp; levers'!$C$14="On",'Net zero Activity data'!AP55*ManureNEF*NtoN2O*kgtoGg,"ERROR"))</f>
        <v>0.4334881601814114</v>
      </c>
      <c r="X1125" s="94">
        <f>IF('Net zero activities &amp; levers'!$C$14="Off",'Activity data'!AQ55*ManureNEF*NtoN2O*kgtoGg,IF('Net zero activities &amp; levers'!$C$14="On",'Net zero Activity data'!AQ55*ManureNEF*NtoN2O*kgtoGg,"ERROR"))</f>
        <v>0.44733744019305588</v>
      </c>
      <c r="Y1125" s="94">
        <f>IF('Net zero activities &amp; levers'!$C$14="Off",'Activity data'!AR55*ManureNEF*NtoN2O*kgtoGg,IF('Net zero activities &amp; levers'!$C$14="On",'Net zero Activity data'!AR55*ManureNEF*NtoN2O*kgtoGg,"ERROR"))</f>
        <v>0.46006881076150558</v>
      </c>
      <c r="Z1125" s="94">
        <f>IF('Net zero activities &amp; levers'!$C$14="Off",'Activity data'!AS55*ManureNEF*NtoN2O*kgtoGg,IF('Net zero activities &amp; levers'!$C$14="On",'Net zero Activity data'!AS55*ManureNEF*NtoN2O*kgtoGg,"ERROR"))</f>
        <v>0.47246549989332448</v>
      </c>
      <c r="AA1125" s="94">
        <f>IF('Net zero activities &amp; levers'!$C$14="Off",'Activity data'!AT55*ManureNEF*NtoN2O*kgtoGg,IF('Net zero activities &amp; levers'!$C$14="On",'Net zero Activity data'!AT55*ManureNEF*NtoN2O*kgtoGg,"ERROR"))</f>
        <v>0.4842972828341911</v>
      </c>
      <c r="AB1125" s="94">
        <f>IF('Net zero activities &amp; levers'!$C$14="Off",'Activity data'!AU55*ManureNEF*NtoN2O*kgtoGg,IF('Net zero activities &amp; levers'!$C$14="On",'Net zero Activity data'!AU55*ManureNEF*NtoN2O*kgtoGg,"ERROR"))</f>
        <v>0.49893915197034427</v>
      </c>
      <c r="AC1125" s="94">
        <f>IF('Net zero activities &amp; levers'!$C$14="Off",'Activity data'!AV55*ManureNEF*NtoN2O*kgtoGg,IF('Net zero activities &amp; levers'!$C$14="On",'Net zero Activity data'!AV55*ManureNEF*NtoN2O*kgtoGg,"ERROR"))</f>
        <v>0.51350643977275245</v>
      </c>
      <c r="AD1125" s="94">
        <f>IF('Net zero activities &amp; levers'!$C$14="Off",'Activity data'!AW55*ManureNEF*NtoN2O*kgtoGg,IF('Net zero activities &amp; levers'!$C$14="On",'Net zero Activity data'!AW55*ManureNEF*NtoN2O*kgtoGg,"ERROR"))</f>
        <v>0.53072839151044782</v>
      </c>
      <c r="AE1125" s="94">
        <f>IF('Net zero activities &amp; levers'!$C$14="Off",'Activity data'!AX55*ManureNEF*NtoN2O*kgtoGg,IF('Net zero activities &amp; levers'!$C$14="On",'Net zero Activity data'!AX55*ManureNEF*NtoN2O*kgtoGg,"ERROR"))</f>
        <v>0.55094843194330412</v>
      </c>
      <c r="AF1125" s="94">
        <f>IF('Net zero activities &amp; levers'!$C$14="Off",'Activity data'!AY55*ManureNEF*NtoN2O*kgtoGg,IF('Net zero activities &amp; levers'!$C$14="On",'Net zero Activity data'!AY55*ManureNEF*NtoN2O*kgtoGg,"ERROR"))</f>
        <v>0.57283458620168215</v>
      </c>
      <c r="AG1125" s="94">
        <f>IF('Net zero activities &amp; levers'!$C$14="Off",'Activity data'!AZ55*ManureNEF*NtoN2O*kgtoGg,IF('Net zero activities &amp; levers'!$C$14="On",'Net zero Activity data'!AZ55*ManureNEF*NtoN2O*kgtoGg,"ERROR"))</f>
        <v>0.59810752351139296</v>
      </c>
      <c r="AH1125" s="94">
        <f>IF('Net zero activities &amp; levers'!$C$14="Off",'Activity data'!BA55*ManureNEF*NtoN2O*kgtoGg,IF('Net zero activities &amp; levers'!$C$14="On",'Net zero Activity data'!BA55*ManureNEF*NtoN2O*kgtoGg,"ERROR"))</f>
        <v>0.61918227343437504</v>
      </c>
      <c r="AI1125" s="94">
        <f>IF('Net zero activities &amp; levers'!$C$14="Off",'Activity data'!BB55*ManureNEF*NtoN2O*kgtoGg,IF('Net zero activities &amp; levers'!$C$14="On",'Net zero Activity data'!BB55*ManureNEF*NtoN2O*kgtoGg,"ERROR"))</f>
        <v>0.63993352160681027</v>
      </c>
      <c r="AJ1125" s="94">
        <f>IF('Net zero activities &amp; levers'!$C$14="Off",'Activity data'!BC55*ManureNEF*NtoN2O*kgtoGg,IF('Net zero activities &amp; levers'!$C$14="On",'Net zero Activity data'!BC55*ManureNEF*NtoN2O*kgtoGg,"ERROR"))</f>
        <v>0.66259501614961847</v>
      </c>
      <c r="AK1125" s="94">
        <f>IF('Net zero activities &amp; levers'!$C$14="Off",'Activity data'!BD55*ManureNEF*NtoN2O*kgtoGg,IF('Net zero activities &amp; levers'!$C$14="On",'Net zero Activity data'!BD55*ManureNEF*NtoN2O*kgtoGg,"ERROR"))</f>
        <v>0.68496632766069843</v>
      </c>
      <c r="AL1125" s="94">
        <f>IF('Net zero activities &amp; levers'!$C$14="Off",'Activity data'!BE55*ManureNEF*NtoN2O*kgtoGg,IF('Net zero activities &amp; levers'!$C$14="On",'Net zero Activity data'!BE55*ManureNEF*NtoN2O*kgtoGg,"ERROR"))</f>
        <v>0.70858354272657831</v>
      </c>
      <c r="AM1125" s="94">
        <f>IF('Net zero activities &amp; levers'!$C$14="Off",'Activity data'!BF55*ManureNEF*NtoN2O*kgtoGg,IF('Net zero activities &amp; levers'!$C$14="On",'Net zero Activity data'!BF55*ManureNEF*NtoN2O*kgtoGg,"ERROR"))</f>
        <v>0.73267251576118442</v>
      </c>
      <c r="AN1125" s="94">
        <f>IF('Net zero activities &amp; levers'!$C$14="Off",'Activity data'!BG55*ManureNEF*NtoN2O*kgtoGg,IF('Net zero activities &amp; levers'!$C$14="On",'Net zero Activity data'!BG55*ManureNEF*NtoN2O*kgtoGg,"ERROR"))</f>
        <v>0.75875206021259933</v>
      </c>
      <c r="AO1125" s="94">
        <f>IF('Net zero activities &amp; levers'!$C$14="Off",'Activity data'!BH55*ManureNEF*NtoN2O*kgtoGg,IF('Net zero activities &amp; levers'!$C$14="On",'Net zero Activity data'!BH55*ManureNEF*NtoN2O*kgtoGg,"ERROR"))</f>
        <v>0.78430196742523084</v>
      </c>
      <c r="AP1125" s="94">
        <f>IF('Net zero activities &amp; levers'!$C$14="Off",'Activity data'!BI55*ManureNEF*NtoN2O*kgtoGg,IF('Net zero activities &amp; levers'!$C$14="On",'Net zero Activity data'!BI55*ManureNEF*NtoN2O*kgtoGg,"ERROR"))</f>
        <v>0.81053600981631879</v>
      </c>
      <c r="AQ1125" s="94">
        <f>IF('Net zero activities &amp; levers'!$C$14="Off",'Activity data'!BJ55*ManureNEF*NtoN2O*kgtoGg,IF('Net zero activities &amp; levers'!$C$14="On",'Net zero Activity data'!BJ55*ManureNEF*NtoN2O*kgtoGg,"ERROR"))</f>
        <v>0.83778993006127533</v>
      </c>
      <c r="AR1125" s="94">
        <f>IF('Net zero activities &amp; levers'!$C$14="Off",'Activity data'!BK55*ManureNEF*NtoN2O*kgtoGg,IF('Net zero activities &amp; levers'!$C$14="On",'Net zero Activity data'!BK55*ManureNEF*NtoN2O*kgtoGg,"ERROR"))</f>
        <v>0.86620935276117805</v>
      </c>
      <c r="AS1125" s="94">
        <f>IF('Net zero activities &amp; levers'!$C$14="Off",'Activity data'!BL55*ManureNEF*NtoN2O*kgtoGg,IF('Net zero activities &amp; levers'!$C$14="On",'Net zero Activity data'!BL55*ManureNEF*NtoN2O*kgtoGg,"ERROR"))</f>
        <v>0.89826083748814867</v>
      </c>
      <c r="AT1125" s="94">
        <f>IF('Net zero activities &amp; levers'!$C$14="Off",'Activity data'!BM55*ManureNEF*NtoN2O*kgtoGg,IF('Net zero activities &amp; levers'!$C$14="On",'Net zero Activity data'!BM55*ManureNEF*NtoN2O*kgtoGg,"ERROR"))</f>
        <v>0.9222529178926514</v>
      </c>
      <c r="AU1125" s="94">
        <f>IF('Net zero activities &amp; levers'!$C$14="Off",'Activity data'!BN55*ManureNEF*NtoN2O*kgtoGg,IF('Net zero activities &amp; levers'!$C$14="On",'Net zero Activity data'!BN55*ManureNEF*NtoN2O*kgtoGg,"ERROR"))</f>
        <v>0.94598858331962243</v>
      </c>
      <c r="AV1125" s="94">
        <f>IF('Net zero activities &amp; levers'!$C$14="Off",'Activity data'!BO55*ManureNEF*NtoN2O*kgtoGg,IF('Net zero activities &amp; levers'!$C$14="On",'Net zero Activity data'!BO55*ManureNEF*NtoN2O*kgtoGg,"ERROR"))</f>
        <v>0.9703863283837505</v>
      </c>
      <c r="AW1125" s="94">
        <f>IF('Net zero activities &amp; levers'!$C$14="Off",'Activity data'!BP55*ManureNEF*NtoN2O*kgtoGg,IF('Net zero activities &amp; levers'!$C$14="On",'Net zero Activity data'!BP55*ManureNEF*NtoN2O*kgtoGg,"ERROR"))</f>
        <v>0.99506234412260963</v>
      </c>
      <c r="AY1125" s="79"/>
    </row>
    <row r="1126" spans="1:51" x14ac:dyDescent="0.2">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5.9536061137450337E-2</v>
      </c>
      <c r="T1126" s="94">
        <f>IF('Net zero activities &amp; levers'!$C$14="Off",'Activity data'!AM56*ManureNEF*NtoN2O*kgtoGg,IF('Net zero activities &amp; levers'!$C$14="On",'Net zero Activity data'!AM56*ManureNEF*NtoN2O*kgtoGg,"ERROR"))</f>
        <v>5.9626729725854671E-2</v>
      </c>
      <c r="U1126" s="94">
        <f>IF('Net zero activities &amp; levers'!$C$14="Off",'Activity data'!AN56*ManureNEF*NtoN2O*kgtoGg,IF('Net zero activities &amp; levers'!$C$14="On",'Net zero Activity data'!AN56*ManureNEF*NtoN2O*kgtoGg,"ERROR"))</f>
        <v>5.9729206929355502E-2</v>
      </c>
      <c r="V1126" s="94">
        <f>IF('Net zero activities &amp; levers'!$C$14="Off",'Activity data'!AO56*ManureNEF*NtoN2O*kgtoGg,IF('Net zero activities &amp; levers'!$C$14="On",'Net zero Activity data'!AO56*ManureNEF*NtoN2O*kgtoGg,"ERROR"))</f>
        <v>5.9844810274995809E-2</v>
      </c>
      <c r="W1126" s="94">
        <f>IF('Net zero activities &amp; levers'!$C$14="Off",'Activity data'!AP56*ManureNEF*NtoN2O*kgtoGg,IF('Net zero activities &amp; levers'!$C$14="On",'Net zero Activity data'!AP56*ManureNEF*NtoN2O*kgtoGg,"ERROR"))</f>
        <v>5.9974855541164628E-2</v>
      </c>
      <c r="X1126" s="94">
        <f>IF('Net zero activities &amp; levers'!$C$14="Off",'Activity data'!AQ56*ManureNEF*NtoN2O*kgtoGg,IF('Net zero activities &amp; levers'!$C$14="On",'Net zero Activity data'!AQ56*ManureNEF*NtoN2O*kgtoGg,"ERROR"))</f>
        <v>6.0116631008549089E-2</v>
      </c>
      <c r="Y1126" s="94">
        <f>IF('Net zero activities &amp; levers'!$C$14="Off",'Activity data'!AR56*ManureNEF*NtoN2O*kgtoGg,IF('Net zero activities &amp; levers'!$C$14="On",'Net zero Activity data'!AR56*ManureNEF*NtoN2O*kgtoGg,"ERROR"))</f>
        <v>6.0202857685321479E-2</v>
      </c>
      <c r="Z1126" s="94">
        <f>IF('Net zero activities &amp; levers'!$C$14="Off",'Activity data'!AS56*ManureNEF*NtoN2O*kgtoGg,IF('Net zero activities &amp; levers'!$C$14="On",'Net zero Activity data'!AS56*ManureNEF*NtoN2O*kgtoGg,"ERROR"))</f>
        <v>6.0299167924469661E-2</v>
      </c>
      <c r="AA1126" s="94">
        <f>IF('Net zero activities &amp; levers'!$C$14="Off",'Activity data'!AT56*ManureNEF*NtoN2O*kgtoGg,IF('Net zero activities &amp; levers'!$C$14="On",'Net zero Activity data'!AT56*ManureNEF*NtoN2O*kgtoGg,"ERROR"))</f>
        <v>6.0404855231945616E-2</v>
      </c>
      <c r="AB1126" s="94">
        <f>IF('Net zero activities &amp; levers'!$C$14="Off",'Activity data'!AU56*ManureNEF*NtoN2O*kgtoGg,IF('Net zero activities &amp; levers'!$C$14="On",'Net zero Activity data'!AU56*ManureNEF*NtoN2O*kgtoGg,"ERROR"))</f>
        <v>6.052231244286084E-2</v>
      </c>
      <c r="AC1126" s="94">
        <f>IF('Net zero activities &amp; levers'!$C$14="Off",'Activity data'!AV56*ManureNEF*NtoN2O*kgtoGg,IF('Net zero activities &amp; levers'!$C$14="On",'Net zero Activity data'!AV56*ManureNEF*NtoN2O*kgtoGg,"ERROR"))</f>
        <v>6.064865362872638E-2</v>
      </c>
      <c r="AD1126" s="94">
        <f>IF('Net zero activities &amp; levers'!$C$14="Off",'Activity data'!AW56*ManureNEF*NtoN2O*kgtoGg,IF('Net zero activities &amp; levers'!$C$14="On",'Net zero Activity data'!AW56*ManureNEF*NtoN2O*kgtoGg,"ERROR"))</f>
        <v>6.0731208862415634E-2</v>
      </c>
      <c r="AE1126" s="94">
        <f>IF('Net zero activities &amp; levers'!$C$14="Off",'Activity data'!AX56*ManureNEF*NtoN2O*kgtoGg,IF('Net zero activities &amp; levers'!$C$14="On",'Net zero Activity data'!AX56*ManureNEF*NtoN2O*kgtoGg,"ERROR"))</f>
        <v>6.0823877481192126E-2</v>
      </c>
      <c r="AF1126" s="94">
        <f>IF('Net zero activities &amp; levers'!$C$14="Off",'Activity data'!AY56*ManureNEF*NtoN2O*kgtoGg,IF('Net zero activities &amp; levers'!$C$14="On",'Net zero Activity data'!AY56*ManureNEF*NtoN2O*kgtoGg,"ERROR"))</f>
        <v>6.0925179087084252E-2</v>
      </c>
      <c r="AG1126" s="94">
        <f>IF('Net zero activities &amp; levers'!$C$14="Off",'Activity data'!AZ56*ManureNEF*NtoN2O*kgtoGg,IF('Net zero activities &amp; levers'!$C$14="On",'Net zero Activity data'!AZ56*ManureNEF*NtoN2O*kgtoGg,"ERROR"))</f>
        <v>6.1036165719670403E-2</v>
      </c>
      <c r="AH1126" s="94">
        <f>IF('Net zero activities &amp; levers'!$C$14="Off",'Activity data'!BA56*ManureNEF*NtoN2O*kgtoGg,IF('Net zero activities &amp; levers'!$C$14="On",'Net zero Activity data'!BA56*ManureNEF*NtoN2O*kgtoGg,"ERROR"))</f>
        <v>6.1150437256879263E-2</v>
      </c>
      <c r="AI1126" s="94">
        <f>IF('Net zero activities &amp; levers'!$C$14="Off",'Activity data'!BB56*ManureNEF*NtoN2O*kgtoGg,IF('Net zero activities &amp; levers'!$C$14="On",'Net zero Activity data'!BB56*ManureNEF*NtoN2O*kgtoGg,"ERROR"))</f>
        <v>6.1220471443741167E-2</v>
      </c>
      <c r="AJ1126" s="94">
        <f>IF('Net zero activities &amp; levers'!$C$14="Off",'Activity data'!BC56*ManureNEF*NtoN2O*kgtoGg,IF('Net zero activities &amp; levers'!$C$14="On",'Net zero Activity data'!BC56*ManureNEF*NtoN2O*kgtoGg,"ERROR"))</f>
        <v>6.1297838147090833E-2</v>
      </c>
      <c r="AK1126" s="94">
        <f>IF('Net zero activities &amp; levers'!$C$14="Off",'Activity data'!BD56*ManureNEF*NtoN2O*kgtoGg,IF('Net zero activities &amp; levers'!$C$14="On",'Net zero Activity data'!BD56*ManureNEF*NtoN2O*kgtoGg,"ERROR"))</f>
        <v>6.1380565224491167E-2</v>
      </c>
      <c r="AL1126" s="94">
        <f>IF('Net zero activities &amp; levers'!$C$14="Off",'Activity data'!BE56*ManureNEF*NtoN2O*kgtoGg,IF('Net zero activities &amp; levers'!$C$14="On",'Net zero Activity data'!BE56*ManureNEF*NtoN2O*kgtoGg,"ERROR"))</f>
        <v>6.1469636895764942E-2</v>
      </c>
      <c r="AM1126" s="94">
        <f>IF('Net zero activities &amp; levers'!$C$14="Off",'Activity data'!BF56*ManureNEF*NtoN2O*kgtoGg,IF('Net zero activities &amp; levers'!$C$14="On",'Net zero Activity data'!BF56*ManureNEF*NtoN2O*kgtoGg,"ERROR"))</f>
        <v>6.1564248264751806E-2</v>
      </c>
      <c r="AN1126" s="94">
        <f>IF('Net zero activities &amp; levers'!$C$14="Off",'Activity data'!BG56*ManureNEF*NtoN2O*kgtoGg,IF('Net zero activities &amp; levers'!$C$14="On",'Net zero Activity data'!BG56*ManureNEF*NtoN2O*kgtoGg,"ERROR"))</f>
        <v>6.1619115142281453E-2</v>
      </c>
      <c r="AO1126" s="94">
        <f>IF('Net zero activities &amp; levers'!$C$14="Off",'Activity data'!BH56*ManureNEF*NtoN2O*kgtoGg,IF('Net zero activities &amp; levers'!$C$14="On",'Net zero Activity data'!BH56*ManureNEF*NtoN2O*kgtoGg,"ERROR"))</f>
        <v>6.1678131563041472E-2</v>
      </c>
      <c r="AP1126" s="94">
        <f>IF('Net zero activities &amp; levers'!$C$14="Off",'Activity data'!BI56*ManureNEF*NtoN2O*kgtoGg,IF('Net zero activities &amp; levers'!$C$14="On",'Net zero Activity data'!BI56*ManureNEF*NtoN2O*kgtoGg,"ERROR"))</f>
        <v>6.1742051762293963E-2</v>
      </c>
      <c r="AQ1126" s="94">
        <f>IF('Net zero activities &amp; levers'!$C$14="Off",'Activity data'!BJ56*ManureNEF*NtoN2O*kgtoGg,IF('Net zero activities &amp; levers'!$C$14="On",'Net zero Activity data'!BJ56*ManureNEF*NtoN2O*kgtoGg,"ERROR"))</f>
        <v>6.1810963980968171E-2</v>
      </c>
      <c r="AR1126" s="94">
        <f>IF('Net zero activities &amp; levers'!$C$14="Off",'Activity data'!BK56*ManureNEF*NtoN2O*kgtoGg,IF('Net zero activities &amp; levers'!$C$14="On",'Net zero Activity data'!BK56*ManureNEF*NtoN2O*kgtoGg,"ERROR"))</f>
        <v>6.1884820045811577E-2</v>
      </c>
      <c r="AS1126" s="94">
        <f>IF('Net zero activities &amp; levers'!$C$14="Off",'Activity data'!BL56*ManureNEF*NtoN2O*kgtoGg,IF('Net zero activities &amp; levers'!$C$14="On",'Net zero Activity data'!BL56*ManureNEF*NtoN2O*kgtoGg,"ERROR"))</f>
        <v>6.1917844796297146E-2</v>
      </c>
      <c r="AT1126" s="94">
        <f>IF('Net zero activities &amp; levers'!$C$14="Off",'Activity data'!BM56*ManureNEF*NtoN2O*kgtoGg,IF('Net zero activities &amp; levers'!$C$14="On",'Net zero Activity data'!BM56*ManureNEF*NtoN2O*kgtoGg,"ERROR"))</f>
        <v>6.1948582957053369E-2</v>
      </c>
      <c r="AU1126" s="94">
        <f>IF('Net zero activities &amp; levers'!$C$14="Off",'Activity data'!BN56*ManureNEF*NtoN2O*kgtoGg,IF('Net zero activities &amp; levers'!$C$14="On",'Net zero Activity data'!BN56*ManureNEF*NtoN2O*kgtoGg,"ERROR"))</f>
        <v>6.1982659332367518E-2</v>
      </c>
      <c r="AV1126" s="94">
        <f>IF('Net zero activities &amp; levers'!$C$14="Off",'Activity data'!BO56*ManureNEF*NtoN2O*kgtoGg,IF('Net zero activities &amp; levers'!$C$14="On",'Net zero Activity data'!BO56*ManureNEF*NtoN2O*kgtoGg,"ERROR"))</f>
        <v>6.2020620133408491E-2</v>
      </c>
      <c r="AW1126" s="94">
        <f>IF('Net zero activities &amp; levers'!$C$14="Off",'Activity data'!BP56*ManureNEF*NtoN2O*kgtoGg,IF('Net zero activities &amp; levers'!$C$14="On",'Net zero Activity data'!BP56*ManureNEF*NtoN2O*kgtoGg,"ERROR"))</f>
        <v>6.2062074580344864E-2</v>
      </c>
      <c r="AY1126" s="79"/>
    </row>
    <row r="1127" spans="1:51" x14ac:dyDescent="0.2">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4.8454260958953527E-2</v>
      </c>
      <c r="T1127" s="94">
        <f>IF('Net zero activities &amp; levers'!$C$14="Off",'Activity data'!AM57*ManureNEF*NtoN2O*kgtoGg,IF('Net zero activities &amp; levers'!$C$14="On",'Net zero Activity data'!AM57*ManureNEF*NtoN2O*kgtoGg,"ERROR"))</f>
        <v>4.8528052865226608E-2</v>
      </c>
      <c r="U1127" s="94">
        <f>IF('Net zero activities &amp; levers'!$C$14="Off",'Activity data'!AN57*ManureNEF*NtoN2O*kgtoGg,IF('Net zero activities &amp; levers'!$C$14="On",'Net zero Activity data'!AN57*ManureNEF*NtoN2O*kgtoGg,"ERROR"))</f>
        <v>4.8611455379029278E-2</v>
      </c>
      <c r="V1127" s="94">
        <f>IF('Net zero activities &amp; levers'!$C$14="Off",'Activity data'!AO57*ManureNEF*NtoN2O*kgtoGg,IF('Net zero activities &amp; levers'!$C$14="On",'Net zero Activity data'!AO57*ManureNEF*NtoN2O*kgtoGg,"ERROR"))</f>
        <v>4.8705540788281515E-2</v>
      </c>
      <c r="W1127" s="94">
        <f>IF('Net zero activities &amp; levers'!$C$14="Off",'Activity data'!AP57*ManureNEF*NtoN2O*kgtoGg,IF('Net zero activities &amp; levers'!$C$14="On",'Net zero Activity data'!AP57*ManureNEF*NtoN2O*kgtoGg,"ERROR"))</f>
        <v>4.8811379957736697E-2</v>
      </c>
      <c r="X1127" s="94">
        <f>IF('Net zero activities &amp; levers'!$C$14="Off",'Activity data'!AQ57*ManureNEF*NtoN2O*kgtoGg,IF('Net zero activities &amp; levers'!$C$14="On",'Net zero Activity data'!AQ57*ManureNEF*NtoN2O*kgtoGg,"ERROR"))</f>
        <v>4.8926765916481318E-2</v>
      </c>
      <c r="Y1127" s="94">
        <f>IF('Net zero activities &amp; levers'!$C$14="Off",'Activity data'!AR57*ManureNEF*NtoN2O*kgtoGg,IF('Net zero activities &amp; levers'!$C$14="On",'Net zero Activity data'!AR57*ManureNEF*NtoN2O*kgtoGg,"ERROR"))</f>
        <v>4.8996942710480308E-2</v>
      </c>
      <c r="Z1127" s="94">
        <f>IF('Net zero activities &amp; levers'!$C$14="Off",'Activity data'!AS57*ManureNEF*NtoN2O*kgtoGg,IF('Net zero activities &amp; levers'!$C$14="On",'Net zero Activity data'!AS57*ManureNEF*NtoN2O*kgtoGg,"ERROR"))</f>
        <v>4.9075326153582635E-2</v>
      </c>
      <c r="AA1127" s="94">
        <f>IF('Net zero activities &amp; levers'!$C$14="Off",'Activity data'!AT57*ManureNEF*NtoN2O*kgtoGg,IF('Net zero activities &amp; levers'!$C$14="On",'Net zero Activity data'!AT57*ManureNEF*NtoN2O*kgtoGg,"ERROR"))</f>
        <v>4.9161341255667866E-2</v>
      </c>
      <c r="AB1127" s="94">
        <f>IF('Net zero activities &amp; levers'!$C$14="Off",'Activity data'!AU57*ManureNEF*NtoN2O*kgtoGg,IF('Net zero activities &amp; levers'!$C$14="On",'Net zero Activity data'!AU57*ManureNEF*NtoN2O*kgtoGg,"ERROR"))</f>
        <v>4.9256935459255795E-2</v>
      </c>
      <c r="AC1127" s="94">
        <f>IF('Net zero activities &amp; levers'!$C$14="Off",'Activity data'!AV57*ManureNEF*NtoN2O*kgtoGg,IF('Net zero activities &amp; levers'!$C$14="On",'Net zero Activity data'!AV57*ManureNEF*NtoN2O*kgtoGg,"ERROR"))</f>
        <v>4.9359760010844099E-2</v>
      </c>
      <c r="AD1127" s="94">
        <f>IF('Net zero activities &amp; levers'!$C$14="Off",'Activity data'!AW57*ManureNEF*NtoN2O*kgtoGg,IF('Net zero activities &amp; levers'!$C$14="On",'Net zero Activity data'!AW57*ManureNEF*NtoN2O*kgtoGg,"ERROR"))</f>
        <v>4.9426948749236969E-2</v>
      </c>
      <c r="AE1127" s="94">
        <f>IF('Net zero activities &amp; levers'!$C$14="Off",'Activity data'!AX57*ManureNEF*NtoN2O*kgtoGg,IF('Net zero activities &amp; levers'!$C$14="On",'Net zero Activity data'!AX57*ManureNEF*NtoN2O*kgtoGg,"ERROR"))</f>
        <v>4.9502368408366512E-2</v>
      </c>
      <c r="AF1127" s="94">
        <f>IF('Net zero activities &amp; levers'!$C$14="Off",'Activity data'!AY57*ManureNEF*NtoN2O*kgtoGg,IF('Net zero activities &amp; levers'!$C$14="On",'Net zero Activity data'!AY57*ManureNEF*NtoN2O*kgtoGg,"ERROR"))</f>
        <v>4.9584814145516069E-2</v>
      </c>
      <c r="AG1127" s="94">
        <f>IF('Net zero activities &amp; levers'!$C$14="Off",'Activity data'!AZ57*ManureNEF*NtoN2O*kgtoGg,IF('Net zero activities &amp; levers'!$C$14="On",'Net zero Activity data'!AZ57*ManureNEF*NtoN2O*kgtoGg,"ERROR"))</f>
        <v>4.967514217789748E-2</v>
      </c>
      <c r="AH1127" s="94">
        <f>IF('Net zero activities &amp; levers'!$C$14="Off",'Activity data'!BA57*ManureNEF*NtoN2O*kgtoGg,IF('Net zero activities &amp; levers'!$C$14="On",'Net zero Activity data'!BA57*ManureNEF*NtoN2O*kgtoGg,"ERROR"))</f>
        <v>4.9768143676120806E-2</v>
      </c>
      <c r="AI1127" s="94">
        <f>IF('Net zero activities &amp; levers'!$C$14="Off",'Activity data'!BB57*ManureNEF*NtoN2O*kgtoGg,IF('Net zero activities &amp; levers'!$C$14="On",'Net zero Activity data'!BB57*ManureNEF*NtoN2O*kgtoGg,"ERROR"))</f>
        <v>4.9825141984396873E-2</v>
      </c>
      <c r="AJ1127" s="94">
        <f>IF('Net zero activities &amp; levers'!$C$14="Off",'Activity data'!BC57*ManureNEF*NtoN2O*kgtoGg,IF('Net zero activities &amp; levers'!$C$14="On",'Net zero Activity data'!BC57*ManureNEF*NtoN2O*kgtoGg,"ERROR"))</f>
        <v>4.9888107964376358E-2</v>
      </c>
      <c r="AK1127" s="94">
        <f>IF('Net zero activities &amp; levers'!$C$14="Off",'Activity data'!BD57*ManureNEF*NtoN2O*kgtoGg,IF('Net zero activities &amp; levers'!$C$14="On",'Net zero Activity data'!BD57*ManureNEF*NtoN2O*kgtoGg,"ERROR"))</f>
        <v>4.9955436560191149E-2</v>
      </c>
      <c r="AL1127" s="94">
        <f>IF('Net zero activities &amp; levers'!$C$14="Off",'Activity data'!BE57*ManureNEF*NtoN2O*kgtoGg,IF('Net zero activities &amp; levers'!$C$14="On",'Net zero Activity data'!BE57*ManureNEF*NtoN2O*kgtoGg,"ERROR"))</f>
        <v>5.0027928792990776E-2</v>
      </c>
      <c r="AM1127" s="94">
        <f>IF('Net zero activities &amp; levers'!$C$14="Off",'Activity data'!BF57*ManureNEF*NtoN2O*kgtoGg,IF('Net zero activities &amp; levers'!$C$14="On",'Net zero Activity data'!BF57*ManureNEF*NtoN2O*kgtoGg,"ERROR"))</f>
        <v>5.0104929586711242E-2</v>
      </c>
      <c r="AN1127" s="94">
        <f>IF('Net zero activities &amp; levers'!$C$14="Off",'Activity data'!BG57*ManureNEF*NtoN2O*kgtoGg,IF('Net zero activities &amp; levers'!$C$14="On",'Net zero Activity data'!BG57*ManureNEF*NtoN2O*kgtoGg,"ERROR"))</f>
        <v>5.0149583766901075E-2</v>
      </c>
      <c r="AO1127" s="94">
        <f>IF('Net zero activities &amp; levers'!$C$14="Off",'Activity data'!BH57*ManureNEF*NtoN2O*kgtoGg,IF('Net zero activities &amp; levers'!$C$14="On",'Net zero Activity data'!BH57*ManureNEF*NtoN2O*kgtoGg,"ERROR"))</f>
        <v>5.0197615111228118E-2</v>
      </c>
      <c r="AP1127" s="94">
        <f>IF('Net zero activities &amp; levers'!$C$14="Off",'Activity data'!BI57*ManureNEF*NtoN2O*kgtoGg,IF('Net zero activities &amp; levers'!$C$14="On",'Net zero Activity data'!BI57*ManureNEF*NtoN2O*kgtoGg,"ERROR"))</f>
        <v>5.0249637464671662E-2</v>
      </c>
      <c r="AQ1127" s="94">
        <f>IF('Net zero activities &amp; levers'!$C$14="Off",'Activity data'!BJ57*ManureNEF*NtoN2O*kgtoGg,IF('Net zero activities &amp; levers'!$C$14="On",'Net zero Activity data'!BJ57*ManureNEF*NtoN2O*kgtoGg,"ERROR"))</f>
        <v>5.0305722643353402E-2</v>
      </c>
      <c r="AR1127" s="94">
        <f>IF('Net zero activities &amp; levers'!$C$14="Off",'Activity data'!BK57*ManureNEF*NtoN2O*kgtoGg,IF('Net zero activities &amp; levers'!$C$14="On",'Net zero Activity data'!BK57*ManureNEF*NtoN2O*kgtoGg,"ERROR"))</f>
        <v>5.0365831440794026E-2</v>
      </c>
      <c r="AS1127" s="94">
        <f>IF('Net zero activities &amp; levers'!$C$14="Off",'Activity data'!BL57*ManureNEF*NtoN2O*kgtoGg,IF('Net zero activities &amp; levers'!$C$14="On",'Net zero Activity data'!BL57*ManureNEF*NtoN2O*kgtoGg,"ERROR"))</f>
        <v>5.0392709098596028E-2</v>
      </c>
      <c r="AT1127" s="94">
        <f>IF('Net zero activities &amp; levers'!$C$14="Off",'Activity data'!BM57*ManureNEF*NtoN2O*kgtoGg,IF('Net zero activities &amp; levers'!$C$14="On",'Net zero Activity data'!BM57*ManureNEF*NtoN2O*kgtoGg,"ERROR"))</f>
        <v>5.0417725783177193E-2</v>
      </c>
      <c r="AU1127" s="94">
        <f>IF('Net zero activities &amp; levers'!$C$14="Off",'Activity data'!BN57*ManureNEF*NtoN2O*kgtoGg,IF('Net zero activities &amp; levers'!$C$14="On",'Net zero Activity data'!BN57*ManureNEF*NtoN2O*kgtoGg,"ERROR"))</f>
        <v>5.0445459320641074E-2</v>
      </c>
      <c r="AV1127" s="94">
        <f>IF('Net zero activities &amp; levers'!$C$14="Off",'Activity data'!BO57*ManureNEF*NtoN2O*kgtoGg,IF('Net zero activities &amp; levers'!$C$14="On",'Net zero Activity data'!BO57*ManureNEF*NtoN2O*kgtoGg,"ERROR"))</f>
        <v>5.0476354252632014E-2</v>
      </c>
      <c r="AW1127" s="94">
        <f>IF('Net zero activities &amp; levers'!$C$14="Off",'Activity data'!BP57*ManureNEF*NtoN2O*kgtoGg,IF('Net zero activities &amp; levers'!$C$14="On",'Net zero Activity data'!BP57*ManureNEF*NtoN2O*kgtoGg,"ERROR"))</f>
        <v>5.0510092537486409E-2</v>
      </c>
      <c r="AY1127" s="79"/>
    </row>
    <row r="1128" spans="1:51" x14ac:dyDescent="0.2">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7.2140927380493743E-3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7.2902308808567339E-3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7.4155715935563127E-3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7.5091824622274591E-3</v>
      </c>
      <c r="T1128" s="94">
        <f>IF('Net zero activities &amp; levers'!$C$14="Off",'Activity data'!AM58*ManureNEF*NtoN2O*kgtoGg,IF('Net zero activities &amp; levers'!$C$14="On",'Net zero Activity data'!AM58*ManureNEF*NtoN2O*kgtoGg,"ERROR"))</f>
        <v>7.5310026575768785E-3</v>
      </c>
      <c r="U1128" s="94">
        <f>IF('Net zero activities &amp; levers'!$C$14="Off",'Activity data'!AN58*ManureNEF*NtoN2O*kgtoGg,IF('Net zero activities &amp; levers'!$C$14="On",'Net zero Activity data'!AN58*ManureNEF*NtoN2O*kgtoGg,"ERROR"))</f>
        <v>7.5544556894728667E-3</v>
      </c>
      <c r="V1128" s="94">
        <f>IF('Net zero activities &amp; levers'!$C$14="Off",'Activity data'!AO58*ManureNEF*NtoN2O*kgtoGg,IF('Net zero activities &amp; levers'!$C$14="On",'Net zero Activity data'!AO58*ManureNEF*NtoN2O*kgtoGg,"ERROR"))</f>
        <v>7.5798283677162839E-3</v>
      </c>
      <c r="W1128" s="94">
        <f>IF('Net zero activities &amp; levers'!$C$14="Off",'Activity data'!AP58*ManureNEF*NtoN2O*kgtoGg,IF('Net zero activities &amp; levers'!$C$14="On",'Net zero Activity data'!AP58*ManureNEF*NtoN2O*kgtoGg,"ERROR"))</f>
        <v>7.6073992773568969E-3</v>
      </c>
      <c r="X1128" s="94">
        <f>IF('Net zero activities &amp; levers'!$C$14="Off",'Activity data'!AQ58*ManureNEF*NtoN2O*kgtoGg,IF('Net zero activities &amp; levers'!$C$14="On",'Net zero Activity data'!AQ58*ManureNEF*NtoN2O*kgtoGg,"ERROR"))</f>
        <v>7.6366778381520258E-3</v>
      </c>
      <c r="Y1128" s="94">
        <f>IF('Net zero activities &amp; levers'!$C$14="Off",'Activity data'!AR58*ManureNEF*NtoN2O*kgtoGg,IF('Net zero activities &amp; levers'!$C$14="On",'Net zero Activity data'!AR58*ManureNEF*NtoN2O*kgtoGg,"ERROR"))</f>
        <v>7.6549815598218112E-3</v>
      </c>
      <c r="Z1128" s="94">
        <f>IF('Net zero activities &amp; levers'!$C$14="Off",'Activity data'!AS58*ManureNEF*NtoN2O*kgtoGg,IF('Net zero activities &amp; levers'!$C$14="On",'Net zero Activity data'!AS58*ManureNEF*NtoN2O*kgtoGg,"ERROR"))</f>
        <v>7.6747813396639188E-3</v>
      </c>
      <c r="AA1128" s="94">
        <f>IF('Net zero activities &amp; levers'!$C$14="Off",'Activity data'!AT58*ManureNEF*NtoN2O*kgtoGg,IF('Net zero activities &amp; levers'!$C$14="On",'Net zero Activity data'!AT58*ManureNEF*NtoN2O*kgtoGg,"ERROR"))</f>
        <v>7.695960726553556E-3</v>
      </c>
      <c r="AB1128" s="94">
        <f>IF('Net zero activities &amp; levers'!$C$14="Off",'Activity data'!AU58*ManureNEF*NtoN2O*kgtoGg,IF('Net zero activities &amp; levers'!$C$14="On",'Net zero Activity data'!AU58*ManureNEF*NtoN2O*kgtoGg,"ERROR"))</f>
        <v>7.7189834484336205E-3</v>
      </c>
      <c r="AC1128" s="94">
        <f>IF('Net zero activities &amp; levers'!$C$14="Off",'Activity data'!AV58*ManureNEF*NtoN2O*kgtoGg,IF('Net zero activities &amp; levers'!$C$14="On",'Net zero Activity data'!AV58*ManureNEF*NtoN2O*kgtoGg,"ERROR"))</f>
        <v>7.7433191534407569E-3</v>
      </c>
      <c r="AD1128" s="94">
        <f>IF('Net zero activities &amp; levers'!$C$14="Off",'Activity data'!AW58*ManureNEF*NtoN2O*kgtoGg,IF('Net zero activities &amp; levers'!$C$14="On",'Net zero Activity data'!AW58*ManureNEF*NtoN2O*kgtoGg,"ERROR"))</f>
        <v>7.7591399700901245E-3</v>
      </c>
      <c r="AE1128" s="94">
        <f>IF('Net zero activities &amp; levers'!$C$14="Off",'Activity data'!AX58*ManureNEF*NtoN2O*kgtoGg,IF('Net zero activities &amp; levers'!$C$14="On",'Net zero Activity data'!AX58*ManureNEF*NtoN2O*kgtoGg,"ERROR"))</f>
        <v>7.7765645193301983E-3</v>
      </c>
      <c r="AF1128" s="94">
        <f>IF('Net zero activities &amp; levers'!$C$14="Off",'Activity data'!AY58*ManureNEF*NtoN2O*kgtoGg,IF('Net zero activities &amp; levers'!$C$14="On",'Net zero Activity data'!AY58*ManureNEF*NtoN2O*kgtoGg,"ERROR"))</f>
        <v>7.7953233528318755E-3</v>
      </c>
      <c r="AG1128" s="94">
        <f>IF('Net zero activities &amp; levers'!$C$14="Off",'Activity data'!AZ58*ManureNEF*NtoN2O*kgtoGg,IF('Net zero activities &amp; levers'!$C$14="On",'Net zero Activity data'!AZ58*ManureNEF*NtoN2O*kgtoGg,"ERROR"))</f>
        <v>7.8156183452166659E-3</v>
      </c>
      <c r="AH1128" s="94">
        <f>IF('Net zero activities &amp; levers'!$C$14="Off",'Activity data'!BA58*ManureNEF*NtoN2O*kgtoGg,IF('Net zero activities &amp; levers'!$C$14="On",'Net zero Activity data'!BA58*ManureNEF*NtoN2O*kgtoGg,"ERROR"))</f>
        <v>7.8362676853213336E-3</v>
      </c>
      <c r="AI1128" s="94">
        <f>IF('Net zero activities &amp; levers'!$C$14="Off",'Activity data'!BB58*ManureNEF*NtoN2O*kgtoGg,IF('Net zero activities &amp; levers'!$C$14="On",'Net zero Activity data'!BB58*ManureNEF*NtoN2O*kgtoGg,"ERROR"))</f>
        <v>7.8484908167339423E-3</v>
      </c>
      <c r="AJ1128" s="94">
        <f>IF('Net zero activities &amp; levers'!$C$14="Off",'Activity data'!BC58*ManureNEF*NtoN2O*kgtoGg,IF('Net zero activities &amp; levers'!$C$14="On",'Net zero Activity data'!BC58*ManureNEF*NtoN2O*kgtoGg,"ERROR"))</f>
        <v>7.8618680880810435E-3</v>
      </c>
      <c r="AK1128" s="94">
        <f>IF('Net zero activities &amp; levers'!$C$14="Off",'Activity data'!BD58*ManureNEF*NtoN2O*kgtoGg,IF('Net zero activities &amp; levers'!$C$14="On",'Net zero Activity data'!BD58*ManureNEF*NtoN2O*kgtoGg,"ERROR"))</f>
        <v>7.8760394561635683E-3</v>
      </c>
      <c r="AL1128" s="94">
        <f>IF('Net zero activities &amp; levers'!$C$14="Off",'Activity data'!BE58*ManureNEF*NtoN2O*kgtoGg,IF('Net zero activities &amp; levers'!$C$14="On",'Net zero Activity data'!BE58*ManureNEF*NtoN2O*kgtoGg,"ERROR"))</f>
        <v>7.8911907673676705E-3</v>
      </c>
      <c r="AM1128" s="94">
        <f>IF('Net zero activities &amp; levers'!$C$14="Off",'Activity data'!BF58*ManureNEF*NtoN2O*kgtoGg,IF('Net zero activities &amp; levers'!$C$14="On",'Net zero Activity data'!BF58*ManureNEF*NtoN2O*kgtoGg,"ERROR"))</f>
        <v>7.9071774267792192E-3</v>
      </c>
      <c r="AN1128" s="94">
        <f>IF('Net zero activities &amp; levers'!$C$14="Off",'Activity data'!BG58*ManureNEF*NtoN2O*kgtoGg,IF('Net zero activities &amp; levers'!$C$14="On",'Net zero Activity data'!BG58*ManureNEF*NtoN2O*kgtoGg,"ERROR"))</f>
        <v>7.9157019513346714E-3</v>
      </c>
      <c r="AO1128" s="94">
        <f>IF('Net zero activities &amp; levers'!$C$14="Off",'Activity data'!BH58*ManureNEF*NtoN2O*kgtoGg,IF('Net zero activities &amp; levers'!$C$14="On",'Net zero Activity data'!BH58*ManureNEF*NtoN2O*kgtoGg,"ERROR"))</f>
        <v>7.9248428379220318E-3</v>
      </c>
      <c r="AP1128" s="94">
        <f>IF('Net zero activities &amp; levers'!$C$14="Off",'Activity data'!BI58*ManureNEF*NtoN2O*kgtoGg,IF('Net zero activities &amp; levers'!$C$14="On",'Net zero Activity data'!BI58*ManureNEF*NtoN2O*kgtoGg,"ERROR"))</f>
        <v>7.9347410994360257E-3</v>
      </c>
      <c r="AQ1128" s="94">
        <f>IF('Net zero activities &amp; levers'!$C$14="Off",'Activity data'!BJ58*ManureNEF*NtoN2O*kgtoGg,IF('Net zero activities &amp; levers'!$C$14="On",'Net zero Activity data'!BJ58*ManureNEF*NtoN2O*kgtoGg,"ERROR"))</f>
        <v>7.9454149669416808E-3</v>
      </c>
      <c r="AR1128" s="94">
        <f>IF('Net zero activities &amp; levers'!$C$14="Off",'Activity data'!BK58*ManureNEF*NtoN2O*kgtoGg,IF('Net zero activities &amp; levers'!$C$14="On",'Net zero Activity data'!BK58*ManureNEF*NtoN2O*kgtoGg,"ERROR"))</f>
        <v>7.9568573935750887E-3</v>
      </c>
      <c r="AS1128" s="94">
        <f>IF('Net zero activities &amp; levers'!$C$14="Off",'Activity data'!BL58*ManureNEF*NtoN2O*kgtoGg,IF('Net zero activities &amp; levers'!$C$14="On",'Net zero Activity data'!BL58*ManureNEF*NtoN2O*kgtoGg,"ERROR"))</f>
        <v>7.9607498372215833E-3</v>
      </c>
      <c r="AT1128" s="94">
        <f>IF('Net zero activities &amp; levers'!$C$14="Off",'Activity data'!BM58*ManureNEF*NtoN2O*kgtoGg,IF('Net zero activities &amp; levers'!$C$14="On",'Net zero Activity data'!BM58*ManureNEF*NtoN2O*kgtoGg,"ERROR"))</f>
        <v>7.9641286536339551E-3</v>
      </c>
      <c r="AU1128" s="94">
        <f>IF('Net zero activities &amp; levers'!$C$14="Off",'Activity data'!BN58*ManureNEF*NtoN2O*kgtoGg,IF('Net zero activities &amp; levers'!$C$14="On",'Net zero Activity data'!BN58*ManureNEF*NtoN2O*kgtoGg,"ERROR"))</f>
        <v>7.9680196395720947E-3</v>
      </c>
      <c r="AV1128" s="94">
        <f>IF('Net zero activities &amp; levers'!$C$14="Off",'Activity data'!BO58*ManureNEF*NtoN2O*kgtoGg,IF('Net zero activities &amp; levers'!$C$14="On",'Net zero Activity data'!BO58*ManureNEF*NtoN2O*kgtoGg,"ERROR"))</f>
        <v>7.9725231105734155E-3</v>
      </c>
      <c r="AW1128" s="94">
        <f>IF('Net zero activities &amp; levers'!$C$14="Off",'Activity data'!BP58*ManureNEF*NtoN2O*kgtoGg,IF('Net zero activities &amp; levers'!$C$14="On",'Net zero Activity data'!BP58*ManureNEF*NtoN2O*kgtoGg,"ERROR"))</f>
        <v>7.9775693338345506E-3</v>
      </c>
      <c r="AY1128" s="79"/>
    </row>
    <row r="1129" spans="1:51" x14ac:dyDescent="0.2">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8.7045671471293523E-2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8.7964358824768801E-2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8.9476727309038565E-2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9.0606241610610233E-2</v>
      </c>
      <c r="T1129" s="94">
        <f>IF('Net zero activities &amp; levers'!$C$14="Off",'Activity data'!AM59*ManureNEF*NtoN2O*kgtoGg,IF('Net zero activities &amp; levers'!$C$14="On",'Net zero Activity data'!AM59*ManureNEF*NtoN2O*kgtoGg,"ERROR"))</f>
        <v>9.0869525383745986E-2</v>
      </c>
      <c r="U1129" s="94">
        <f>IF('Net zero activities &amp; levers'!$C$14="Off",'Activity data'!AN59*ManureNEF*NtoN2O*kgtoGg,IF('Net zero activities &amp; levers'!$C$14="On",'Net zero Activity data'!AN59*ManureNEF*NtoN2O*kgtoGg,"ERROR"))</f>
        <v>9.1152511059637925E-2</v>
      </c>
      <c r="V1129" s="94">
        <f>IF('Net zero activities &amp; levers'!$C$14="Off",'Activity data'!AO59*ManureNEF*NtoN2O*kgtoGg,IF('Net zero activities &amp; levers'!$C$14="On",'Net zero Activity data'!AO59*ManureNEF*NtoN2O*kgtoGg,"ERROR"))</f>
        <v>9.14586593023788E-2</v>
      </c>
      <c r="W1129" s="94">
        <f>IF('Net zero activities &amp; levers'!$C$14="Off",'Activity data'!AP59*ManureNEF*NtoN2O*kgtoGg,IF('Net zero activities &amp; levers'!$C$14="On",'Net zero Activity data'!AP59*ManureNEF*NtoN2O*kgtoGg,"ERROR"))</f>
        <v>9.1791331535726078E-2</v>
      </c>
      <c r="X1129" s="94">
        <f>IF('Net zero activities &amp; levers'!$C$14="Off",'Activity data'!AQ59*ManureNEF*NtoN2O*kgtoGg,IF('Net zero activities &amp; levers'!$C$14="On",'Net zero Activity data'!AQ59*ManureNEF*NtoN2O*kgtoGg,"ERROR"))</f>
        <v>9.2144608389332791E-2</v>
      </c>
      <c r="Y1129" s="94">
        <f>IF('Net zero activities &amp; levers'!$C$14="Off",'Activity data'!AR59*ManureNEF*NtoN2O*kgtoGg,IF('Net zero activities &amp; levers'!$C$14="On",'Net zero Activity data'!AR59*ManureNEF*NtoN2O*kgtoGg,"ERROR"))</f>
        <v>9.2365462182182861E-2</v>
      </c>
      <c r="Z1129" s="94">
        <f>IF('Net zero activities &amp; levers'!$C$14="Off",'Activity data'!AS59*ManureNEF*NtoN2O*kgtoGg,IF('Net zero activities &amp; levers'!$C$14="On",'Net zero Activity data'!AS59*ManureNEF*NtoN2O*kgtoGg,"ERROR"))</f>
        <v>9.2604367501801177E-2</v>
      </c>
      <c r="AA1129" s="94">
        <f>IF('Net zero activities &amp; levers'!$C$14="Off",'Activity data'!AT59*ManureNEF*NtoN2O*kgtoGg,IF('Net zero activities &amp; levers'!$C$14="On",'Net zero Activity data'!AT59*ManureNEF*NtoN2O*kgtoGg,"ERROR"))</f>
        <v>9.2859919241999239E-2</v>
      </c>
      <c r="AB1129" s="94">
        <f>IF('Net zero activities &amp; levers'!$C$14="Off",'Activity data'!AU59*ManureNEF*NtoN2O*kgtoGg,IF('Net zero activities &amp; levers'!$C$14="On",'Net zero Activity data'!AU59*ManureNEF*NtoN2O*kgtoGg,"ERROR"))</f>
        <v>9.3137712771680009E-2</v>
      </c>
      <c r="AC1129" s="94">
        <f>IF('Net zero activities &amp; levers'!$C$14="Off",'Activity data'!AV59*ManureNEF*NtoN2O*kgtoGg,IF('Net zero activities &amp; levers'!$C$14="On",'Net zero Activity data'!AV59*ManureNEF*NtoN2O*kgtoGg,"ERROR"))</f>
        <v>9.3431348833759018E-2</v>
      </c>
      <c r="AD1129" s="94">
        <f>IF('Net zero activities &amp; levers'!$C$14="Off",'Activity data'!AW59*ManureNEF*NtoN2O*kgtoGg,IF('Net zero activities &amp; levers'!$C$14="On",'Net zero Activity data'!AW59*ManureNEF*NtoN2O*kgtoGg,"ERROR"))</f>
        <v>9.3622243747156081E-2</v>
      </c>
      <c r="AE1129" s="94">
        <f>IF('Net zero activities &amp; levers'!$C$14="Off",'Activity data'!AX59*ManureNEF*NtoN2O*kgtoGg,IF('Net zero activities &amp; levers'!$C$14="On",'Net zero Activity data'!AX59*ManureNEF*NtoN2O*kgtoGg,"ERROR"))</f>
        <v>9.3832489393249188E-2</v>
      </c>
      <c r="AF1129" s="94">
        <f>IF('Net zero activities &amp; levers'!$C$14="Off",'Activity data'!AY59*ManureNEF*NtoN2O*kgtoGg,IF('Net zero activities &amp; levers'!$C$14="On",'Net zero Activity data'!AY59*ManureNEF*NtoN2O*kgtoGg,"ERROR"))</f>
        <v>9.4058834592495047E-2</v>
      </c>
      <c r="AG1129" s="94">
        <f>IF('Net zero activities &amp; levers'!$C$14="Off",'Activity data'!AZ59*ManureNEF*NtoN2O*kgtoGg,IF('Net zero activities &amp; levers'!$C$14="On",'Net zero Activity data'!AZ59*ManureNEF*NtoN2O*kgtoGg,"ERROR"))</f>
        <v>9.4303715176067421E-2</v>
      </c>
      <c r="AH1129" s="94">
        <f>IF('Net zero activities &amp; levers'!$C$14="Off",'Activity data'!BA59*ManureNEF*NtoN2O*kgtoGg,IF('Net zero activities &amp; levers'!$C$14="On",'Net zero Activity data'!BA59*ManureNEF*NtoN2O*kgtoGg,"ERROR"))</f>
        <v>9.4552871340274972E-2</v>
      </c>
      <c r="AI1129" s="94">
        <f>IF('Net zero activities &amp; levers'!$C$14="Off",'Activity data'!BB59*ManureNEF*NtoN2O*kgtoGg,IF('Net zero activities &amp; levers'!$C$14="On",'Net zero Activity data'!BB59*ManureNEF*NtoN2O*kgtoGg,"ERROR"))</f>
        <v>9.4700356369914307E-2</v>
      </c>
      <c r="AJ1129" s="94">
        <f>IF('Net zero activities &amp; levers'!$C$14="Off",'Activity data'!BC59*ManureNEF*NtoN2O*kgtoGg,IF('Net zero activities &amp; levers'!$C$14="On",'Net zero Activity data'!BC59*ManureNEF*NtoN2O*kgtoGg,"ERROR"))</f>
        <v>9.4861767320555526E-2</v>
      </c>
      <c r="AK1129" s="94">
        <f>IF('Net zero activities &amp; levers'!$C$14="Off",'Activity data'!BD59*ManureNEF*NtoN2O*kgtoGg,IF('Net zero activities &amp; levers'!$C$14="On",'Net zero Activity data'!BD59*ManureNEF*NtoN2O*kgtoGg,"ERROR"))</f>
        <v>9.5032759889573118E-2</v>
      </c>
      <c r="AL1129" s="94">
        <f>IF('Net zero activities &amp; levers'!$C$14="Off",'Activity data'!BE59*ManureNEF*NtoN2O*kgtoGg,IF('Net zero activities &amp; levers'!$C$14="On",'Net zero Activity data'!BE59*ManureNEF*NtoN2O*kgtoGg,"ERROR"))</f>
        <v>9.5215576510501124E-2</v>
      </c>
      <c r="AM1129" s="94">
        <f>IF('Net zero activities &amp; levers'!$C$14="Off",'Activity data'!BF59*ManureNEF*NtoN2O*kgtoGg,IF('Net zero activities &amp; levers'!$C$14="On",'Net zero Activity data'!BF59*ManureNEF*NtoN2O*kgtoGg,"ERROR"))</f>
        <v>9.5408472492517202E-2</v>
      </c>
      <c r="AN1129" s="94">
        <f>IF('Net zero activities &amp; levers'!$C$14="Off",'Activity data'!BG59*ManureNEF*NtoN2O*kgtoGg,IF('Net zero activities &amp; levers'!$C$14="On",'Net zero Activity data'!BG59*ManureNEF*NtoN2O*kgtoGg,"ERROR"))</f>
        <v>9.5511329912132736E-2</v>
      </c>
      <c r="AO1129" s="94">
        <f>IF('Net zero activities &amp; levers'!$C$14="Off",'Activity data'!BH59*ManureNEF*NtoN2O*kgtoGg,IF('Net zero activities &amp; levers'!$C$14="On",'Net zero Activity data'!BH59*ManureNEF*NtoN2O*kgtoGg,"ERROR"))</f>
        <v>9.5621624392635218E-2</v>
      </c>
      <c r="AP1129" s="94">
        <f>IF('Net zero activities &amp; levers'!$C$14="Off",'Activity data'!BI59*ManureNEF*NtoN2O*kgtoGg,IF('Net zero activities &amp; levers'!$C$14="On",'Net zero Activity data'!BI59*ManureNEF*NtoN2O*kgtoGg,"ERROR"))</f>
        <v>9.5741057403988084E-2</v>
      </c>
      <c r="AQ1129" s="94">
        <f>IF('Net zero activities &amp; levers'!$C$14="Off",'Activity data'!BJ59*ManureNEF*NtoN2O*kgtoGg,IF('Net zero activities &amp; levers'!$C$14="On",'Net zero Activity data'!BJ59*ManureNEF*NtoN2O*kgtoGg,"ERROR"))</f>
        <v>9.5869848923304843E-2</v>
      </c>
      <c r="AR1129" s="94">
        <f>IF('Net zero activities &amp; levers'!$C$14="Off",'Activity data'!BK59*ManureNEF*NtoN2O*kgtoGg,IF('Net zero activities &amp; levers'!$C$14="On",'Net zero Activity data'!BK59*ManureNEF*NtoN2O*kgtoGg,"ERROR"))</f>
        <v>9.6007913922706994E-2</v>
      </c>
      <c r="AS1129" s="94">
        <f>IF('Net zero activities &amp; levers'!$C$14="Off",'Activity data'!BL59*ManureNEF*NtoN2O*kgtoGg,IF('Net zero activities &amp; levers'!$C$14="On",'Net zero Activity data'!BL59*ManureNEF*NtoN2O*kgtoGg,"ERROR"))</f>
        <v>9.6054880378944288E-2</v>
      </c>
      <c r="AT1129" s="94">
        <f>IF('Net zero activities &amp; levers'!$C$14="Off",'Activity data'!BM59*ManureNEF*NtoN2O*kgtoGg,IF('Net zero activities &amp; levers'!$C$14="On",'Net zero Activity data'!BM59*ManureNEF*NtoN2O*kgtoGg,"ERROR"))</f>
        <v>9.6095649378466819E-2</v>
      </c>
      <c r="AU1129" s="94">
        <f>IF('Net zero activities &amp; levers'!$C$14="Off",'Activity data'!BN59*ManureNEF*NtoN2O*kgtoGg,IF('Net zero activities &amp; levers'!$C$14="On",'Net zero Activity data'!BN59*ManureNEF*NtoN2O*kgtoGg,"ERROR"))</f>
        <v>9.6142598245908498E-2</v>
      </c>
      <c r="AV1129" s="94">
        <f>IF('Net zero activities &amp; levers'!$C$14="Off",'Activity data'!BO59*ManureNEF*NtoN2O*kgtoGg,IF('Net zero activities &amp; levers'!$C$14="On",'Net zero Activity data'!BO59*ManureNEF*NtoN2O*kgtoGg,"ERROR"))</f>
        <v>9.6196937394502191E-2</v>
      </c>
      <c r="AW1129" s="94">
        <f>IF('Net zero activities &amp; levers'!$C$14="Off",'Activity data'!BP59*ManureNEF*NtoN2O*kgtoGg,IF('Net zero activities &amp; levers'!$C$14="On",'Net zero Activity data'!BP59*ManureNEF*NtoN2O*kgtoGg,"ERROR"))</f>
        <v>9.6257825424100524E-2</v>
      </c>
      <c r="AY1129" s="79"/>
    </row>
    <row r="1130" spans="1:51" x14ac:dyDescent="0.2">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2">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2">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0.12395129293471778</v>
      </c>
      <c r="M1132" s="94">
        <f>IF('Net zero activities &amp; levers'!$C$14="Off",'Activity data'!AF62*ManureNEF*NtoN2O*kgtoGg,IF('Net zero activities &amp; levers'!$C$14="On",'Net zero Activity data'!AF62*ManureNEF*NtoN2O*kgtoGg,"ERROR"))</f>
        <v>0.12400689511310996</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0.12100901910045005</v>
      </c>
      <c r="P1132" s="94">
        <f>IF('Net zero activities &amp; levers'!$C$14="Off",'Activity data'!AI62*ManureNEF*NtoN2O*kgtoGg,IF('Net zero activities &amp; levers'!$C$14="On",'Net zero Activity data'!AI62*ManureNEF*NtoN2O*kgtoGg,"ERROR"))</f>
        <v>0.11845842648899832</v>
      </c>
      <c r="Q1132" s="94">
        <f>IF('Net zero activities &amp; levers'!$C$14="Off",'Activity data'!AJ62*ManureNEF*NtoN2O*kgtoGg,IF('Net zero activities &amp; levers'!$C$14="On",'Net zero Activity data'!AJ62*ManureNEF*NtoN2O*kgtoGg,"ERROR"))</f>
        <v>0.11660641339960408</v>
      </c>
      <c r="R1132" s="94">
        <f>IF('Net zero activities &amp; levers'!$C$14="Off",'Activity data'!AK62*ManureNEF*NtoN2O*kgtoGg,IF('Net zero activities &amp; levers'!$C$14="On",'Net zero Activity data'!AK62*ManureNEF*NtoN2O*kgtoGg,"ERROR"))</f>
        <v>0.11491827863139022</v>
      </c>
      <c r="S1132" s="94">
        <f>IF('Net zero activities &amp; levers'!$C$14="Off",'Activity data'!AL62*ManureNEF*NtoN2O*kgtoGg,IF('Net zero activities &amp; levers'!$C$14="On",'Net zero Activity data'!AL62*ManureNEF*NtoN2O*kgtoGg,"ERROR"))</f>
        <v>0.10239148734853588</v>
      </c>
      <c r="T1132" s="94">
        <f>IF('Net zero activities &amp; levers'!$C$14="Off",'Activity data'!AM62*ManureNEF*NtoN2O*kgtoGg,IF('Net zero activities &amp; levers'!$C$14="On",'Net zero Activity data'!AM62*ManureNEF*NtoN2O*kgtoGg,"ERROR"))</f>
        <v>0.10399015001119098</v>
      </c>
      <c r="U1132" s="94">
        <f>IF('Net zero activities &amp; levers'!$C$14="Off",'Activity data'!AN62*ManureNEF*NtoN2O*kgtoGg,IF('Net zero activities &amp; levers'!$C$14="On",'Net zero Activity data'!AN62*ManureNEF*NtoN2O*kgtoGg,"ERROR"))</f>
        <v>0.10466911672478917</v>
      </c>
      <c r="V1132" s="94">
        <f>IF('Net zero activities &amp; levers'!$C$14="Off",'Activity data'!AO62*ManureNEF*NtoN2O*kgtoGg,IF('Net zero activities &amp; levers'!$C$14="On",'Net zero Activity data'!AO62*ManureNEF*NtoN2O*kgtoGg,"ERROR"))</f>
        <v>0.10511626718572097</v>
      </c>
      <c r="W1132" s="94">
        <f>IF('Net zero activities &amp; levers'!$C$14="Off",'Activity data'!AP62*ManureNEF*NtoN2O*kgtoGg,IF('Net zero activities &amp; levers'!$C$14="On",'Net zero Activity data'!AP62*ManureNEF*NtoN2O*kgtoGg,"ERROR"))</f>
        <v>0.10594424528482288</v>
      </c>
      <c r="X1132" s="94">
        <f>IF('Net zero activities &amp; levers'!$C$14="Off",'Activity data'!AQ62*ManureNEF*NtoN2O*kgtoGg,IF('Net zero activities &amp; levers'!$C$14="On",'Net zero Activity data'!AQ62*ManureNEF*NtoN2O*kgtoGg,"ERROR"))</f>
        <v>0.10656092894002199</v>
      </c>
      <c r="Y1132" s="94">
        <f>IF('Net zero activities &amp; levers'!$C$14="Off",'Activity data'!AR62*ManureNEF*NtoN2O*kgtoGg,IF('Net zero activities &amp; levers'!$C$14="On",'Net zero Activity data'!AR62*ManureNEF*NtoN2O*kgtoGg,"ERROR"))</f>
        <v>0.10688440239408244</v>
      </c>
      <c r="Z1132" s="94">
        <f>IF('Net zero activities &amp; levers'!$C$14="Off",'Activity data'!AS62*ManureNEF*NtoN2O*kgtoGg,IF('Net zero activities &amp; levers'!$C$14="On",'Net zero Activity data'!AS62*ManureNEF*NtoN2O*kgtoGg,"ERROR"))</f>
        <v>0.10708259276512562</v>
      </c>
      <c r="AA1132" s="94">
        <f>IF('Net zero activities &amp; levers'!$C$14="Off",'Activity data'!AT62*ManureNEF*NtoN2O*kgtoGg,IF('Net zero activities &amp; levers'!$C$14="On",'Net zero Activity data'!AT62*ManureNEF*NtoN2O*kgtoGg,"ERROR"))</f>
        <v>0.10710947754337903</v>
      </c>
      <c r="AB1132" s="94">
        <f>IF('Net zero activities &amp; levers'!$C$14="Off",'Activity data'!AU62*ManureNEF*NtoN2O*kgtoGg,IF('Net zero activities &amp; levers'!$C$14="On",'Net zero Activity data'!AU62*ManureNEF*NtoN2O*kgtoGg,"ERROR"))</f>
        <v>0.1077314601885206</v>
      </c>
      <c r="AC1132" s="94">
        <f>IF('Net zero activities &amp; levers'!$C$14="Off",'Activity data'!AV62*ManureNEF*NtoN2O*kgtoGg,IF('Net zero activities &amp; levers'!$C$14="On",'Net zero Activity data'!AV62*ManureNEF*NtoN2O*kgtoGg,"ERROR"))</f>
        <v>0.10827475819020069</v>
      </c>
      <c r="AD1132" s="94">
        <f>IF('Net zero activities &amp; levers'!$C$14="Off",'Activity data'!AW62*ManureNEF*NtoN2O*kgtoGg,IF('Net zero activities &amp; levers'!$C$14="On",'Net zero Activity data'!AW62*ManureNEF*NtoN2O*kgtoGg,"ERROR"))</f>
        <v>0.1090564650607147</v>
      </c>
      <c r="AE1132" s="94">
        <f>IF('Net zero activities &amp; levers'!$C$14="Off",'Activity data'!AX62*ManureNEF*NtoN2O*kgtoGg,IF('Net zero activities &amp; levers'!$C$14="On",'Net zero Activity data'!AX62*ManureNEF*NtoN2O*kgtoGg,"ERROR"))</f>
        <v>0.11037691569913123</v>
      </c>
      <c r="AF1132" s="94">
        <f>IF('Net zero activities &amp; levers'!$C$14="Off",'Activity data'!AY62*ManureNEF*NtoN2O*kgtoGg,IF('Net zero activities &amp; levers'!$C$14="On",'Net zero Activity data'!AY62*ManureNEF*NtoN2O*kgtoGg,"ERROR"))</f>
        <v>0.11192323685515045</v>
      </c>
      <c r="AG1132" s="94">
        <f>IF('Net zero activities &amp; levers'!$C$14="Off",'Activity data'!AZ62*ManureNEF*NtoN2O*kgtoGg,IF('Net zero activities &amp; levers'!$C$14="On",'Net zero Activity data'!AZ62*ManureNEF*NtoN2O*kgtoGg,"ERROR"))</f>
        <v>0.1140168304907534</v>
      </c>
      <c r="AH1132" s="94">
        <f>IF('Net zero activities &amp; levers'!$C$14="Off",'Activity data'!BA62*ManureNEF*NtoN2O*kgtoGg,IF('Net zero activities &amp; levers'!$C$14="On",'Net zero Activity data'!BA62*ManureNEF*NtoN2O*kgtoGg,"ERROR"))</f>
        <v>0.11514704328773583</v>
      </c>
      <c r="AI1132" s="94">
        <f>IF('Net zero activities &amp; levers'!$C$14="Off",'Activity data'!BB62*ManureNEF*NtoN2O*kgtoGg,IF('Net zero activities &amp; levers'!$C$14="On",'Net zero Activity data'!BB62*ManureNEF*NtoN2O*kgtoGg,"ERROR"))</f>
        <v>0.11613416972234052</v>
      </c>
      <c r="AJ1132" s="94">
        <f>IF('Net zero activities &amp; levers'!$C$14="Off",'Activity data'!BC62*ManureNEF*NtoN2O*kgtoGg,IF('Net zero activities &amp; levers'!$C$14="On",'Net zero Activity data'!BC62*ManureNEF*NtoN2O*kgtoGg,"ERROR"))</f>
        <v>0.1173747047819844</v>
      </c>
      <c r="AK1132" s="94">
        <f>IF('Net zero activities &amp; levers'!$C$14="Off",'Activity data'!BD62*ManureNEF*NtoN2O*kgtoGg,IF('Net zero activities &amp; levers'!$C$14="On",'Net zero Activity data'!BD62*ManureNEF*NtoN2O*kgtoGg,"ERROR"))</f>
        <v>0.11845175629546961</v>
      </c>
      <c r="AL1132" s="94">
        <f>IF('Net zero activities &amp; levers'!$C$14="Off",'Activity data'!BE62*ManureNEF*NtoN2O*kgtoGg,IF('Net zero activities &amp; levers'!$C$14="On",'Net zero Activity data'!BE62*ManureNEF*NtoN2O*kgtoGg,"ERROR"))</f>
        <v>0.11964350265273288</v>
      </c>
      <c r="AM1132" s="94">
        <f>IF('Net zero activities &amp; levers'!$C$14="Off",'Activity data'!BF62*ManureNEF*NtoN2O*kgtoGg,IF('Net zero activities &amp; levers'!$C$14="On",'Net zero Activity data'!BF62*ManureNEF*NtoN2O*kgtoGg,"ERROR"))</f>
        <v>0.12080595767564568</v>
      </c>
      <c r="AN1132" s="94">
        <f>IF('Net zero activities &amp; levers'!$C$14="Off",'Activity data'!BG62*ManureNEF*NtoN2O*kgtoGg,IF('Net zero activities &amp; levers'!$C$14="On",'Net zero Activity data'!BG62*ManureNEF*NtoN2O*kgtoGg,"ERROR"))</f>
        <v>0.12237101221025357</v>
      </c>
      <c r="AO1132" s="94">
        <f>IF('Net zero activities &amp; levers'!$C$14="Off",'Activity data'!BH62*ManureNEF*NtoN2O*kgtoGg,IF('Net zero activities &amp; levers'!$C$14="On",'Net zero Activity data'!BH62*ManureNEF*NtoN2O*kgtoGg,"ERROR"))</f>
        <v>0.12373005325826542</v>
      </c>
      <c r="AP1132" s="94">
        <f>IF('Net zero activities &amp; levers'!$C$14="Off",'Activity data'!BI62*ManureNEF*NtoN2O*kgtoGg,IF('Net zero activities &amp; levers'!$C$14="On",'Net zero Activity data'!BI62*ManureNEF*NtoN2O*kgtoGg,"ERROR"))</f>
        <v>0.12508788651498504</v>
      </c>
      <c r="AQ1132" s="94">
        <f>IF('Net zero activities &amp; levers'!$C$14="Off",'Activity data'!BJ62*ManureNEF*NtoN2O*kgtoGg,IF('Net zero activities &amp; levers'!$C$14="On",'Net zero Activity data'!BJ62*ManureNEF*NtoN2O*kgtoGg,"ERROR"))</f>
        <v>0.12649394429591121</v>
      </c>
      <c r="AR1132" s="94">
        <f>IF('Net zero activities &amp; levers'!$C$14="Off",'Activity data'!BK62*ManureNEF*NtoN2O*kgtoGg,IF('Net zero activities &amp; levers'!$C$14="On",'Net zero Activity data'!BK62*ManureNEF*NtoN2O*kgtoGg,"ERROR"))</f>
        <v>0.12796403206190518</v>
      </c>
      <c r="AS1132" s="94">
        <f>IF('Net zero activities &amp; levers'!$C$14="Off",'Activity data'!BL62*ManureNEF*NtoN2O*kgtoGg,IF('Net zero activities &amp; levers'!$C$14="On",'Net zero Activity data'!BL62*ManureNEF*NtoN2O*kgtoGg,"ERROR"))</f>
        <v>0.12987984628529636</v>
      </c>
      <c r="AT1132" s="94">
        <f>IF('Net zero activities &amp; levers'!$C$14="Off",'Activity data'!BM62*ManureNEF*NtoN2O*kgtoGg,IF('Net zero activities &amp; levers'!$C$14="On",'Net zero Activity data'!BM62*ManureNEF*NtoN2O*kgtoGg,"ERROR"))</f>
        <v>0.13047315773125404</v>
      </c>
      <c r="AU1132" s="94">
        <f>IF('Net zero activities &amp; levers'!$C$14="Off",'Activity data'!BN62*ManureNEF*NtoN2O*kgtoGg,IF('Net zero activities &amp; levers'!$C$14="On",'Net zero Activity data'!BN62*ManureNEF*NtoN2O*kgtoGg,"ERROR"))</f>
        <v>0.13094704432863591</v>
      </c>
      <c r="AV1132" s="94">
        <f>IF('Net zero activities &amp; levers'!$C$14="Off",'Activity data'!BO62*ManureNEF*NtoN2O*kgtoGg,IF('Net zero activities &amp; levers'!$C$14="On",'Net zero Activity data'!BO62*ManureNEF*NtoN2O*kgtoGg,"ERROR"))</f>
        <v>0.13143575870732388</v>
      </c>
      <c r="AW1132" s="94">
        <f>IF('Net zero activities &amp; levers'!$C$14="Off",'Activity data'!BP62*ManureNEF*NtoN2O*kgtoGg,IF('Net zero activities &amp; levers'!$C$14="On",'Net zero Activity data'!BP62*ManureNEF*NtoN2O*kgtoGg,"ERROR"))</f>
        <v>0.13188303608420418</v>
      </c>
      <c r="AY1132" s="79"/>
    </row>
    <row r="1133" spans="1:51" x14ac:dyDescent="0.2">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3.1446916354757506E-2</v>
      </c>
      <c r="M1133" s="94">
        <f>IF('Net zero activities &amp; levers'!$C$14="Off",'Activity data'!AF63*ManureNEF*NtoN2O*kgtoGg,IF('Net zero activities &amp; levers'!$C$14="On",'Net zero Activity data'!AF63*ManureNEF*NtoN2O*kgtoGg,"ERROR"))</f>
        <v>3.1461022839745632E-2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3.0700450247237842E-2</v>
      </c>
      <c r="P1133" s="94">
        <f>IF('Net zero activities &amp; levers'!$C$14="Off",'Activity data'!AI63*ManureNEF*NtoN2O*kgtoGg,IF('Net zero activities &amp; levers'!$C$14="On",'Net zero Activity data'!AI63*ManureNEF*NtoN2O*kgtoGg,"ERROR"))</f>
        <v>3.0053355161673644E-2</v>
      </c>
      <c r="Q1133" s="94">
        <f>IF('Net zero activities &amp; levers'!$C$14="Off",'Activity data'!AJ63*ManureNEF*NtoN2O*kgtoGg,IF('Net zero activities &amp; levers'!$C$14="On",'Net zero Activity data'!AJ63*ManureNEF*NtoN2O*kgtoGg,"ERROR"))</f>
        <v>2.9583492368545926E-2</v>
      </c>
      <c r="R1133" s="94">
        <f>IF('Net zero activities &amp; levers'!$C$14="Off",'Activity data'!AK63*ManureNEF*NtoN2O*kgtoGg,IF('Net zero activities &amp; levers'!$C$14="On",'Net zero Activity data'!AK63*ManureNEF*NtoN2O*kgtoGg,"ERROR"))</f>
        <v>2.9155206131309681E-2</v>
      </c>
      <c r="S1133" s="94">
        <f>IF('Net zero activities &amp; levers'!$C$14="Off",'Activity data'!AL63*ManureNEF*NtoN2O*kgtoGg,IF('Net zero activities &amp; levers'!$C$14="On",'Net zero Activity data'!AL63*ManureNEF*NtoN2O*kgtoGg,"ERROR"))</f>
        <v>2.5977111346345238E-2</v>
      </c>
      <c r="T1133" s="94">
        <f>IF('Net zero activities &amp; levers'!$C$14="Off",'Activity data'!AM63*ManureNEF*NtoN2O*kgtoGg,IF('Net zero activities &amp; levers'!$C$14="On",'Net zero Activity data'!AM63*ManureNEF*NtoN2O*kgtoGg,"ERROR"))</f>
        <v>2.6382698168730914E-2</v>
      </c>
      <c r="U1133" s="94">
        <f>IF('Net zero activities &amp; levers'!$C$14="Off",'Activity data'!AN63*ManureNEF*NtoN2O*kgtoGg,IF('Net zero activities &amp; levers'!$C$14="On",'Net zero Activity data'!AN63*ManureNEF*NtoN2O*kgtoGg,"ERROR"))</f>
        <v>2.6554954616765158E-2</v>
      </c>
      <c r="V1133" s="94">
        <f>IF('Net zero activities &amp; levers'!$C$14="Off",'Activity data'!AO63*ManureNEF*NtoN2O*kgtoGg,IF('Net zero activities &amp; levers'!$C$14="On",'Net zero Activity data'!AO63*ManureNEF*NtoN2O*kgtoGg,"ERROR"))</f>
        <v>2.6668398396252971E-2</v>
      </c>
      <c r="W1133" s="94">
        <f>IF('Net zero activities &amp; levers'!$C$14="Off",'Activity data'!AP63*ManureNEF*NtoN2O*kgtoGg,IF('Net zero activities &amp; levers'!$C$14="On",'Net zero Activity data'!AP63*ManureNEF*NtoN2O*kgtoGg,"ERROR"))</f>
        <v>2.6878459601824591E-2</v>
      </c>
      <c r="X1133" s="94">
        <f>IF('Net zero activities &amp; levers'!$C$14="Off",'Activity data'!AQ63*ManureNEF*NtoN2O*kgtoGg,IF('Net zero activities &amp; levers'!$C$14="On",'Net zero Activity data'!AQ63*ManureNEF*NtoN2O*kgtoGg,"ERROR"))</f>
        <v>2.7034914600100463E-2</v>
      </c>
      <c r="Y1133" s="94">
        <f>IF('Net zero activities &amp; levers'!$C$14="Off",'Activity data'!AR63*ManureNEF*NtoN2O*kgtoGg,IF('Net zero activities &amp; levers'!$C$14="On",'Net zero Activity data'!AR63*ManureNEF*NtoN2O*kgtoGg,"ERROR"))</f>
        <v>2.7116981050655197E-2</v>
      </c>
      <c r="Z1133" s="94">
        <f>IF('Net zero activities &amp; levers'!$C$14="Off",'Activity data'!AS63*ManureNEF*NtoN2O*kgtoGg,IF('Net zero activities &amp; levers'!$C$14="On",'Net zero Activity data'!AS63*ManureNEF*NtoN2O*kgtoGg,"ERROR"))</f>
        <v>2.7167262704625481E-2</v>
      </c>
      <c r="AA1133" s="94">
        <f>IF('Net zero activities &amp; levers'!$C$14="Off",'Activity data'!AT63*ManureNEF*NtoN2O*kgtoGg,IF('Net zero activities &amp; levers'!$C$14="On",'Net zero Activity data'!AT63*ManureNEF*NtoN2O*kgtoGg,"ERROR"))</f>
        <v>2.7174083475534235E-2</v>
      </c>
      <c r="AB1133" s="94">
        <f>IF('Net zero activities &amp; levers'!$C$14="Off",'Activity data'!AU63*ManureNEF*NtoN2O*kgtoGg,IF('Net zero activities &amp; levers'!$C$14="On",'Net zero Activity data'!AU63*ManureNEF*NtoN2O*kgtoGg,"ERROR"))</f>
        <v>2.7331882847793948E-2</v>
      </c>
      <c r="AC1133" s="94">
        <f>IF('Net zero activities &amp; levers'!$C$14="Off",'Activity data'!AV63*ManureNEF*NtoN2O*kgtoGg,IF('Net zero activities &amp; levers'!$C$14="On",'Net zero Activity data'!AV63*ManureNEF*NtoN2O*kgtoGg,"ERROR"))</f>
        <v>2.7469719625531634E-2</v>
      </c>
      <c r="AD1133" s="94">
        <f>IF('Net zero activities &amp; levers'!$C$14="Off",'Activity data'!AW63*ManureNEF*NtoN2O*kgtoGg,IF('Net zero activities &amp; levers'!$C$14="On",'Net zero Activity data'!AW63*ManureNEF*NtoN2O*kgtoGg,"ERROR"))</f>
        <v>2.7668041643712917E-2</v>
      </c>
      <c r="AE1133" s="94">
        <f>IF('Net zero activities &amp; levers'!$C$14="Off",'Activity data'!AX63*ManureNEF*NtoN2O*kgtoGg,IF('Net zero activities &amp; levers'!$C$14="On",'Net zero Activity data'!AX63*ManureNEF*NtoN2O*kgtoGg,"ERROR"))</f>
        <v>2.8003045013131105E-2</v>
      </c>
      <c r="AF1133" s="94">
        <f>IF('Net zero activities &amp; levers'!$C$14="Off",'Activity data'!AY63*ManureNEF*NtoN2O*kgtoGg,IF('Net zero activities &amp; levers'!$C$14="On",'Net zero Activity data'!AY63*ManureNEF*NtoN2O*kgtoGg,"ERROR"))</f>
        <v>2.8395352595404884E-2</v>
      </c>
      <c r="AG1133" s="94">
        <f>IF('Net zero activities &amp; levers'!$C$14="Off",'Activity data'!AZ63*ManureNEF*NtoN2O*kgtoGg,IF('Net zero activities &amp; levers'!$C$14="On",'Net zero Activity data'!AZ63*ManureNEF*NtoN2O*kgtoGg,"ERROR"))</f>
        <v>2.8926505295637978E-2</v>
      </c>
      <c r="AH1133" s="94">
        <f>IF('Net zero activities &amp; levers'!$C$14="Off",'Activity data'!BA63*ManureNEF*NtoN2O*kgtoGg,IF('Net zero activities &amp; levers'!$C$14="On",'Net zero Activity data'!BA63*ManureNEF*NtoN2O*kgtoGg,"ERROR"))</f>
        <v>2.9213244598216302E-2</v>
      </c>
      <c r="AI1133" s="94">
        <f>IF('Net zero activities &amp; levers'!$C$14="Off",'Activity data'!BB63*ManureNEF*NtoN2O*kgtoGg,IF('Net zero activities &amp; levers'!$C$14="On",'Net zero Activity data'!BB63*ManureNEF*NtoN2O*kgtoGg,"ERROR"))</f>
        <v>2.9463682344250404E-2</v>
      </c>
      <c r="AJ1133" s="94">
        <f>IF('Net zero activities &amp; levers'!$C$14="Off",'Activity data'!BC63*ManureNEF*NtoN2O*kgtoGg,IF('Net zero activities &amp; levers'!$C$14="On",'Net zero Activity data'!BC63*ManureNEF*NtoN2O*kgtoGg,"ERROR"))</f>
        <v>2.9778410826157509E-2</v>
      </c>
      <c r="AK1133" s="94">
        <f>IF('Net zero activities &amp; levers'!$C$14="Off",'Activity data'!BD63*ManureNEF*NtoN2O*kgtoGg,IF('Net zero activities &amp; levers'!$C$14="On",'Net zero Activity data'!BD63*ManureNEF*NtoN2O*kgtoGg,"ERROR"))</f>
        <v>3.0051662908103689E-2</v>
      </c>
      <c r="AL1133" s="94">
        <f>IF('Net zero activities &amp; levers'!$C$14="Off",'Activity data'!BE63*ManureNEF*NtoN2O*kgtoGg,IF('Net zero activities &amp; levers'!$C$14="On",'Net zero Activity data'!BE63*ManureNEF*NtoN2O*kgtoGg,"ERROR"))</f>
        <v>3.0354013509905672E-2</v>
      </c>
      <c r="AM1133" s="94">
        <f>IF('Net zero activities &amp; levers'!$C$14="Off",'Activity data'!BF63*ManureNEF*NtoN2O*kgtoGg,IF('Net zero activities &amp; levers'!$C$14="On",'Net zero Activity data'!BF63*ManureNEF*NtoN2O*kgtoGg,"ERROR"))</f>
        <v>3.0648932788327074E-2</v>
      </c>
      <c r="AN1133" s="94">
        <f>IF('Net zero activities &amp; levers'!$C$14="Off",'Activity data'!BG63*ManureNEF*NtoN2O*kgtoGg,IF('Net zero activities &amp; levers'!$C$14="On",'Net zero Activity data'!BG63*ManureNEF*NtoN2O*kgtoGg,"ERROR"))</f>
        <v>3.1045993100286617E-2</v>
      </c>
      <c r="AO1133" s="94">
        <f>IF('Net zero activities &amp; levers'!$C$14="Off",'Activity data'!BH63*ManureNEF*NtoN2O*kgtoGg,IF('Net zero activities &amp; levers'!$C$14="On",'Net zero Activity data'!BH63*ManureNEF*NtoN2O*kgtoGg,"ERROR"))</f>
        <v>3.1390787003985711E-2</v>
      </c>
      <c r="AP1133" s="94">
        <f>IF('Net zero activities &amp; levers'!$C$14="Off",'Activity data'!BI63*ManureNEF*NtoN2O*kgtoGg,IF('Net zero activities &amp; levers'!$C$14="On",'Net zero Activity data'!BI63*ManureNEF*NtoN2O*kgtoGg,"ERROR"))</f>
        <v>3.1735274486421723E-2</v>
      </c>
      <c r="AQ1133" s="94">
        <f>IF('Net zero activities &amp; levers'!$C$14="Off",'Activity data'!BJ63*ManureNEF*NtoN2O*kgtoGg,IF('Net zero activities &amp; levers'!$C$14="On",'Net zero Activity data'!BJ63*ManureNEF*NtoN2O*kgtoGg,"ERROR"))</f>
        <v>3.2091996714805643E-2</v>
      </c>
      <c r="AR1133" s="94">
        <f>IF('Net zero activities &amp; levers'!$C$14="Off",'Activity data'!BK63*ManureNEF*NtoN2O*kgtoGg,IF('Net zero activities &amp; levers'!$C$14="On",'Net zero Activity data'!BK63*ManureNEF*NtoN2O*kgtoGg,"ERROR"))</f>
        <v>3.2464963594914874E-2</v>
      </c>
      <c r="AS1133" s="94">
        <f>IF('Net zero activities &amp; levers'!$C$14="Off",'Activity data'!BL63*ManureNEF*NtoN2O*kgtoGg,IF('Net zero activities &amp; levers'!$C$14="On",'Net zero Activity data'!BL63*ManureNEF*NtoN2O*kgtoGg,"ERROR"))</f>
        <v>3.2951012979377248E-2</v>
      </c>
      <c r="AT1133" s="94">
        <f>IF('Net zero activities &amp; levers'!$C$14="Off",'Activity data'!BM63*ManureNEF*NtoN2O*kgtoGg,IF('Net zero activities &amp; levers'!$C$14="On",'Net zero Activity data'!BM63*ManureNEF*NtoN2O*kgtoGg,"ERROR"))</f>
        <v>3.3101538358916271E-2</v>
      </c>
      <c r="AU1133" s="94">
        <f>IF('Net zero activities &amp; levers'!$C$14="Off",'Activity data'!BN63*ManureNEF*NtoN2O*kgtoGg,IF('Net zero activities &amp; levers'!$C$14="On",'Net zero Activity data'!BN63*ManureNEF*NtoN2O*kgtoGg,"ERROR"))</f>
        <v>3.3221765198319694E-2</v>
      </c>
      <c r="AV1133" s="94">
        <f>IF('Net zero activities &amp; levers'!$C$14="Off",'Activity data'!BO63*ManureNEF*NtoN2O*kgtoGg,IF('Net zero activities &amp; levers'!$C$14="On",'Net zero Activity data'!BO63*ManureNEF*NtoN2O*kgtoGg,"ERROR"))</f>
        <v>3.3345753902463859E-2</v>
      </c>
      <c r="AW1133" s="94">
        <f>IF('Net zero activities &amp; levers'!$C$14="Off",'Activity data'!BP63*ManureNEF*NtoN2O*kgtoGg,IF('Net zero activities &amp; levers'!$C$14="On",'Net zero Activity data'!BP63*ManureNEF*NtoN2O*kgtoGg,"ERROR"))</f>
        <v>3.3459229881012437E-2</v>
      </c>
      <c r="AY1133" s="79"/>
    </row>
    <row r="1134" spans="1:51" x14ac:dyDescent="0.2">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0.15700744358616764</v>
      </c>
      <c r="L1134" s="94">
        <f>IF('Net zero activities &amp; levers'!$C$14="Off",'Activity data'!AE64*ManureNEF*NtoN2O*kgtoGg,IF('Net zero activities &amp; levers'!$C$14="On",'Net zero Activity data'!AE64*ManureNEF*NtoN2O*kgtoGg,"ERROR"))</f>
        <v>0.16019971617730661</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0.16909558154641688</v>
      </c>
      <c r="P1134" s="94">
        <f>IF('Net zero activities &amp; levers'!$C$14="Off",'Activity data'!AI64*ManureNEF*NtoN2O*kgtoGg,IF('Net zero activities &amp; levers'!$C$14="On",'Net zero Activity data'!AI64*ManureNEF*NtoN2O*kgtoGg,"ERROR"))</f>
        <v>0.1708164974258628</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0.17531753251219051</v>
      </c>
      <c r="S1134" s="94">
        <f>IF('Net zero activities &amp; levers'!$C$14="Off",'Activity data'!AL64*ManureNEF*NtoN2O*kgtoGg,IF('Net zero activities &amp; levers'!$C$14="On",'Net zero Activity data'!AL64*ManureNEF*NtoN2O*kgtoGg,"ERROR"))</f>
        <v>0.16830476873000083</v>
      </c>
      <c r="T1134" s="94">
        <f>IF('Net zero activities &amp; levers'!$C$14="Off",'Activity data'!AM64*ManureNEF*NtoN2O*kgtoGg,IF('Net zero activities &amp; levers'!$C$14="On",'Net zero Activity data'!AM64*ManureNEF*NtoN2O*kgtoGg,"ERROR"))</f>
        <v>0.17276871314198702</v>
      </c>
      <c r="U1134" s="94">
        <f>IF('Net zero activities &amp; levers'!$C$14="Off",'Activity data'!AN64*ManureNEF*NtoN2O*kgtoGg,IF('Net zero activities &amp; levers'!$C$14="On",'Net zero Activity data'!AN64*ManureNEF*NtoN2O*kgtoGg,"ERROR"))</f>
        <v>0.1764934307199863</v>
      </c>
      <c r="V1134" s="94">
        <f>IF('Net zero activities &amp; levers'!$C$14="Off",'Activity data'!AO64*ManureNEF*NtoN2O*kgtoGg,IF('Net zero activities &amp; levers'!$C$14="On",'Net zero Activity data'!AO64*ManureNEF*NtoN2O*kgtoGg,"ERROR"))</f>
        <v>0.18005524898156572</v>
      </c>
      <c r="W1134" s="94">
        <f>IF('Net zero activities &amp; levers'!$C$14="Off",'Activity data'!AP64*ManureNEF*NtoN2O*kgtoGg,IF('Net zero activities &amp; levers'!$C$14="On",'Net zero Activity data'!AP64*ManureNEF*NtoN2O*kgtoGg,"ERROR"))</f>
        <v>0.1840152127784149</v>
      </c>
      <c r="X1134" s="94">
        <f>IF('Net zero activities &amp; levers'!$C$14="Off",'Activity data'!AQ64*ManureNEF*NtoN2O*kgtoGg,IF('Net zero activities &amp; levers'!$C$14="On",'Net zero Activity data'!AQ64*ManureNEF*NtoN2O*kgtoGg,"ERROR"))</f>
        <v>0.18783261457873554</v>
      </c>
      <c r="Y1134" s="94">
        <f>IF('Net zero activities &amp; levers'!$C$14="Off",'Activity data'!AR64*ManureNEF*NtoN2O*kgtoGg,IF('Net zero activities &amp; levers'!$C$14="On",'Net zero Activity data'!AR64*ManureNEF*NtoN2O*kgtoGg,"ERROR"))</f>
        <v>0.1912601747651877</v>
      </c>
      <c r="Z1134" s="94">
        <f>IF('Net zero activities &amp; levers'!$C$14="Off",'Activity data'!AS64*ManureNEF*NtoN2O*kgtoGg,IF('Net zero activities &amp; levers'!$C$14="On",'Net zero Activity data'!AS64*ManureNEF*NtoN2O*kgtoGg,"ERROR"))</f>
        <v>0.19460208719398481</v>
      </c>
      <c r="AA1134" s="94">
        <f>IF('Net zero activities &amp; levers'!$C$14="Off",'Activity data'!AT64*ManureNEF*NtoN2O*kgtoGg,IF('Net zero activities &amp; levers'!$C$14="On",'Net zero Activity data'!AT64*ManureNEF*NtoN2O*kgtoGg,"ERROR"))</f>
        <v>0.1978054102854529</v>
      </c>
      <c r="AB1134" s="94">
        <f>IF('Net zero activities &amp; levers'!$C$14="Off",'Activity data'!AU64*ManureNEF*NtoN2O*kgtoGg,IF('Net zero activities &amp; levers'!$C$14="On",'Net zero Activity data'!AU64*ManureNEF*NtoN2O*kgtoGg,"ERROR"))</f>
        <v>0.20165714923615963</v>
      </c>
      <c r="AC1134" s="94">
        <f>IF('Net zero activities &amp; levers'!$C$14="Off",'Activity data'!AV64*ManureNEF*NtoN2O*kgtoGg,IF('Net zero activities &amp; levers'!$C$14="On",'Net zero Activity data'!AV64*ManureNEF*NtoN2O*kgtoGg,"ERROR"))</f>
        <v>0.2054824805874291</v>
      </c>
      <c r="AD1134" s="94">
        <f>IF('Net zero activities &amp; levers'!$C$14="Off",'Activity data'!AW64*ManureNEF*NtoN2O*kgtoGg,IF('Net zero activities &amp; levers'!$C$14="On",'Net zero Activity data'!AW64*ManureNEF*NtoN2O*kgtoGg,"ERROR"))</f>
        <v>0.20949194963752207</v>
      </c>
      <c r="AE1134" s="94">
        <f>IF('Net zero activities &amp; levers'!$C$14="Off",'Activity data'!AX64*ManureNEF*NtoN2O*kgtoGg,IF('Net zero activities &amp; levers'!$C$14="On",'Net zero Activity data'!AX64*ManureNEF*NtoN2O*kgtoGg,"ERROR"))</f>
        <v>0.21416106283362638</v>
      </c>
      <c r="AF1134" s="94">
        <f>IF('Net zero activities &amp; levers'!$C$14="Off",'Activity data'!AY64*ManureNEF*NtoN2O*kgtoGg,IF('Net zero activities &amp; levers'!$C$14="On",'Net zero Activity data'!AY64*ManureNEF*NtoN2O*kgtoGg,"ERROR"))</f>
        <v>0.21917521895804776</v>
      </c>
      <c r="AG1134" s="94">
        <f>IF('Net zero activities &amp; levers'!$C$14="Off",'Activity data'!AZ64*ManureNEF*NtoN2O*kgtoGg,IF('Net zero activities &amp; levers'!$C$14="On",'Net zero Activity data'!AZ64*ManureNEF*NtoN2O*kgtoGg,"ERROR"))</f>
        <v>0.2249205996408121</v>
      </c>
      <c r="AH1134" s="94">
        <f>IF('Net zero activities &amp; levers'!$C$14="Off",'Activity data'!BA64*ManureNEF*NtoN2O*kgtoGg,IF('Net zero activities &amp; levers'!$C$14="On",'Net zero Activity data'!BA64*ManureNEF*NtoN2O*kgtoGg,"ERROR"))</f>
        <v>0.22966975525024821</v>
      </c>
      <c r="AI1134" s="94">
        <f>IF('Net zero activities &amp; levers'!$C$14="Off",'Activity data'!BB64*ManureNEF*NtoN2O*kgtoGg,IF('Net zero activities &amp; levers'!$C$14="On",'Net zero Activity data'!BB64*ManureNEF*NtoN2O*kgtoGg,"ERROR"))</f>
        <v>0.23421374773731693</v>
      </c>
      <c r="AJ1134" s="94">
        <f>IF('Net zero activities &amp; levers'!$C$14="Off",'Activity data'!BC64*ManureNEF*NtoN2O*kgtoGg,IF('Net zero activities &amp; levers'!$C$14="On",'Net zero Activity data'!BC64*ManureNEF*NtoN2O*kgtoGg,"ERROR"))</f>
        <v>0.23914977762419984</v>
      </c>
      <c r="AK1134" s="94">
        <f>IF('Net zero activities &amp; levers'!$C$14="Off",'Activity data'!BD64*ManureNEF*NtoN2O*kgtoGg,IF('Net zero activities &amp; levers'!$C$14="On",'Net zero Activity data'!BD64*ManureNEF*NtoN2O*kgtoGg,"ERROR"))</f>
        <v>0.24398161276357982</v>
      </c>
      <c r="AL1134" s="94">
        <f>IF('Net zero activities &amp; levers'!$C$14="Off",'Activity data'!BE64*ManureNEF*NtoN2O*kgtoGg,IF('Net zero activities &amp; levers'!$C$14="On",'Net zero Activity data'!BE64*ManureNEF*NtoN2O*kgtoGg,"ERROR"))</f>
        <v>0.24905154645514979</v>
      </c>
      <c r="AM1134" s="94">
        <f>IF('Net zero activities &amp; levers'!$C$14="Off",'Activity data'!BF64*ManureNEF*NtoN2O*kgtoGg,IF('Net zero activities &amp; levers'!$C$14="On",'Net zero Activity data'!BF64*ManureNEF*NtoN2O*kgtoGg,"ERROR"))</f>
        <v>0.25418530178524701</v>
      </c>
      <c r="AN1134" s="94">
        <f>IF('Net zero activities &amp; levers'!$C$14="Off",'Activity data'!BG64*ManureNEF*NtoN2O*kgtoGg,IF('Net zero activities &amp; levers'!$C$14="On",'Net zero Activity data'!BG64*ManureNEF*NtoN2O*kgtoGg,"ERROR"))</f>
        <v>0.25983124395687562</v>
      </c>
      <c r="AO1134" s="94">
        <f>IF('Net zero activities &amp; levers'!$C$14="Off",'Activity data'!BH64*ManureNEF*NtoN2O*kgtoGg,IF('Net zero activities &amp; levers'!$C$14="On",'Net zero Activity data'!BH64*ManureNEF*NtoN2O*kgtoGg,"ERROR"))</f>
        <v>0.26532627660152752</v>
      </c>
      <c r="AP1134" s="94">
        <f>IF('Net zero activities &amp; levers'!$C$14="Off",'Activity data'!BI64*ManureNEF*NtoN2O*kgtoGg,IF('Net zero activities &amp; levers'!$C$14="On",'Net zero Activity data'!BI64*ManureNEF*NtoN2O*kgtoGg,"ERROR"))</f>
        <v>0.27093697485535539</v>
      </c>
      <c r="AQ1134" s="94">
        <f>IF('Net zero activities &amp; levers'!$C$14="Off",'Activity data'!BJ64*ManureNEF*NtoN2O*kgtoGg,IF('Net zero activities &amp; levers'!$C$14="On",'Net zero Activity data'!BJ64*ManureNEF*NtoN2O*kgtoGg,"ERROR"))</f>
        <v>0.27673510691469561</v>
      </c>
      <c r="AR1134" s="94">
        <f>IF('Net zero activities &amp; levers'!$C$14="Off",'Activity data'!BK64*ManureNEF*NtoN2O*kgtoGg,IF('Net zero activities &amp; levers'!$C$14="On",'Net zero Activity data'!BK64*ManureNEF*NtoN2O*kgtoGg,"ERROR"))</f>
        <v>0.28275020857350047</v>
      </c>
      <c r="AS1134" s="94">
        <f>IF('Net zero activities &amp; levers'!$C$14="Off",'Activity data'!BL64*ManureNEF*NtoN2O*kgtoGg,IF('Net zero activities &amp; levers'!$C$14="On",'Net zero Activity data'!BL64*ManureNEF*NtoN2O*kgtoGg,"ERROR"))</f>
        <v>0.28941803313014858</v>
      </c>
      <c r="AT1134" s="94">
        <f>IF('Net zero activities &amp; levers'!$C$14="Off",'Activity data'!BM64*ManureNEF*NtoN2O*kgtoGg,IF('Net zero activities &amp; levers'!$C$14="On",'Net zero Activity data'!BM64*ManureNEF*NtoN2O*kgtoGg,"ERROR"))</f>
        <v>0.29430967875904612</v>
      </c>
      <c r="AU1134" s="94">
        <f>IF('Net zero activities &amp; levers'!$C$14="Off",'Activity data'!BN64*ManureNEF*NtoN2O*kgtoGg,IF('Net zero activities &amp; levers'!$C$14="On",'Net zero Activity data'!BN64*ManureNEF*NtoN2O*kgtoGg,"ERROR"))</f>
        <v>0.29911626555567689</v>
      </c>
      <c r="AV1134" s="94">
        <f>IF('Net zero activities &amp; levers'!$C$14="Off",'Activity data'!BO64*ManureNEF*NtoN2O*kgtoGg,IF('Net zero activities &amp; levers'!$C$14="On",'Net zero Activity data'!BO64*ManureNEF*NtoN2O*kgtoGg,"ERROR"))</f>
        <v>0.30403482357185191</v>
      </c>
      <c r="AW1134" s="94">
        <f>IF('Net zero activities &amp; levers'!$C$14="Off",'Activity data'!BP64*ManureNEF*NtoN2O*kgtoGg,IF('Net zero activities &amp; levers'!$C$14="On",'Net zero Activity data'!BP64*ManureNEF*NtoN2O*kgtoGg,"ERROR"))</f>
        <v>0.30898254148510845</v>
      </c>
      <c r="AY1134" s="79"/>
    </row>
    <row r="1135" spans="1:51" x14ac:dyDescent="0.2">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0.78620275218739033</v>
      </c>
      <c r="L1135" s="94">
        <f>IF('Net zero activities &amp; levers'!$C$14="Off",'Activity data'!AE65*ManureNEF*NtoN2O*kgtoGg,IF('Net zero activities &amp; levers'!$C$14="On",'Net zero Activity data'!AE65*ManureNEF*NtoN2O*kgtoGg,"ERROR"))</f>
        <v>0.7965556372017637</v>
      </c>
      <c r="M1135" s="94">
        <f>IF('Net zero activities &amp; levers'!$C$14="Off",'Activity data'!AF65*ManureNEF*NtoN2O*kgtoGg,IF('Net zero activities &amp; levers'!$C$14="On",'Net zero Activity data'!AF65*ManureNEF*NtoN2O*kgtoGg,"ERROR"))</f>
        <v>0.8131853402467214</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0.79997057217510736</v>
      </c>
      <c r="R1135" s="94">
        <f>IF('Net zero activities &amp; levers'!$C$14="Off",'Activity data'!AK65*ManureNEF*NtoN2O*kgtoGg,IF('Net zero activities &amp; levers'!$C$14="On",'Net zero Activity data'!AK65*ManureNEF*NtoN2O*kgtoGg,"ERROR"))</f>
        <v>0.79652072541357799</v>
      </c>
      <c r="S1135" s="94">
        <f>IF('Net zero activities &amp; levers'!$C$14="Off",'Activity data'!AL65*ManureNEF*NtoN2O*kgtoGg,IF('Net zero activities &amp; levers'!$C$14="On",'Net zero Activity data'!AL65*ManureNEF*NtoN2O*kgtoGg,"ERROR"))</f>
        <v>0.68093953459407419</v>
      </c>
      <c r="T1135" s="94">
        <f>IF('Net zero activities &amp; levers'!$C$14="Off",'Activity data'!AM65*ManureNEF*NtoN2O*kgtoGg,IF('Net zero activities &amp; levers'!$C$14="On",'Net zero Activity data'!AM65*ManureNEF*NtoN2O*kgtoGg,"ERROR"))</f>
        <v>0.71095217743742134</v>
      </c>
      <c r="U1135" s="94">
        <f>IF('Net zero activities &amp; levers'!$C$14="Off",'Activity data'!AN65*ManureNEF*NtoN2O*kgtoGg,IF('Net zero activities &amp; levers'!$C$14="On",'Net zero Activity data'!AN65*ManureNEF*NtoN2O*kgtoGg,"ERROR"))</f>
        <v>0.73163451860770856</v>
      </c>
      <c r="V1135" s="94">
        <f>IF('Net zero activities &amp; levers'!$C$14="Off",'Activity data'!AO65*ManureNEF*NtoN2O*kgtoGg,IF('Net zero activities &amp; levers'!$C$14="On",'Net zero Activity data'!AO65*ManureNEF*NtoN2O*kgtoGg,"ERROR"))</f>
        <v>0.74998966017271962</v>
      </c>
      <c r="W1135" s="94">
        <f>IF('Net zero activities &amp; levers'!$C$14="Off",'Activity data'!AP65*ManureNEF*NtoN2O*kgtoGg,IF('Net zero activities &amp; levers'!$C$14="On",'Net zero Activity data'!AP65*ManureNEF*NtoN2O*kgtoGg,"ERROR"))</f>
        <v>0.77258910732812447</v>
      </c>
      <c r="X1135" s="94">
        <f>IF('Net zero activities &amp; levers'!$C$14="Off",'Activity data'!AQ65*ManureNEF*NtoN2O*kgtoGg,IF('Net zero activities &amp; levers'!$C$14="On",'Net zero Activity data'!AQ65*ManureNEF*NtoN2O*kgtoGg,"ERROR"))</f>
        <v>0.79310210321227914</v>
      </c>
      <c r="Y1135" s="94">
        <f>IF('Net zero activities &amp; levers'!$C$14="Off",'Activity data'!AR65*ManureNEF*NtoN2O*kgtoGg,IF('Net zero activities &amp; levers'!$C$14="On",'Net zero Activity data'!AR65*ManureNEF*NtoN2O*kgtoGg,"ERROR"))</f>
        <v>0.81120771116014501</v>
      </c>
      <c r="Z1135" s="94">
        <f>IF('Net zero activities &amp; levers'!$C$14="Off",'Activity data'!AS65*ManureNEF*NtoN2O*kgtoGg,IF('Net zero activities &amp; levers'!$C$14="On",'Net zero Activity data'!AS65*ManureNEF*NtoN2O*kgtoGg,"ERROR"))</f>
        <v>0.82802988036578451</v>
      </c>
      <c r="AA1135" s="94">
        <f>IF('Net zero activities &amp; levers'!$C$14="Off",'Activity data'!AT65*ManureNEF*NtoN2O*kgtoGg,IF('Net zero activities &amp; levers'!$C$14="On",'Net zero Activity data'!AT65*ManureNEF*NtoN2O*kgtoGg,"ERROR"))</f>
        <v>0.84300341806804124</v>
      </c>
      <c r="AB1135" s="94">
        <f>IF('Net zero activities &amp; levers'!$C$14="Off",'Activity data'!AU65*ManureNEF*NtoN2O*kgtoGg,IF('Net zero activities &amp; levers'!$C$14="On",'Net zero Activity data'!AU65*ManureNEF*NtoN2O*kgtoGg,"ERROR"))</f>
        <v>0.86494223642860679</v>
      </c>
      <c r="AC1135" s="94">
        <f>IF('Net zero activities &amp; levers'!$C$14="Off",'Activity data'!AV65*ManureNEF*NtoN2O*kgtoGg,IF('Net zero activities &amp; levers'!$C$14="On",'Net zero Activity data'!AV65*ManureNEF*NtoN2O*kgtoGg,"ERROR"))</f>
        <v>0.88622290534488479</v>
      </c>
      <c r="AD1135" s="94">
        <f>IF('Net zero activities &amp; levers'!$C$14="Off",'Activity data'!AW65*ManureNEF*NtoN2O*kgtoGg,IF('Net zero activities &amp; levers'!$C$14="On",'Net zero Activity data'!AW65*ManureNEF*NtoN2O*kgtoGg,"ERROR"))</f>
        <v>0.91112086440699802</v>
      </c>
      <c r="AE1135" s="94">
        <f>IF('Net zero activities &amp; levers'!$C$14="Off",'Activity data'!AX65*ManureNEF*NtoN2O*kgtoGg,IF('Net zero activities &amp; levers'!$C$14="On",'Net zero Activity data'!AX65*ManureNEF*NtoN2O*kgtoGg,"ERROR"))</f>
        <v>0.94284673608655079</v>
      </c>
      <c r="AF1135" s="94">
        <f>IF('Net zero activities &amp; levers'!$C$14="Off",'Activity data'!AY65*ManureNEF*NtoN2O*kgtoGg,IF('Net zero activities &amp; levers'!$C$14="On",'Net zero Activity data'!AY65*ManureNEF*NtoN2O*kgtoGg,"ERROR"))</f>
        <v>0.97785291166286403</v>
      </c>
      <c r="AG1135" s="94">
        <f>IF('Net zero activities &amp; levers'!$C$14="Off",'Activity data'!AZ65*ManureNEF*NtoN2O*kgtoGg,IF('Net zero activities &amp; levers'!$C$14="On",'Net zero Activity data'!AZ65*ManureNEF*NtoN2O*kgtoGg,"ERROR"))</f>
        <v>1.0202297421822766</v>
      </c>
      <c r="AH1135" s="94">
        <f>IF('Net zero activities &amp; levers'!$C$14="Off",'Activity data'!BA65*ManureNEF*NtoN2O*kgtoGg,IF('Net zero activities &amp; levers'!$C$14="On",'Net zero Activity data'!BA65*ManureNEF*NtoN2O*kgtoGg,"ERROR"))</f>
        <v>1.0513780855146408</v>
      </c>
      <c r="AI1135" s="94">
        <f>IF('Net zero activities &amp; levers'!$C$14="Off",'Activity data'!BB65*ManureNEF*NtoN2O*kgtoGg,IF('Net zero activities &amp; levers'!$C$14="On",'Net zero Activity data'!BB65*ManureNEF*NtoN2O*kgtoGg,"ERROR"))</f>
        <v>1.0817366322153388</v>
      </c>
      <c r="AJ1135" s="94">
        <f>IF('Net zero activities &amp; levers'!$C$14="Off",'Activity data'!BC65*ManureNEF*NtoN2O*kgtoGg,IF('Net zero activities &amp; levers'!$C$14="On",'Net zero Activity data'!BC65*ManureNEF*NtoN2O*kgtoGg,"ERROR"))</f>
        <v>1.1158458345440128</v>
      </c>
      <c r="AK1135" s="94">
        <f>IF('Net zero activities &amp; levers'!$C$14="Off",'Activity data'!BD65*ManureNEF*NtoN2O*kgtoGg,IF('Net zero activities &amp; levers'!$C$14="On",'Net zero Activity data'!BD65*ManureNEF*NtoN2O*kgtoGg,"ERROR"))</f>
        <v>1.1484374065317347</v>
      </c>
      <c r="AL1135" s="94">
        <f>IF('Net zero activities &amp; levers'!$C$14="Off",'Activity data'!BE65*ManureNEF*NtoN2O*kgtoGg,IF('Net zero activities &amp; levers'!$C$14="On",'Net zero Activity data'!BE65*ManureNEF*NtoN2O*kgtoGg,"ERROR"))</f>
        <v>1.1831076882134564</v>
      </c>
      <c r="AM1135" s="94">
        <f>IF('Net zero activities &amp; levers'!$C$14="Off",'Activity data'!BF65*ManureNEF*NtoN2O*kgtoGg,IF('Net zero activities &amp; levers'!$C$14="On",'Net zero Activity data'!BF65*ManureNEF*NtoN2O*kgtoGg,"ERROR"))</f>
        <v>1.2180177066709783</v>
      </c>
      <c r="AN1135" s="94">
        <f>IF('Net zero activities &amp; levers'!$C$14="Off",'Activity data'!BG65*ManureNEF*NtoN2O*kgtoGg,IF('Net zero activities &amp; levers'!$C$14="On",'Net zero Activity data'!BG65*ManureNEF*NtoN2O*kgtoGg,"ERROR"))</f>
        <v>1.2594503323832682</v>
      </c>
      <c r="AO1135" s="94">
        <f>IF('Net zero activities &amp; levers'!$C$14="Off",'Activity data'!BH65*ManureNEF*NtoN2O*kgtoGg,IF('Net zero activities &amp; levers'!$C$14="On",'Net zero Activity data'!BH65*ManureNEF*NtoN2O*kgtoGg,"ERROR"))</f>
        <v>1.298872537028497</v>
      </c>
      <c r="AP1135" s="94">
        <f>IF('Net zero activities &amp; levers'!$C$14="Off",'Activity data'!BI65*ManureNEF*NtoN2O*kgtoGg,IF('Net zero activities &amp; levers'!$C$14="On",'Net zero Activity data'!BI65*ManureNEF*NtoN2O*kgtoGg,"ERROR"))</f>
        <v>1.3390342962428967</v>
      </c>
      <c r="AQ1135" s="94">
        <f>IF('Net zero activities &amp; levers'!$C$14="Off",'Activity data'!BJ65*ManureNEF*NtoN2O*kgtoGg,IF('Net zero activities &amp; levers'!$C$14="On",'Net zero Activity data'!BJ65*ManureNEF*NtoN2O*kgtoGg,"ERROR"))</f>
        <v>1.3806522745115721</v>
      </c>
      <c r="AR1135" s="94">
        <f>IF('Net zero activities &amp; levers'!$C$14="Off",'Activity data'!BK65*ManureNEF*NtoN2O*kgtoGg,IF('Net zero activities &amp; levers'!$C$14="On",'Net zero Activity data'!BK65*ManureNEF*NtoN2O*kgtoGg,"ERROR"))</f>
        <v>1.4240025047133247</v>
      </c>
      <c r="AS1135" s="94">
        <f>IF('Net zero activities &amp; levers'!$C$14="Off",'Activity data'!BL65*ManureNEF*NtoN2O*kgtoGg,IF('Net zero activities &amp; levers'!$C$14="On",'Net zero Activity data'!BL65*ManureNEF*NtoN2O*kgtoGg,"ERROR"))</f>
        <v>1.4750856789053959</v>
      </c>
      <c r="AT1135" s="94">
        <f>IF('Net zero activities &amp; levers'!$C$14="Off",'Activity data'!BM65*ManureNEF*NtoN2O*kgtoGg,IF('Net zero activities &amp; levers'!$C$14="On",'Net zero Activity data'!BM65*ManureNEF*NtoN2O*kgtoGg,"ERROR"))</f>
        <v>1.5079842325146011</v>
      </c>
      <c r="AU1135" s="94">
        <f>IF('Net zero activities &amp; levers'!$C$14="Off",'Activity data'!BN65*ManureNEF*NtoN2O*kgtoGg,IF('Net zero activities &amp; levers'!$C$14="On",'Net zero Activity data'!BN65*ManureNEF*NtoN2O*kgtoGg,"ERROR"))</f>
        <v>1.5397226946349756</v>
      </c>
      <c r="AV1135" s="94">
        <f>IF('Net zero activities &amp; levers'!$C$14="Off",'Activity data'!BO65*ManureNEF*NtoN2O*kgtoGg,IF('Net zero activities &amp; levers'!$C$14="On",'Net zero Activity data'!BO65*ManureNEF*NtoN2O*kgtoGg,"ERROR"))</f>
        <v>1.5722599858562425</v>
      </c>
      <c r="AW1135" s="94">
        <f>IF('Net zero activities &amp; levers'!$C$14="Off",'Activity data'!BP65*ManureNEF*NtoN2O*kgtoGg,IF('Net zero activities &amp; levers'!$C$14="On",'Net zero Activity data'!BP65*ManureNEF*NtoN2O*kgtoGg,"ERROR"))</f>
        <v>1.6047748091186307</v>
      </c>
      <c r="AY1135" s="79"/>
    </row>
    <row r="1136" spans="1:51" x14ac:dyDescent="0.2">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2">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1.0836040032789309</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1.1012937605673541</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1.1114672588381171</v>
      </c>
      <c r="S1137" s="94">
        <f>IF('Net zero activities &amp; levers'!$C$14="Off",'Activity data'!AL67*UDCPPEF*NtoN2O*kgtoGg,IF('Net zero activities &amp; levers'!$C$14="On",'Net zero Activity data'!AL67*UDCPPEF*NtoN2O*kgtoGg,"ERROR"))</f>
        <v>1.0810406006779549</v>
      </c>
      <c r="T1137" s="94">
        <f>IF('Net zero activities &amp; levers'!$C$14="Off",'Activity data'!AM67*UDCPPEF*NtoN2O*kgtoGg,IF('Net zero activities &amp; levers'!$C$14="On",'Net zero Activity data'!AM67*UDCPPEF*NtoN2O*kgtoGg,"ERROR"))</f>
        <v>1.0934641088719885</v>
      </c>
      <c r="U1137" s="94">
        <f>IF('Net zero activities &amp; levers'!$C$14="Off",'Activity data'!AN67*UDCPPEF*NtoN2O*kgtoGg,IF('Net zero activities &amp; levers'!$C$14="On",'Net zero Activity data'!AN67*UDCPPEF*NtoN2O*kgtoGg,"ERROR"))</f>
        <v>1.1031992381450169</v>
      </c>
      <c r="V1137" s="94">
        <f>IF('Net zero activities &amp; levers'!$C$14="Off",'Activity data'!AO67*UDCPPEF*NtoN2O*kgtoGg,IF('Net zero activities &amp; levers'!$C$14="On",'Net zero Activity data'!AO67*UDCPPEF*NtoN2O*kgtoGg,"ERROR"))</f>
        <v>1.1124222034300566</v>
      </c>
      <c r="W1137" s="94">
        <f>IF('Net zero activities &amp; levers'!$C$14="Off",'Activity data'!AP67*UDCPPEF*NtoN2O*kgtoGg,IF('Net zero activities &amp; levers'!$C$14="On",'Net zero Activity data'!AP67*UDCPPEF*NtoN2O*kgtoGg,"ERROR"))</f>
        <v>1.123204750861388</v>
      </c>
      <c r="X1137" s="94">
        <f>IF('Net zero activities &amp; levers'!$C$14="Off",'Activity data'!AQ67*UDCPPEF*NtoN2O*kgtoGg,IF('Net zero activities &amp; levers'!$C$14="On",'Net zero Activity data'!AQ67*UDCPPEF*NtoN2O*kgtoGg,"ERROR"))</f>
        <v>1.1335309064238068</v>
      </c>
      <c r="Y1137" s="94">
        <f>IF('Net zero activities &amp; levers'!$C$14="Off",'Activity data'!AR67*UDCPPEF*NtoN2O*kgtoGg,IF('Net zero activities &amp; levers'!$C$14="On",'Net zero Activity data'!AR67*UDCPPEF*NtoN2O*kgtoGg,"ERROR"))</f>
        <v>1.1421913822066523</v>
      </c>
      <c r="Z1137" s="94">
        <f>IF('Net zero activities &amp; levers'!$C$14="Off",'Activity data'!AS67*UDCPPEF*NtoN2O*kgtoGg,IF('Net zero activities &amp; levers'!$C$14="On",'Net zero Activity data'!AS67*UDCPPEF*NtoN2O*kgtoGg,"ERROR"))</f>
        <v>1.1506113165744176</v>
      </c>
      <c r="AA1137" s="94">
        <f>IF('Net zero activities &amp; levers'!$C$14="Off",'Activity data'!AT67*UDCPPEF*NtoN2O*kgtoGg,IF('Net zero activities &amp; levers'!$C$14="On",'Net zero Activity data'!AT67*UDCPPEF*NtoN2O*kgtoGg,"ERROR"))</f>
        <v>1.1585977369609775</v>
      </c>
      <c r="AB1137" s="94">
        <f>IF('Net zero activities &amp; levers'!$C$14="Off",'Activity data'!AU67*UDCPPEF*NtoN2O*kgtoGg,IF('Net zero activities &amp; levers'!$C$14="On",'Net zero Activity data'!AU67*UDCPPEF*NtoN2O*kgtoGg,"ERROR"))</f>
        <v>1.1689866502425044</v>
      </c>
      <c r="AC1137" s="94">
        <f>IF('Net zero activities &amp; levers'!$C$14="Off",'Activity data'!AV67*UDCPPEF*NtoN2O*kgtoGg,IF('Net zero activities &amp; levers'!$C$14="On",'Net zero Activity data'!AV67*UDCPPEF*NtoN2O*kgtoGg,"ERROR"))</f>
        <v>1.179322142127879</v>
      </c>
      <c r="AD1137" s="94">
        <f>IF('Net zero activities &amp; levers'!$C$14="Off",'Activity data'!AW67*UDCPPEF*NtoN2O*kgtoGg,IF('Net zero activities &amp; levers'!$C$14="On",'Net zero Activity data'!AW67*UDCPPEF*NtoN2O*kgtoGg,"ERROR"))</f>
        <v>1.1901050491082561</v>
      </c>
      <c r="AE1137" s="94">
        <f>IF('Net zero activities &amp; levers'!$C$14="Off",'Activity data'!AX67*UDCPPEF*NtoN2O*kgtoGg,IF('Net zero activities &amp; levers'!$C$14="On",'Net zero Activity data'!AX67*UDCPPEF*NtoN2O*kgtoGg,"ERROR"))</f>
        <v>1.2032599534885204</v>
      </c>
      <c r="AF1137" s="94">
        <f>IF('Net zero activities &amp; levers'!$C$14="Off",'Activity data'!AY67*UDCPPEF*NtoN2O*kgtoGg,IF('Net zero activities &amp; levers'!$C$14="On",'Net zero Activity data'!AY67*UDCPPEF*NtoN2O*kgtoGg,"ERROR"))</f>
        <v>1.2176412709045177</v>
      </c>
      <c r="AG1137" s="94">
        <f>IF('Net zero activities &amp; levers'!$C$14="Off",'Activity data'!AZ67*UDCPPEF*NtoN2O*kgtoGg,IF('Net zero activities &amp; levers'!$C$14="On",'Net zero Activity data'!AZ67*UDCPPEF*NtoN2O*kgtoGg,"ERROR"))</f>
        <v>1.2345938865918005</v>
      </c>
      <c r="AH1137" s="94">
        <f>IF('Net zero activities &amp; levers'!$C$14="Off",'Activity data'!BA67*UDCPPEF*NtoN2O*kgtoGg,IF('Net zero activities &amp; levers'!$C$14="On",'Net zero Activity data'!BA67*UDCPPEF*NtoN2O*kgtoGg,"ERROR"))</f>
        <v>1.2480204008779516</v>
      </c>
      <c r="AI1137" s="94">
        <f>IF('Net zero activities &amp; levers'!$C$14="Off",'Activity data'!BB67*UDCPPEF*NtoN2O*kgtoGg,IF('Net zero activities &amp; levers'!$C$14="On",'Net zero Activity data'!BB67*UDCPPEF*NtoN2O*kgtoGg,"ERROR"))</f>
        <v>1.2604934871451285</v>
      </c>
      <c r="AJ1137" s="94">
        <f>IF('Net zero activities &amp; levers'!$C$14="Off",'Activity data'!BC67*UDCPPEF*NtoN2O*kgtoGg,IF('Net zero activities &amp; levers'!$C$14="On",'Net zero Activity data'!BC67*UDCPPEF*NtoN2O*kgtoGg,"ERROR"))</f>
        <v>1.2743340482246315</v>
      </c>
      <c r="AK1137" s="94">
        <f>IF('Net zero activities &amp; levers'!$C$14="Off",'Activity data'!BD67*UDCPPEF*NtoN2O*kgtoGg,IF('Net zero activities &amp; levers'!$C$14="On",'Net zero Activity data'!BD67*UDCPPEF*NtoN2O*kgtoGg,"ERROR"))</f>
        <v>1.2878029781490608</v>
      </c>
      <c r="AL1137" s="94">
        <f>IF('Net zero activities &amp; levers'!$C$14="Off",'Activity data'!BE67*UDCPPEF*NtoN2O*kgtoGg,IF('Net zero activities &amp; levers'!$C$14="On",'Net zero Activity data'!BE67*UDCPPEF*NtoN2O*kgtoGg,"ERROR"))</f>
        <v>1.302087430895273</v>
      </c>
      <c r="AM1137" s="94">
        <f>IF('Net zero activities &amp; levers'!$C$14="Off",'Activity data'!BF67*UDCPPEF*NtoN2O*kgtoGg,IF('Net zero activities &amp; levers'!$C$14="On",'Net zero Activity data'!BF67*UDCPPEF*NtoN2O*kgtoGg,"ERROR"))</f>
        <v>1.3165772246053524</v>
      </c>
      <c r="AN1137" s="94">
        <f>IF('Net zero activities &amp; levers'!$C$14="Off",'Activity data'!BG67*UDCPPEF*NtoN2O*kgtoGg,IF('Net zero activities &amp; levers'!$C$14="On",'Net zero Activity data'!BG67*UDCPPEF*NtoN2O*kgtoGg,"ERROR"))</f>
        <v>1.3325905811769112</v>
      </c>
      <c r="AO1137" s="94">
        <f>IF('Net zero activities &amp; levers'!$C$14="Off",'Activity data'!BH67*UDCPPEF*NtoN2O*kgtoGg,IF('Net zero activities &amp; levers'!$C$14="On",'Net zero Activity data'!BH67*UDCPPEF*NtoN2O*kgtoGg,"ERROR"))</f>
        <v>1.3480569944390275</v>
      </c>
      <c r="AP1137" s="94">
        <f>IF('Net zero activities &amp; levers'!$C$14="Off",'Activity data'!BI67*UDCPPEF*NtoN2O*kgtoGg,IF('Net zero activities &amp; levers'!$C$14="On",'Net zero Activity data'!BI67*UDCPPEF*NtoN2O*kgtoGg,"ERROR"))</f>
        <v>1.3638910811882956</v>
      </c>
      <c r="AQ1137" s="94">
        <f>IF('Net zero activities &amp; levers'!$C$14="Off",'Activity data'!BJ67*UDCPPEF*NtoN2O*kgtoGg,IF('Net zero activities &amp; levers'!$C$14="On",'Net zero Activity data'!BJ67*UDCPPEF*NtoN2O*kgtoGg,"ERROR"))</f>
        <v>1.3803329285303612</v>
      </c>
      <c r="AR1137" s="94">
        <f>IF('Net zero activities &amp; levers'!$C$14="Off",'Activity data'!BK67*UDCPPEF*NtoN2O*kgtoGg,IF('Net zero activities &amp; levers'!$C$14="On",'Net zero Activity data'!BK67*UDCPPEF*NtoN2O*kgtoGg,"ERROR"))</f>
        <v>1.3974765343324473</v>
      </c>
      <c r="AS1137" s="94">
        <f>IF('Net zero activities &amp; levers'!$C$14="Off",'Activity data'!BL67*UDCPPEF*NtoN2O*kgtoGg,IF('Net zero activities &amp; levers'!$C$14="On",'Net zero Activity data'!BL67*UDCPPEF*NtoN2O*kgtoGg,"ERROR"))</f>
        <v>1.4165658117844762</v>
      </c>
      <c r="AT1137" s="94">
        <f>IF('Net zero activities &amp; levers'!$C$14="Off",'Activity data'!BM67*UDCPPEF*NtoN2O*kgtoGg,IF('Net zero activities &amp; levers'!$C$14="On",'Net zero Activity data'!BM67*UDCPPEF*NtoN2O*kgtoGg,"ERROR"))</f>
        <v>1.4296216900778926</v>
      </c>
      <c r="AU1137" s="94">
        <f>IF('Net zero activities &amp; levers'!$C$14="Off",'Activity data'!BN67*UDCPPEF*NtoN2O*kgtoGg,IF('Net zero activities &amp; levers'!$C$14="On",'Net zero Activity data'!BN67*UDCPPEF*NtoN2O*kgtoGg,"ERROR"))</f>
        <v>1.4423773000489271</v>
      </c>
      <c r="AV1137" s="94">
        <f>IF('Net zero activities &amp; levers'!$C$14="Off",'Activity data'!BO67*UDCPPEF*NtoN2O*kgtoGg,IF('Net zero activities &amp; levers'!$C$14="On",'Net zero Activity data'!BO67*UDCPPEF*NtoN2O*kgtoGg,"ERROR"))</f>
        <v>1.4554943578736881</v>
      </c>
      <c r="AW1137" s="94">
        <f>IF('Net zero activities &amp; levers'!$C$14="Off",'Activity data'!BP67*UDCPPEF*NtoN2O*kgtoGg,IF('Net zero activities &amp; levers'!$C$14="On",'Net zero Activity data'!BP67*UDCPPEF*NtoN2O*kgtoGg,"ERROR"))</f>
        <v>1.468692881818767</v>
      </c>
      <c r="AY1137" s="79"/>
    </row>
    <row r="1138" spans="1:51" x14ac:dyDescent="0.2">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0.73794174034663862</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0.74998858609492669</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0.75691680802528427</v>
      </c>
      <c r="S1138" s="94">
        <f>IF('Net zero activities &amp; levers'!$C$14="Off",'Activity data'!AL68*UDCPPEF*NtoN2O*kgtoGg,IF('Net zero activities &amp; levers'!$C$14="On",'Net zero Activity data'!AL68*UDCPPEF*NtoN2O*kgtoGg,"ERROR"))</f>
        <v>0.73619604563634833</v>
      </c>
      <c r="T1138" s="94">
        <f>IF('Net zero activities &amp; levers'!$C$14="Off",'Activity data'!AM68*UDCPPEF*NtoN2O*kgtoGg,IF('Net zero activities &amp; levers'!$C$14="On",'Net zero Activity data'!AM68*UDCPPEF*NtoN2O*kgtoGg,"ERROR"))</f>
        <v>0.74465653971921864</v>
      </c>
      <c r="U1138" s="94">
        <f>IF('Net zero activities &amp; levers'!$C$14="Off",'Activity data'!AN68*UDCPPEF*NtoN2O*kgtoGg,IF('Net zero activities &amp; levers'!$C$14="On",'Net zero Activity data'!AN68*UDCPPEF*NtoN2O*kgtoGg,"ERROR"))</f>
        <v>0.75128622936275991</v>
      </c>
      <c r="V1138" s="94">
        <f>IF('Net zero activities &amp; levers'!$C$14="Off",'Activity data'!AO68*UDCPPEF*NtoN2O*kgtoGg,IF('Net zero activities &amp; levers'!$C$14="On",'Net zero Activity data'!AO68*UDCPPEF*NtoN2O*kgtoGg,"ERROR"))</f>
        <v>0.75756713182620983</v>
      </c>
      <c r="W1138" s="94">
        <f>IF('Net zero activities &amp; levers'!$C$14="Off",'Activity data'!AP68*UDCPPEF*NtoN2O*kgtoGg,IF('Net zero activities &amp; levers'!$C$14="On",'Net zero Activity data'!AP68*UDCPPEF*NtoN2O*kgtoGg,"ERROR"))</f>
        <v>0.76491012040208251</v>
      </c>
      <c r="X1138" s="94">
        <f>IF('Net zero activities &amp; levers'!$C$14="Off",'Activity data'!AQ68*UDCPPEF*NtoN2O*kgtoGg,IF('Net zero activities &amp; levers'!$C$14="On",'Net zero Activity data'!AQ68*UDCPPEF*NtoN2O*kgtoGg,"ERROR"))</f>
        <v>0.77194230299255218</v>
      </c>
      <c r="Y1138" s="94">
        <f>IF('Net zero activities &amp; levers'!$C$14="Off",'Activity data'!AR68*UDCPPEF*NtoN2O*kgtoGg,IF('Net zero activities &amp; levers'!$C$14="On",'Net zero Activity data'!AR68*UDCPPEF*NtoN2O*kgtoGg,"ERROR"))</f>
        <v>0.77784014625640541</v>
      </c>
      <c r="Z1138" s="94">
        <f>IF('Net zero activities &amp; levers'!$C$14="Off",'Activity data'!AS68*UDCPPEF*NtoN2O*kgtoGg,IF('Net zero activities &amp; levers'!$C$14="On",'Net zero Activity data'!AS68*UDCPPEF*NtoN2O*kgtoGg,"ERROR"))</f>
        <v>0.78357417917078342</v>
      </c>
      <c r="AA1138" s="94">
        <f>IF('Net zero activities &amp; levers'!$C$14="Off",'Activity data'!AT68*UDCPPEF*NtoN2O*kgtoGg,IF('Net zero activities &amp; levers'!$C$14="On",'Net zero Activity data'!AT68*UDCPPEF*NtoN2O*kgtoGg,"ERROR"))</f>
        <v>0.78901298609781978</v>
      </c>
      <c r="AB1138" s="94">
        <f>IF('Net zero activities &amp; levers'!$C$14="Off",'Activity data'!AU68*UDCPPEF*NtoN2O*kgtoGg,IF('Net zero activities &amp; levers'!$C$14="On",'Net zero Activity data'!AU68*UDCPPEF*NtoN2O*kgtoGg,"ERROR"))</f>
        <v>0.79608790712439581</v>
      </c>
      <c r="AC1138" s="94">
        <f>IF('Net zero activities &amp; levers'!$C$14="Off",'Activity data'!AV68*UDCPPEF*NtoN2O*kgtoGg,IF('Net zero activities &amp; levers'!$C$14="On",'Net zero Activity data'!AV68*UDCPPEF*NtoN2O*kgtoGg,"ERROR"))</f>
        <v>0.80312644781467857</v>
      </c>
      <c r="AD1138" s="94">
        <f>IF('Net zero activities &amp; levers'!$C$14="Off",'Activity data'!AW68*UDCPPEF*NtoN2O*kgtoGg,IF('Net zero activities &amp; levers'!$C$14="On",'Net zero Activity data'!AW68*UDCPPEF*NtoN2O*kgtoGg,"ERROR"))</f>
        <v>0.81046968124591112</v>
      </c>
      <c r="AE1138" s="94">
        <f>IF('Net zero activities &amp; levers'!$C$14="Off",'Activity data'!AX68*UDCPPEF*NtoN2O*kgtoGg,IF('Net zero activities &amp; levers'!$C$14="On",'Net zero Activity data'!AX68*UDCPPEF*NtoN2O*kgtoGg,"ERROR"))</f>
        <v>0.81942826113588163</v>
      </c>
      <c r="AF1138" s="94">
        <f>IF('Net zero activities &amp; levers'!$C$14="Off",'Activity data'!AY68*UDCPPEF*NtoN2O*kgtoGg,IF('Net zero activities &amp; levers'!$C$14="On",'Net zero Activity data'!AY68*UDCPPEF*NtoN2O*kgtoGg,"ERROR"))</f>
        <v>0.8292220366944113</v>
      </c>
      <c r="AG1138" s="94">
        <f>IF('Net zero activities &amp; levers'!$C$14="Off",'Activity data'!AZ68*UDCPPEF*NtoN2O*kgtoGg,IF('Net zero activities &amp; levers'!$C$14="On",'Net zero Activity data'!AZ68*UDCPPEF*NtoN2O*kgtoGg,"ERROR"))</f>
        <v>0.84076688396873545</v>
      </c>
      <c r="AH1138" s="94">
        <f>IF('Net zero activities &amp; levers'!$C$14="Off",'Activity data'!BA68*UDCPPEF*NtoN2O*kgtoGg,IF('Net zero activities &amp; levers'!$C$14="On",'Net zero Activity data'!BA68*UDCPPEF*NtoN2O*kgtoGg,"ERROR"))</f>
        <v>0.84991043206299322</v>
      </c>
      <c r="AI1138" s="94">
        <f>IF('Net zero activities &amp; levers'!$C$14="Off",'Activity data'!BB68*UDCPPEF*NtoN2O*kgtoGg,IF('Net zero activities &amp; levers'!$C$14="On",'Net zero Activity data'!BB68*UDCPPEF*NtoN2O*kgtoGg,"ERROR"))</f>
        <v>0.85840468915289159</v>
      </c>
      <c r="AJ1138" s="94">
        <f>IF('Net zero activities &amp; levers'!$C$14="Off",'Activity data'!BC68*UDCPPEF*NtoN2O*kgtoGg,IF('Net zero activities &amp; levers'!$C$14="On",'Net zero Activity data'!BC68*UDCPPEF*NtoN2O*kgtoGg,"ERROR"))</f>
        <v>0.86783020594636673</v>
      </c>
      <c r="AK1138" s="94">
        <f>IF('Net zero activities &amp; levers'!$C$14="Off",'Activity data'!BD68*UDCPPEF*NtoN2O*kgtoGg,IF('Net zero activities &amp; levers'!$C$14="On",'Net zero Activity data'!BD68*UDCPPEF*NtoN2O*kgtoGg,"ERROR"))</f>
        <v>0.87700263938050371</v>
      </c>
      <c r="AL1138" s="94">
        <f>IF('Net zero activities &amp; levers'!$C$14="Off",'Activity data'!BE68*UDCPPEF*NtoN2O*kgtoGg,IF('Net zero activities &amp; levers'!$C$14="On",'Net zero Activity data'!BE68*UDCPPEF*NtoN2O*kgtoGg,"ERROR"))</f>
        <v>0.8867304494361532</v>
      </c>
      <c r="AM1138" s="94">
        <f>IF('Net zero activities &amp; levers'!$C$14="Off",'Activity data'!BF68*UDCPPEF*NtoN2O*kgtoGg,IF('Net zero activities &amp; levers'!$C$14="On",'Net zero Activity data'!BF68*UDCPPEF*NtoN2O*kgtoGg,"ERROR"))</f>
        <v>0.89659809809315782</v>
      </c>
      <c r="AN1138" s="94">
        <f>IF('Net zero activities &amp; levers'!$C$14="Off",'Activity data'!BG68*UDCPPEF*NtoN2O*kgtoGg,IF('Net zero activities &amp; levers'!$C$14="On",'Net zero Activity data'!BG68*UDCPPEF*NtoN2O*kgtoGg,"ERROR"))</f>
        <v>0.90750330348317998</v>
      </c>
      <c r="AO1138" s="94">
        <f>IF('Net zero activities &amp; levers'!$C$14="Off",'Activity data'!BH68*UDCPPEF*NtoN2O*kgtoGg,IF('Net zero activities &amp; levers'!$C$14="On",'Net zero Activity data'!BH68*UDCPPEF*NtoN2O*kgtoGg,"ERROR"))</f>
        <v>0.91803603673723821</v>
      </c>
      <c r="AP1138" s="94">
        <f>IF('Net zero activities &amp; levers'!$C$14="Off",'Activity data'!BI68*UDCPPEF*NtoN2O*kgtoGg,IF('Net zero activities &amp; levers'!$C$14="On",'Net zero Activity data'!BI68*UDCPPEF*NtoN2O*kgtoGg,"ERROR"))</f>
        <v>0.92881915815170113</v>
      </c>
      <c r="AQ1138" s="94">
        <f>IF('Net zero activities &amp; levers'!$C$14="Off",'Activity data'!BJ68*UDCPPEF*NtoN2O*kgtoGg,IF('Net zero activities &amp; levers'!$C$14="On",'Net zero Activity data'!BJ68*UDCPPEF*NtoN2O*kgtoGg,"ERROR"))</f>
        <v>0.94001616868821003</v>
      </c>
      <c r="AR1138" s="94">
        <f>IF('Net zero activities &amp; levers'!$C$14="Off",'Activity data'!BK68*UDCPPEF*NtoN2O*kgtoGg,IF('Net zero activities &amp; levers'!$C$14="On",'Net zero Activity data'!BK68*UDCPPEF*NtoN2O*kgtoGg,"ERROR"))</f>
        <v>0.95169108153748594</v>
      </c>
      <c r="AS1138" s="94">
        <f>IF('Net zero activities &amp; levers'!$C$14="Off",'Activity data'!BL68*UDCPPEF*NtoN2O*kgtoGg,IF('Net zero activities &amp; levers'!$C$14="On",'Net zero Activity data'!BL68*UDCPPEF*NtoN2O*kgtoGg,"ERROR"))</f>
        <v>0.9646910100928292</v>
      </c>
      <c r="AT1138" s="94">
        <f>IF('Net zero activities &amp; levers'!$C$14="Off",'Activity data'!BM68*UDCPPEF*NtoN2O*kgtoGg,IF('Net zero activities &amp; levers'!$C$14="On",'Net zero Activity data'!BM68*UDCPPEF*NtoN2O*kgtoGg,"ERROR"))</f>
        <v>0.97358215254011127</v>
      </c>
      <c r="AU1138" s="94">
        <f>IF('Net zero activities &amp; levers'!$C$14="Off",'Activity data'!BN68*UDCPPEF*NtoN2O*kgtoGg,IF('Net zero activities &amp; levers'!$C$14="On",'Net zero Activity data'!BN68*UDCPPEF*NtoN2O*kgtoGg,"ERROR"))</f>
        <v>0.98226881020538814</v>
      </c>
      <c r="AV1138" s="94">
        <f>IF('Net zero activities &amp; levers'!$C$14="Off",'Activity data'!BO68*UDCPPEF*NtoN2O*kgtoGg,IF('Net zero activities &amp; levers'!$C$14="On",'Net zero Activity data'!BO68*UDCPPEF*NtoN2O*kgtoGg,"ERROR"))</f>
        <v>0.99120161633211146</v>
      </c>
      <c r="AW1138" s="94">
        <f>IF('Net zero activities &amp; levers'!$C$14="Off",'Activity data'!BP68*UDCPPEF*NtoN2O*kgtoGg,IF('Net zero activities &amp; levers'!$C$14="On",'Net zero Activity data'!BP68*UDCPPEF*NtoN2O*kgtoGg,"ERROR"))</f>
        <v>1.0001899014441695</v>
      </c>
      <c r="AY1138" s="79"/>
    </row>
    <row r="1139" spans="1:51" x14ac:dyDescent="0.2">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15.353527292296844</v>
      </c>
      <c r="L1139" s="94">
        <f>IF('Net zero activities &amp; levers'!$C$14="Off",'Activity data'!AE69*UDCPPEF*NtoN2O*kgtoGg,IF('Net zero activities &amp; levers'!$C$14="On",'Net zero Activity data'!AE69*UDCPPEF*NtoN2O*kgtoGg,"ERROR"))</f>
        <v>15.220371053361493</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14.673074129931962</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12.169037780121926</v>
      </c>
      <c r="T1139" s="94">
        <f>IF('Net zero activities &amp; levers'!$C$14="Off",'Activity data'!AM69*UDCPPEF*NtoN2O*kgtoGg,IF('Net zero activities &amp; levers'!$C$14="On",'Net zero Activity data'!AM69*UDCPPEF*NtoN2O*kgtoGg,"ERROR"))</f>
        <v>12.401807134203059</v>
      </c>
      <c r="U1139" s="94">
        <f>IF('Net zero activities &amp; levers'!$C$14="Off",'Activity data'!AN69*UDCPPEF*NtoN2O*kgtoGg,IF('Net zero activities &amp; levers'!$C$14="On",'Net zero Activity data'!AN69*UDCPPEF*NtoN2O*kgtoGg,"ERROR"))</f>
        <v>12.526260010284002</v>
      </c>
      <c r="V1139" s="94">
        <f>IF('Net zero activities &amp; levers'!$C$14="Off",'Activity data'!AO69*UDCPPEF*NtoN2O*kgtoGg,IF('Net zero activities &amp; levers'!$C$14="On",'Net zero Activity data'!AO69*UDCPPEF*NtoN2O*kgtoGg,"ERROR"))</f>
        <v>12.622062683352066</v>
      </c>
      <c r="W1139" s="94">
        <f>IF('Net zero activities &amp; levers'!$C$14="Off",'Activity data'!AP69*UDCPPEF*NtoN2O*kgtoGg,IF('Net zero activities &amp; levers'!$C$14="On",'Net zero Activity data'!AP69*UDCPPEF*NtoN2O*kgtoGg,"ERROR"))</f>
        <v>12.760674268300837</v>
      </c>
      <c r="X1139" s="94">
        <f>IF('Net zero activities &amp; levers'!$C$14="Off",'Activity data'!AQ69*UDCPPEF*NtoN2O*kgtoGg,IF('Net zero activities &amp; levers'!$C$14="On",'Net zero Activity data'!AQ69*UDCPPEF*NtoN2O*kgtoGg,"ERROR"))</f>
        <v>12.873164971451276</v>
      </c>
      <c r="Y1139" s="94">
        <f>IF('Net zero activities &amp; levers'!$C$14="Off",'Activity data'!AR69*UDCPPEF*NtoN2O*kgtoGg,IF('Net zero activities &amp; levers'!$C$14="On",'Net zero Activity data'!AR69*UDCPPEF*NtoN2O*kgtoGg,"ERROR"))</f>
        <v>12.945682732607438</v>
      </c>
      <c r="Z1139" s="94">
        <f>IF('Net zero activities &amp; levers'!$C$14="Off",'Activity data'!AS69*UDCPPEF*NtoN2O*kgtoGg,IF('Net zero activities &amp; levers'!$C$14="On",'Net zero Activity data'!AS69*UDCPPEF*NtoN2O*kgtoGg,"ERROR"))</f>
        <v>13.002132383564884</v>
      </c>
      <c r="AA1139" s="94">
        <f>IF('Net zero activities &amp; levers'!$C$14="Off",'Activity data'!AT69*UDCPPEF*NtoN2O*kgtoGg,IF('Net zero activities &amp; levers'!$C$14="On",'Net zero Activity data'!AT69*UDCPPEF*NtoN2O*kgtoGg,"ERROR"))</f>
        <v>13.037118833745307</v>
      </c>
      <c r="AB1139" s="94">
        <f>IF('Net zero activities &amp; levers'!$C$14="Off",'Activity data'!AU69*UDCPPEF*NtoN2O*kgtoGg,IF('Net zero activities &amp; levers'!$C$14="On",'Net zero Activity data'!AU69*UDCPPEF*NtoN2O*kgtoGg,"ERROR"))</f>
        <v>13.140692477306542</v>
      </c>
      <c r="AC1139" s="94">
        <f>IF('Net zero activities &amp; levers'!$C$14="Off",'Activity data'!AV69*UDCPPEF*NtoN2O*kgtoGg,IF('Net zero activities &amp; levers'!$C$14="On",'Net zero Activity data'!AV69*UDCPPEF*NtoN2O*kgtoGg,"ERROR"))</f>
        <v>13.233883747502103</v>
      </c>
      <c r="AD1139" s="94">
        <f>IF('Net zero activities &amp; levers'!$C$14="Off",'Activity data'!AW69*UDCPPEF*NtoN2O*kgtoGg,IF('Net zero activities &amp; levers'!$C$14="On",'Net zero Activity data'!AW69*UDCPPEF*NtoN2O*kgtoGg,"ERROR"))</f>
        <v>13.23869020405356</v>
      </c>
      <c r="AE1139" s="94">
        <f>IF('Net zero activities &amp; levers'!$C$14="Off",'Activity data'!AX69*UDCPPEF*NtoN2O*kgtoGg,IF('Net zero activities &amp; levers'!$C$14="On",'Net zero Activity data'!AX69*UDCPPEF*NtoN2O*kgtoGg,"ERROR"))</f>
        <v>13.301119774765679</v>
      </c>
      <c r="AF1139" s="94">
        <f>IF('Net zero activities &amp; levers'!$C$14="Off",'Activity data'!AY69*UDCPPEF*NtoN2O*kgtoGg,IF('Net zero activities &amp; levers'!$C$14="On",'Net zero Activity data'!AY69*UDCPPEF*NtoN2O*kgtoGg,"ERROR"))</f>
        <v>13.383674683163292</v>
      </c>
      <c r="AG1139" s="94">
        <f>IF('Net zero activities &amp; levers'!$C$14="Off",'Activity data'!AZ69*UDCPPEF*NtoN2O*kgtoGg,IF('Net zero activities &amp; levers'!$C$14="On",'Net zero Activity data'!AZ69*UDCPPEF*NtoN2O*kgtoGg,"ERROR"))</f>
        <v>13.522276087147475</v>
      </c>
      <c r="AH1139" s="94">
        <f>IF('Net zero activities &amp; levers'!$C$14="Off",'Activity data'!BA69*UDCPPEF*NtoN2O*kgtoGg,IF('Net zero activities &amp; levers'!$C$14="On",'Net zero Activity data'!BA69*UDCPPEF*NtoN2O*kgtoGg,"ERROR"))</f>
        <v>13.544412944106279</v>
      </c>
      <c r="AI1139" s="94">
        <f>IF('Net zero activities &amp; levers'!$C$14="Off",'Activity data'!BB69*UDCPPEF*NtoN2O*kgtoGg,IF('Net zero activities &amp; levers'!$C$14="On",'Net zero Activity data'!BB69*UDCPPEF*NtoN2O*kgtoGg,"ERROR"))</f>
        <v>13.542089215214004</v>
      </c>
      <c r="AJ1139" s="94">
        <f>IF('Net zero activities &amp; levers'!$C$14="Off",'Activity data'!BC69*UDCPPEF*NtoN2O*kgtoGg,IF('Net zero activities &amp; levers'!$C$14="On",'Net zero Activity data'!BC69*UDCPPEF*NtoN2O*kgtoGg,"ERROR"))</f>
        <v>13.562424652219031</v>
      </c>
      <c r="AK1139" s="94">
        <f>IF('Net zero activities &amp; levers'!$C$14="Off",'Activity data'!BD69*UDCPPEF*NtoN2O*kgtoGg,IF('Net zero activities &amp; levers'!$C$14="On",'Net zero Activity data'!BD69*UDCPPEF*NtoN2O*kgtoGg,"ERROR"))</f>
        <v>13.558671299619801</v>
      </c>
      <c r="AL1139" s="94">
        <f>IF('Net zero activities &amp; levers'!$C$14="Off",'Activity data'!BE69*UDCPPEF*NtoN2O*kgtoGg,IF('Net zero activities &amp; levers'!$C$14="On",'Net zero Activity data'!BE69*UDCPPEF*NtoN2O*kgtoGg,"ERROR"))</f>
        <v>13.561543071773121</v>
      </c>
      <c r="AM1139" s="94">
        <f>IF('Net zero activities &amp; levers'!$C$14="Off",'Activity data'!BF69*UDCPPEF*NtoN2O*kgtoGg,IF('Net zero activities &amp; levers'!$C$14="On",'Net zero Activity data'!BF69*UDCPPEF*NtoN2O*kgtoGg,"ERROR"))</f>
        <v>13.555025657095664</v>
      </c>
      <c r="AN1139" s="94">
        <f>IF('Net zero activities &amp; levers'!$C$14="Off",'Activity data'!BG69*UDCPPEF*NtoN2O*kgtoGg,IF('Net zero activities &amp; levers'!$C$14="On",'Net zero Activity data'!BG69*UDCPPEF*NtoN2O*kgtoGg,"ERROR"))</f>
        <v>13.65231474834372</v>
      </c>
      <c r="AO1139" s="94">
        <f>IF('Net zero activities &amp; levers'!$C$14="Off",'Activity data'!BH69*UDCPPEF*NtoN2O*kgtoGg,IF('Net zero activities &amp; levers'!$C$14="On",'Net zero Activity data'!BH69*UDCPPEF*NtoN2O*kgtoGg,"ERROR"))</f>
        <v>13.72348724176244</v>
      </c>
      <c r="AP1139" s="94">
        <f>IF('Net zero activities &amp; levers'!$C$14="Off",'Activity data'!BI69*UDCPPEF*NtoN2O*kgtoGg,IF('Net zero activities &amp; levers'!$C$14="On",'Net zero Activity data'!BI69*UDCPPEF*NtoN2O*kgtoGg,"ERROR"))</f>
        <v>13.790553263000465</v>
      </c>
      <c r="AQ1139" s="94">
        <f>IF('Net zero activities &amp; levers'!$C$14="Off",'Activity data'!BJ69*UDCPPEF*NtoN2O*kgtoGg,IF('Net zero activities &amp; levers'!$C$14="On",'Net zero Activity data'!BJ69*UDCPPEF*NtoN2O*kgtoGg,"ERROR"))</f>
        <v>13.858644184626581</v>
      </c>
      <c r="AR1139" s="94">
        <f>IF('Net zero activities &amp; levers'!$C$14="Off",'Activity data'!BK69*UDCPPEF*NtoN2O*kgtoGg,IF('Net zero activities &amp; levers'!$C$14="On",'Net zero Activity data'!BK69*UDCPPEF*NtoN2O*kgtoGg,"ERROR"))</f>
        <v>13.929236621781989</v>
      </c>
      <c r="AS1139" s="94">
        <f>IF('Net zero activities &amp; levers'!$C$14="Off",'Activity data'!BL69*UDCPPEF*NtoN2O*kgtoGg,IF('Net zero activities &amp; levers'!$C$14="On",'Net zero Activity data'!BL69*UDCPPEF*NtoN2O*kgtoGg,"ERROR"))</f>
        <v>14.039863069721484</v>
      </c>
      <c r="AT1139" s="94">
        <f>IF('Net zero activities &amp; levers'!$C$14="Off",'Activity data'!BM69*UDCPPEF*NtoN2O*kgtoGg,IF('Net zero activities &amp; levers'!$C$14="On",'Net zero Activity data'!BM69*UDCPPEF*NtoN2O*kgtoGg,"ERROR"))</f>
        <v>14.008704095961466</v>
      </c>
      <c r="AU1139" s="94">
        <f>IF('Net zero activities &amp; levers'!$C$14="Off",'Activity data'!BN69*UDCPPEF*NtoN2O*kgtoGg,IF('Net zero activities &amp; levers'!$C$14="On",'Net zero Activity data'!BN69*UDCPPEF*NtoN2O*kgtoGg,"ERROR"))</f>
        <v>13.961987215392144</v>
      </c>
      <c r="AV1139" s="94">
        <f>IF('Net zero activities &amp; levers'!$C$14="Off",'Activity data'!BO69*UDCPPEF*NtoN2O*kgtoGg,IF('Net zero activities &amp; levers'!$C$14="On",'Net zero Activity data'!BO69*UDCPPEF*NtoN2O*kgtoGg,"ERROR"))</f>
        <v>13.913601198226885</v>
      </c>
      <c r="AW1139" s="94">
        <f>IF('Net zero activities &amp; levers'!$C$14="Off",'Activity data'!BP69*UDCPPEF*NtoN2O*kgtoGg,IF('Net zero activities &amp; levers'!$C$14="On",'Net zero Activity data'!BP69*UDCPPEF*NtoN2O*kgtoGg,"ERROR"))</f>
        <v>13.857756490863558</v>
      </c>
      <c r="AY1139" s="79"/>
    </row>
    <row r="1140" spans="1:51" x14ac:dyDescent="0.2">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9.6543103644621464</v>
      </c>
      <c r="L1140" s="94">
        <f>IF('Net zero activities &amp; levers'!$C$14="Off",'Activity data'!AE70*UDCPPEF*NtoN2O*kgtoGg,IF('Net zero activities &amp; levers'!$C$14="On",'Net zero Activity data'!AE70*UDCPPEF*NtoN2O*kgtoGg,"ERROR"))</f>
        <v>9.5705816138517683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9.22644086627548</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7.6519007866750153</v>
      </c>
      <c r="T1140" s="94">
        <f>IF('Net zero activities &amp; levers'!$C$14="Off",'Activity data'!AM70*UDCPPEF*NtoN2O*kgtoGg,IF('Net zero activities &amp; levers'!$C$14="On",'Net zero Activity data'!AM70*UDCPPEF*NtoN2O*kgtoGg,"ERROR"))</f>
        <v>7.79826634455969</v>
      </c>
      <c r="U1140" s="94">
        <f>IF('Net zero activities &amp; levers'!$C$14="Off",'Activity data'!AN70*UDCPPEF*NtoN2O*kgtoGg,IF('Net zero activities &amp; levers'!$C$14="On",'Net zero Activity data'!AN70*UDCPPEF*NtoN2O*kgtoGg,"ERROR"))</f>
        <v>7.8765224135763656</v>
      </c>
      <c r="V1140" s="94">
        <f>IF('Net zero activities &amp; levers'!$C$14="Off",'Activity data'!AO70*UDCPPEF*NtoN2O*kgtoGg,IF('Net zero activities &amp; levers'!$C$14="On",'Net zero Activity data'!AO70*UDCPPEF*NtoN2O*kgtoGg,"ERROR"))</f>
        <v>7.9367632117940001</v>
      </c>
      <c r="W1140" s="94">
        <f>IF('Net zero activities &amp; levers'!$C$14="Off",'Activity data'!AP70*UDCPPEF*NtoN2O*kgtoGg,IF('Net zero activities &amp; levers'!$C$14="On",'Net zero Activity data'!AP70*UDCPPEF*NtoN2O*kgtoGg,"ERROR"))</f>
        <v>8.0239222883846164</v>
      </c>
      <c r="X1140" s="94">
        <f>IF('Net zero activities &amp; levers'!$C$14="Off",'Activity data'!AQ70*UDCPPEF*NtoN2O*kgtoGg,IF('Net zero activities &amp; levers'!$C$14="On",'Net zero Activity data'!AQ70*UDCPPEF*NtoN2O*kgtoGg,"ERROR"))</f>
        <v>8.0946565333991707</v>
      </c>
      <c r="Y1140" s="94">
        <f>IF('Net zero activities &amp; levers'!$C$14="Off",'Activity data'!AR70*UDCPPEF*NtoN2O*kgtoGg,IF('Net zero activities &amp; levers'!$C$14="On",'Net zero Activity data'!AR70*UDCPPEF*NtoN2O*kgtoGg,"ERROR"))</f>
        <v>8.1402557601963093</v>
      </c>
      <c r="Z1140" s="94">
        <f>IF('Net zero activities &amp; levers'!$C$14="Off",'Activity data'!AS70*UDCPPEF*NtoN2O*kgtoGg,IF('Net zero activities &amp; levers'!$C$14="On",'Net zero Activity data'!AS70*UDCPPEF*NtoN2O*kgtoGg,"ERROR"))</f>
        <v>8.175751346320169</v>
      </c>
      <c r="AA1140" s="94">
        <f>IF('Net zero activities &amp; levers'!$C$14="Off",'Activity data'!AT70*UDCPPEF*NtoN2O*kgtoGg,IF('Net zero activities &amp; levers'!$C$14="On",'Net zero Activity data'!AT70*UDCPPEF*NtoN2O*kgtoGg,"ERROR"))</f>
        <v>8.1977508544567819</v>
      </c>
      <c r="AB1140" s="94">
        <f>IF('Net zero activities &amp; levers'!$C$14="Off",'Activity data'!AU70*UDCPPEF*NtoN2O*kgtoGg,IF('Net zero activities &amp; levers'!$C$14="On",'Net zero Activity data'!AU70*UDCPPEF*NtoN2O*kgtoGg,"ERROR"))</f>
        <v>8.2628780451981587</v>
      </c>
      <c r="AC1140" s="94">
        <f>IF('Net zero activities &amp; levers'!$C$14="Off",'Activity data'!AV70*UDCPPEF*NtoN2O*kgtoGg,IF('Net zero activities &amp; levers'!$C$14="On",'Net zero Activity data'!AV70*UDCPPEF*NtoN2O*kgtoGg,"ERROR"))</f>
        <v>8.3214767911799861</v>
      </c>
      <c r="AD1140" s="94">
        <f>IF('Net zero activities &amp; levers'!$C$14="Off",'Activity data'!AW70*UDCPPEF*NtoN2O*kgtoGg,IF('Net zero activities &amp; levers'!$C$14="On",'Net zero Activity data'!AW70*UDCPPEF*NtoN2O*kgtoGg,"ERROR"))</f>
        <v>8.3244990949423538</v>
      </c>
      <c r="AE1140" s="94">
        <f>IF('Net zero activities &amp; levers'!$C$14="Off",'Activity data'!AX70*UDCPPEF*NtoN2O*kgtoGg,IF('Net zero activities &amp; levers'!$C$14="On",'Net zero Activity data'!AX70*UDCPPEF*NtoN2O*kgtoGg,"ERROR"))</f>
        <v>8.3637548594387177</v>
      </c>
      <c r="AF1140" s="94">
        <f>IF('Net zero activities &amp; levers'!$C$14="Off",'Activity data'!AY70*UDCPPEF*NtoN2O*kgtoGg,IF('Net zero activities &amp; levers'!$C$14="On",'Net zero Activity data'!AY70*UDCPPEF*NtoN2O*kgtoGg,"ERROR"))</f>
        <v>8.4156654525296073</v>
      </c>
      <c r="AG1140" s="94">
        <f>IF('Net zero activities &amp; levers'!$C$14="Off",'Activity data'!AZ70*UDCPPEF*NtoN2O*kgtoGg,IF('Net zero activities &amp; levers'!$C$14="On",'Net zero Activity data'!AZ70*UDCPPEF*NtoN2O*kgtoGg,"ERROR"))</f>
        <v>8.5028181273214702</v>
      </c>
      <c r="AH1140" s="94">
        <f>IF('Net zero activities &amp; levers'!$C$14="Off",'Activity data'!BA70*UDCPPEF*NtoN2O*kgtoGg,IF('Net zero activities &amp; levers'!$C$14="On",'Net zero Activity data'!BA70*UDCPPEF*NtoN2O*kgtoGg,"ERROR"))</f>
        <v>8.5167378008600192</v>
      </c>
      <c r="AI1140" s="94">
        <f>IF('Net zero activities &amp; levers'!$C$14="Off",'Activity data'!BB70*UDCPPEF*NtoN2O*kgtoGg,IF('Net zero activities &amp; levers'!$C$14="On",'Net zero Activity data'!BB70*UDCPPEF*NtoN2O*kgtoGg,"ERROR"))</f>
        <v>8.515276638255374</v>
      </c>
      <c r="AJ1140" s="94">
        <f>IF('Net zero activities &amp; levers'!$C$14="Off",'Activity data'!BC70*UDCPPEF*NtoN2O*kgtoGg,IF('Net zero activities &amp; levers'!$C$14="On",'Net zero Activity data'!BC70*UDCPPEF*NtoN2O*kgtoGg,"ERROR"))</f>
        <v>8.5280635774717464</v>
      </c>
      <c r="AK1140" s="94">
        <f>IF('Net zero activities &amp; levers'!$C$14="Off",'Activity data'!BD70*UDCPPEF*NtoN2O*kgtoGg,IF('Net zero activities &amp; levers'!$C$14="On",'Net zero Activity data'!BD70*UDCPPEF*NtoN2O*kgtoGg,"ERROR"))</f>
        <v>8.5257034663252735</v>
      </c>
      <c r="AL1140" s="94">
        <f>IF('Net zero activities &amp; levers'!$C$14="Off",'Activity data'!BE70*UDCPPEF*NtoN2O*kgtoGg,IF('Net zero activities &amp; levers'!$C$14="On",'Net zero Activity data'!BE70*UDCPPEF*NtoN2O*kgtoGg,"ERROR"))</f>
        <v>8.5275092389751901</v>
      </c>
      <c r="AM1140" s="94">
        <f>IF('Net zero activities &amp; levers'!$C$14="Off",'Activity data'!BF70*UDCPPEF*NtoN2O*kgtoGg,IF('Net zero activities &amp; levers'!$C$14="On",'Net zero Activity data'!BF70*UDCPPEF*NtoN2O*kgtoGg,"ERROR"))</f>
        <v>8.5234110833610295</v>
      </c>
      <c r="AN1140" s="94">
        <f>IF('Net zero activities &amp; levers'!$C$14="Off",'Activity data'!BG70*UDCPPEF*NtoN2O*kgtoGg,IF('Net zero activities &amp; levers'!$C$14="On",'Net zero Activity data'!BG70*UDCPPEF*NtoN2O*kgtoGg,"ERROR"))</f>
        <v>8.5845865425310173</v>
      </c>
      <c r="AO1140" s="94">
        <f>IF('Net zero activities &amp; levers'!$C$14="Off",'Activity data'!BH70*UDCPPEF*NtoN2O*kgtoGg,IF('Net zero activities &amp; levers'!$C$14="On",'Net zero Activity data'!BH70*UDCPPEF*NtoN2O*kgtoGg,"ERROR"))</f>
        <v>8.6293398638881058</v>
      </c>
      <c r="AP1140" s="94">
        <f>IF('Net zero activities &amp; levers'!$C$14="Off",'Activity data'!BI70*UDCPPEF*NtoN2O*kgtoGg,IF('Net zero activities &amp; levers'!$C$14="On",'Net zero Activity data'!BI70*UDCPPEF*NtoN2O*kgtoGg,"ERROR"))</f>
        <v>8.6715110322206357</v>
      </c>
      <c r="AQ1140" s="94">
        <f>IF('Net zero activities &amp; levers'!$C$14="Off",'Activity data'!BJ70*UDCPPEF*NtoN2O*kgtoGg,IF('Net zero activities &amp; levers'!$C$14="On",'Net zero Activity data'!BJ70*UDCPPEF*NtoN2O*kgtoGg,"ERROR"))</f>
        <v>8.7143266587451382</v>
      </c>
      <c r="AR1140" s="94">
        <f>IF('Net zero activities &amp; levers'!$C$14="Off",'Activity data'!BK70*UDCPPEF*NtoN2O*kgtoGg,IF('Net zero activities &amp; levers'!$C$14="On",'Net zero Activity data'!BK70*UDCPPEF*NtoN2O*kgtoGg,"ERROR"))</f>
        <v>8.7587152402552686</v>
      </c>
      <c r="AS1140" s="94">
        <f>IF('Net zero activities &amp; levers'!$C$14="Off",'Activity data'!BL70*UDCPPEF*NtoN2O*kgtoGg,IF('Net zero activities &amp; levers'!$C$14="On",'Net zero Activity data'!BL70*UDCPPEF*NtoN2O*kgtoGg,"ERROR"))</f>
        <v>8.8282772400871714</v>
      </c>
      <c r="AT1140" s="94">
        <f>IF('Net zero activities &amp; levers'!$C$14="Off",'Activity data'!BM70*UDCPPEF*NtoN2O*kgtoGg,IF('Net zero activities &amp; levers'!$C$14="On",'Net zero Activity data'!BM70*UDCPPEF*NtoN2O*kgtoGg,"ERROR"))</f>
        <v>8.8086844522156653</v>
      </c>
      <c r="AU1140" s="94">
        <f>IF('Net zero activities &amp; levers'!$C$14="Off",'Activity data'!BN70*UDCPPEF*NtoN2O*kgtoGg,IF('Net zero activities &amp; levers'!$C$14="On",'Net zero Activity data'!BN70*UDCPPEF*NtoN2O*kgtoGg,"ERROR"))</f>
        <v>8.7793088399743002</v>
      </c>
      <c r="AV1140" s="94">
        <f>IF('Net zero activities &amp; levers'!$C$14="Off",'Activity data'!BO70*UDCPPEF*NtoN2O*kgtoGg,IF('Net zero activities &amp; levers'!$C$14="On",'Net zero Activity data'!BO70*UDCPPEF*NtoN2O*kgtoGg,"ERROR"))</f>
        <v>8.7488836732930295</v>
      </c>
      <c r="AW1140" s="94">
        <f>IF('Net zero activities &amp; levers'!$C$14="Off",'Activity data'!BP70*UDCPPEF*NtoN2O*kgtoGg,IF('Net zero activities &amp; levers'!$C$14="On",'Net zero Activity data'!BP70*UDCPPEF*NtoN2O*kgtoGg,"ERROR"))</f>
        <v>8.7137684761898431</v>
      </c>
      <c r="AY1140" s="79"/>
    </row>
    <row r="1141" spans="1:51" x14ac:dyDescent="0.2">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2">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5.9177410166742819</v>
      </c>
      <c r="T1142" s="94">
        <f>IF('Net zero activities &amp; levers'!$C$14="Off",'Activity data'!AM72*UDSOEF*NtoN2O*kgtoGg,IF('Net zero activities &amp; levers'!$C$14="On",'Net zero Activity data'!AM72*UDSOEF*NtoN2O*kgtoGg,"ERROR"))</f>
        <v>5.9267532558831455</v>
      </c>
      <c r="U1142" s="94">
        <f>IF('Net zero activities &amp; levers'!$C$14="Off",'Activity data'!AN72*UDSOEF*NtoN2O*kgtoGg,IF('Net zero activities &amp; levers'!$C$14="On",'Net zero Activity data'!AN72*UDSOEF*NtoN2O*kgtoGg,"ERROR"))</f>
        <v>5.9369392429781076</v>
      </c>
      <c r="V1142" s="94">
        <f>IF('Net zero activities &amp; levers'!$C$14="Off",'Activity data'!AO72*UDSOEF*NtoN2O*kgtoGg,IF('Net zero activities &amp; levers'!$C$14="On",'Net zero Activity data'!AO72*UDSOEF*NtoN2O*kgtoGg,"ERROR"))</f>
        <v>5.9484299369724756</v>
      </c>
      <c r="W1142" s="94">
        <f>IF('Net zero activities &amp; levers'!$C$14="Off",'Activity data'!AP72*UDSOEF*NtoN2O*kgtoGg,IF('Net zero activities &amp; levers'!$C$14="On",'Net zero Activity data'!AP72*UDSOEF*NtoN2O*kgtoGg,"ERROR"))</f>
        <v>5.9613561230675689</v>
      </c>
      <c r="X1142" s="94">
        <f>IF('Net zero activities &amp; levers'!$C$14="Off",'Activity data'!AQ72*UDSOEF*NtoN2O*kgtoGg,IF('Net zero activities &amp; levers'!$C$14="On",'Net zero Activity data'!AQ72*UDSOEF*NtoN2O*kgtoGg,"ERROR"))</f>
        <v>5.9754482628979506</v>
      </c>
      <c r="Y1142" s="94">
        <f>IF('Net zero activities &amp; levers'!$C$14="Off",'Activity data'!AR72*UDSOEF*NtoN2O*kgtoGg,IF('Net zero activities &amp; levers'!$C$14="On",'Net zero Activity data'!AR72*UDSOEF*NtoN2O*kgtoGg,"ERROR"))</f>
        <v>5.9840189867940028</v>
      </c>
      <c r="Z1142" s="94">
        <f>IF('Net zero activities &amp; levers'!$C$14="Off",'Activity data'!AS72*UDSOEF*NtoN2O*kgtoGg,IF('Net zero activities &amp; levers'!$C$14="On",'Net zero Activity data'!AS72*UDSOEF*NtoN2O*kgtoGg,"ERROR"))</f>
        <v>5.9935919924924663</v>
      </c>
      <c r="AA1142" s="94">
        <f>IF('Net zero activities &amp; levers'!$C$14="Off",'Activity data'!AT72*UDSOEF*NtoN2O*kgtoGg,IF('Net zero activities &amp; levers'!$C$14="On",'Net zero Activity data'!AT72*UDSOEF*NtoN2O*kgtoGg,"ERROR"))</f>
        <v>6.0040970561873648</v>
      </c>
      <c r="AB1142" s="94">
        <f>IF('Net zero activities &amp; levers'!$C$14="Off",'Activity data'!AU72*UDSOEF*NtoN2O*kgtoGg,IF('Net zero activities &amp; levers'!$C$14="On",'Net zero Activity data'!AU72*UDSOEF*NtoN2O*kgtoGg,"ERROR"))</f>
        <v>6.015772019922915</v>
      </c>
      <c r="AC1142" s="94">
        <f>IF('Net zero activities &amp; levers'!$C$14="Off",'Activity data'!AV72*UDSOEF*NtoN2O*kgtoGg,IF('Net zero activities &amp; levers'!$C$14="On",'Net zero Activity data'!AV72*UDSOEF*NtoN2O*kgtoGg,"ERROR"))</f>
        <v>6.0283300293613564</v>
      </c>
      <c r="AD1142" s="94">
        <f>IF('Net zero activities &amp; levers'!$C$14="Off",'Activity data'!AW72*UDSOEF*NtoN2O*kgtoGg,IF('Net zero activities &amp; levers'!$C$14="On",'Net zero Activity data'!AW72*UDSOEF*NtoN2O*kgtoGg,"ERROR"))</f>
        <v>6.0365358206617943</v>
      </c>
      <c r="AE1142" s="94">
        <f>IF('Net zero activities &amp; levers'!$C$14="Off",'Activity data'!AX72*UDSOEF*NtoN2O*kgtoGg,IF('Net zero activities &amp; levers'!$C$14="On",'Net zero Activity data'!AX72*UDSOEF*NtoN2O*kgtoGg,"ERROR"))</f>
        <v>6.0457468580703022</v>
      </c>
      <c r="AF1142" s="94">
        <f>IF('Net zero activities &amp; levers'!$C$14="Off",'Activity data'!AY72*UDSOEF*NtoN2O*kgtoGg,IF('Net zero activities &amp; levers'!$C$14="On",'Net zero Activity data'!AY72*UDSOEF*NtoN2O*kgtoGg,"ERROR"))</f>
        <v>6.0558159935957239</v>
      </c>
      <c r="AG1142" s="94">
        <f>IF('Net zero activities &amp; levers'!$C$14="Off",'Activity data'!AZ72*UDSOEF*NtoN2O*kgtoGg,IF('Net zero activities &amp; levers'!$C$14="On",'Net zero Activity data'!AZ72*UDSOEF*NtoN2O*kgtoGg,"ERROR"))</f>
        <v>6.0668477974371191</v>
      </c>
      <c r="AH1142" s="94">
        <f>IF('Net zero activities &amp; levers'!$C$14="Off",'Activity data'!BA72*UDSOEF*NtoN2O*kgtoGg,IF('Net zero activities &amp; levers'!$C$14="On",'Net zero Activity data'!BA72*UDSOEF*NtoN2O*kgtoGg,"ERROR"))</f>
        <v>6.0782061128825768</v>
      </c>
      <c r="AI1142" s="94">
        <f>IF('Net zero activities &amp; levers'!$C$14="Off",'Activity data'!BB72*UDSOEF*NtoN2O*kgtoGg,IF('Net zero activities &amp; levers'!$C$14="On",'Net zero Activity data'!BB72*UDSOEF*NtoN2O*kgtoGg,"ERROR"))</f>
        <v>6.0851673422995747</v>
      </c>
      <c r="AJ1142" s="94">
        <f>IF('Net zero activities &amp; levers'!$C$14="Off",'Activity data'!BC72*UDSOEF*NtoN2O*kgtoGg,IF('Net zero activities &amp; levers'!$C$14="On",'Net zero Activity data'!BC72*UDSOEF*NtoN2O*kgtoGg,"ERROR"))</f>
        <v>6.0928574061867389</v>
      </c>
      <c r="AK1142" s="94">
        <f>IF('Net zero activities &amp; levers'!$C$14="Off",'Activity data'!BD72*UDSOEF*NtoN2O*kgtoGg,IF('Net zero activities &amp; levers'!$C$14="On",'Net zero Activity data'!BD72*UDSOEF*NtoN2O*kgtoGg,"ERROR"))</f>
        <v>6.1010802783379781</v>
      </c>
      <c r="AL1142" s="94">
        <f>IF('Net zero activities &amp; levers'!$C$14="Off",'Activity data'!BE72*UDSOEF*NtoN2O*kgtoGg,IF('Net zero activities &amp; levers'!$C$14="On",'Net zero Activity data'!BE72*UDSOEF*NtoN2O*kgtoGg,"ERROR"))</f>
        <v>6.1099337878320572</v>
      </c>
      <c r="AM1142" s="94">
        <f>IF('Net zero activities &amp; levers'!$C$14="Off",'Activity data'!BF72*UDSOEF*NtoN2O*kgtoGg,IF('Net zero activities &amp; levers'!$C$14="On",'Net zero Activity data'!BF72*UDSOEF*NtoN2O*kgtoGg,"ERROR"))</f>
        <v>6.1193379299301505</v>
      </c>
      <c r="AN1142" s="94">
        <f>IF('Net zero activities &amp; levers'!$C$14="Off",'Activity data'!BG72*UDSOEF*NtoN2O*kgtoGg,IF('Net zero activities &amp; levers'!$C$14="On",'Net zero Activity data'!BG72*UDSOEF*NtoN2O*kgtoGg,"ERROR"))</f>
        <v>6.1247915653472518</v>
      </c>
      <c r="AO1142" s="94">
        <f>IF('Net zero activities &amp; levers'!$C$14="Off",'Activity data'!BH72*UDSOEF*NtoN2O*kgtoGg,IF('Net zero activities &amp; levers'!$C$14="On",'Net zero Activity data'!BH72*UDSOEF*NtoN2O*kgtoGg,"ERROR"))</f>
        <v>6.1306576553625556</v>
      </c>
      <c r="AP1142" s="94">
        <f>IF('Net zero activities &amp; levers'!$C$14="Off",'Activity data'!BI72*UDSOEF*NtoN2O*kgtoGg,IF('Net zero activities &amp; levers'!$C$14="On",'Net zero Activity data'!BI72*UDSOEF*NtoN2O*kgtoGg,"ERROR"))</f>
        <v>6.1370111691436762</v>
      </c>
      <c r="AQ1142" s="94">
        <f>IF('Net zero activities &amp; levers'!$C$14="Off",'Activity data'!BJ72*UDSOEF*NtoN2O*kgtoGg,IF('Net zero activities &amp; levers'!$C$14="On",'Net zero Activity data'!BJ72*UDSOEF*NtoN2O*kgtoGg,"ERROR"))</f>
        <v>6.1438608776263539</v>
      </c>
      <c r="AR1142" s="94">
        <f>IF('Net zero activities &amp; levers'!$C$14="Off",'Activity data'!BK72*UDSOEF*NtoN2O*kgtoGg,IF('Net zero activities &amp; levers'!$C$14="On",'Net zero Activity data'!BK72*UDSOEF*NtoN2O*kgtoGg,"ERROR"))</f>
        <v>6.1512019925053671</v>
      </c>
      <c r="AS1142" s="94">
        <f>IF('Net zero activities &amp; levers'!$C$14="Off",'Activity data'!BL72*UDSOEF*NtoN2O*kgtoGg,IF('Net zero activities &amp; levers'!$C$14="On",'Net zero Activity data'!BL72*UDSOEF*NtoN2O*kgtoGg,"ERROR"))</f>
        <v>6.1544845731259219</v>
      </c>
      <c r="AT1142" s="94">
        <f>IF('Net zero activities &amp; levers'!$C$14="Off",'Activity data'!BM72*UDSOEF*NtoN2O*kgtoGg,IF('Net zero activities &amp; levers'!$C$14="On",'Net zero Activity data'!BM72*UDSOEF*NtoN2O*kgtoGg,"ERROR"))</f>
        <v>6.1575398722372316</v>
      </c>
      <c r="AU1142" s="94">
        <f>IF('Net zero activities &amp; levers'!$C$14="Off",'Activity data'!BN72*UDSOEF*NtoN2O*kgtoGg,IF('Net zero activities &amp; levers'!$C$14="On",'Net zero Activity data'!BN72*UDSOEF*NtoN2O*kgtoGg,"ERROR"))</f>
        <v>6.1609269818317118</v>
      </c>
      <c r="AV1142" s="94">
        <f>IF('Net zero activities &amp; levers'!$C$14="Off",'Activity data'!BO72*UDSOEF*NtoN2O*kgtoGg,IF('Net zero activities &amp; levers'!$C$14="On",'Net zero Activity data'!BO72*UDSOEF*NtoN2O*kgtoGg,"ERROR"))</f>
        <v>6.1647001939833732</v>
      </c>
      <c r="AW1142" s="94">
        <f>IF('Net zero activities &amp; levers'!$C$14="Off",'Activity data'!BP72*UDSOEF*NtoN2O*kgtoGg,IF('Net zero activities &amp; levers'!$C$14="On",'Net zero Activity data'!BP72*UDSOEF*NtoN2O*kgtoGg,"ERROR"))</f>
        <v>6.1688206661186156</v>
      </c>
      <c r="AY1142" s="79"/>
    </row>
    <row r="1143" spans="1:51" x14ac:dyDescent="0.2">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0.66059463009348052</v>
      </c>
      <c r="T1143" s="94">
        <f>IF('Net zero activities &amp; levers'!$C$14="Off",'Activity data'!AM73*UDSOEF*NtoN2O*kgtoGg,IF('Net zero activities &amp; levers'!$C$14="On",'Net zero Activity data'!AM73*UDSOEF*NtoN2O*kgtoGg,"ERROR"))</f>
        <v>0.66160066209280566</v>
      </c>
      <c r="U1143" s="94">
        <f>IF('Net zero activities &amp; levers'!$C$14="Off",'Activity data'!AN73*UDSOEF*NtoN2O*kgtoGg,IF('Net zero activities &amp; levers'!$C$14="On",'Net zero Activity data'!AN73*UDSOEF*NtoN2O*kgtoGg,"ERROR"))</f>
        <v>0.66273771901337264</v>
      </c>
      <c r="V1143" s="94">
        <f>IF('Net zero activities &amp; levers'!$C$14="Off",'Activity data'!AO73*UDSOEF*NtoN2O*kgtoGg,IF('Net zero activities &amp; levers'!$C$14="On",'Net zero Activity data'!AO73*UDSOEF*NtoN2O*kgtoGg,"ERROR"))</f>
        <v>0.66402041974788251</v>
      </c>
      <c r="W1143" s="94">
        <f>IF('Net zero activities &amp; levers'!$C$14="Off",'Activity data'!AP73*UDSOEF*NtoN2O*kgtoGg,IF('Net zero activities &amp; levers'!$C$14="On",'Net zero Activity data'!AP73*UDSOEF*NtoN2O*kgtoGg,"ERROR"))</f>
        <v>0.66546336378648574</v>
      </c>
      <c r="X1143" s="94">
        <f>IF('Net zero activities &amp; levers'!$C$14="Off",'Activity data'!AQ73*UDSOEF*NtoN2O*kgtoGg,IF('Net zero activities &amp; levers'!$C$14="On",'Net zero Activity data'!AQ73*UDSOEF*NtoN2O*kgtoGg,"ERROR"))</f>
        <v>0.66703646268896311</v>
      </c>
      <c r="Y1143" s="94">
        <f>IF('Net zero activities &amp; levers'!$C$14="Off",'Activity data'!AR73*UDSOEF*NtoN2O*kgtoGg,IF('Net zero activities &amp; levers'!$C$14="On",'Net zero Activity data'!AR73*UDSOEF*NtoN2O*kgtoGg,"ERROR"))</f>
        <v>0.66799320854279376</v>
      </c>
      <c r="Z1143" s="94">
        <f>IF('Net zero activities &amp; levers'!$C$14="Off",'Activity data'!AS73*UDSOEF*NtoN2O*kgtoGg,IF('Net zero activities &amp; levers'!$C$14="On",'Net zero Activity data'!AS73*UDSOEF*NtoN2O*kgtoGg,"ERROR"))</f>
        <v>0.66906183864006219</v>
      </c>
      <c r="AA1143" s="94">
        <f>IF('Net zero activities &amp; levers'!$C$14="Off",'Activity data'!AT73*UDSOEF*NtoN2O*kgtoGg,IF('Net zero activities &amp; levers'!$C$14="On",'Net zero Activity data'!AT73*UDSOEF*NtoN2O*kgtoGg,"ERROR"))</f>
        <v>0.67023451393053002</v>
      </c>
      <c r="AB1143" s="94">
        <f>IF('Net zero activities &amp; levers'!$C$14="Off",'Activity data'!AU73*UDSOEF*NtoN2O*kgtoGg,IF('Net zero activities &amp; levers'!$C$14="On",'Net zero Activity data'!AU73*UDSOEF*NtoN2O*kgtoGg,"ERROR"))</f>
        <v>0.67153778460907243</v>
      </c>
      <c r="AC1143" s="94">
        <f>IF('Net zero activities &amp; levers'!$C$14="Off",'Activity data'!AV73*UDSOEF*NtoN2O*kgtoGg,IF('Net zero activities &amp; levers'!$C$14="On",'Net zero Activity data'!AV73*UDSOEF*NtoN2O*kgtoGg,"ERROR"))</f>
        <v>0.67293962926167272</v>
      </c>
      <c r="AD1143" s="94">
        <f>IF('Net zero activities &amp; levers'!$C$14="Off",'Activity data'!AW73*UDSOEF*NtoN2O*kgtoGg,IF('Net zero activities &amp; levers'!$C$14="On",'Net zero Activity data'!AW73*UDSOEF*NtoN2O*kgtoGg,"ERROR"))</f>
        <v>0.67385563786249902</v>
      </c>
      <c r="AE1143" s="94">
        <f>IF('Net zero activities &amp; levers'!$C$14="Off",'Activity data'!AX73*UDSOEF*NtoN2O*kgtoGg,IF('Net zero activities &amp; levers'!$C$14="On",'Net zero Activity data'!AX73*UDSOEF*NtoN2O*kgtoGg,"ERROR"))</f>
        <v>0.67488386161080183</v>
      </c>
      <c r="AF1143" s="94">
        <f>IF('Net zero activities &amp; levers'!$C$14="Off",'Activity data'!AY73*UDSOEF*NtoN2O*kgtoGg,IF('Net zero activities &amp; levers'!$C$14="On",'Net zero Activity data'!AY73*UDSOEF*NtoN2O*kgtoGg,"ERROR"))</f>
        <v>0.67600787444594213</v>
      </c>
      <c r="AG1143" s="94">
        <f>IF('Net zero activities &amp; levers'!$C$14="Off",'Activity data'!AZ73*UDSOEF*NtoN2O*kgtoGg,IF('Net zero activities &amp; levers'!$C$14="On",'Net zero Activity data'!AZ73*UDSOEF*NtoN2O*kgtoGg,"ERROR"))</f>
        <v>0.67723934948976972</v>
      </c>
      <c r="AH1143" s="94">
        <f>IF('Net zero activities &amp; levers'!$C$14="Off",'Activity data'!BA73*UDSOEF*NtoN2O*kgtoGg,IF('Net zero activities &amp; levers'!$C$14="On",'Net zero Activity data'!BA73*UDSOEF*NtoN2O*kgtoGg,"ERROR"))</f>
        <v>0.6785072728694912</v>
      </c>
      <c r="AI1143" s="94">
        <f>IF('Net zero activities &amp; levers'!$C$14="Off",'Activity data'!BB73*UDSOEF*NtoN2O*kgtoGg,IF('Net zero activities &amp; levers'!$C$14="On",'Net zero Activity data'!BB73*UDSOEF*NtoN2O*kgtoGg,"ERROR"))</f>
        <v>0.67928435161605349</v>
      </c>
      <c r="AJ1143" s="94">
        <f>IF('Net zero activities &amp; levers'!$C$14="Off",'Activity data'!BC73*UDSOEF*NtoN2O*kgtoGg,IF('Net zero activities &amp; levers'!$C$14="On",'Net zero Activity data'!BC73*UDSOEF*NtoN2O*kgtoGg,"ERROR"))</f>
        <v>0.68014278980971932</v>
      </c>
      <c r="AK1143" s="94">
        <f>IF('Net zero activities &amp; levers'!$C$14="Off",'Activity data'!BD73*UDSOEF*NtoN2O*kgtoGg,IF('Net zero activities &amp; levers'!$C$14="On",'Net zero Activity data'!BD73*UDSOEF*NtoN2O*kgtoGg,"ERROR"))</f>
        <v>0.68106070513784001</v>
      </c>
      <c r="AL1143" s="94">
        <f>IF('Net zero activities &amp; levers'!$C$14="Off",'Activity data'!BE73*UDSOEF*NtoN2O*kgtoGg,IF('Net zero activities &amp; levers'!$C$14="On",'Net zero Activity data'!BE73*UDSOEF*NtoN2O*kgtoGg,"ERROR"))</f>
        <v>0.68204901821419661</v>
      </c>
      <c r="AM1143" s="94">
        <f>IF('Net zero activities &amp; levers'!$C$14="Off",'Activity data'!BF73*UDSOEF*NtoN2O*kgtoGg,IF('Net zero activities &amp; levers'!$C$14="On",'Net zero Activity data'!BF73*UDSOEF*NtoN2O*kgtoGg,"ERROR"))</f>
        <v>0.68309879814764285</v>
      </c>
      <c r="AN1143" s="94">
        <f>IF('Net zero activities &amp; levers'!$C$14="Off",'Activity data'!BG73*UDSOEF*NtoN2O*kgtoGg,IF('Net zero activities &amp; levers'!$C$14="On",'Net zero Activity data'!BG73*UDSOEF*NtoN2O*kgtoGg,"ERROR"))</f>
        <v>0.68370758488921768</v>
      </c>
      <c r="AO1143" s="94">
        <f>IF('Net zero activities &amp; levers'!$C$14="Off",'Activity data'!BH73*UDSOEF*NtoN2O*kgtoGg,IF('Net zero activities &amp; levers'!$C$14="On",'Net zero Activity data'!BH73*UDSOEF*NtoN2O*kgtoGg,"ERROR"))</f>
        <v>0.68436241374246343</v>
      </c>
      <c r="AP1143" s="94">
        <f>IF('Net zero activities &amp; levers'!$C$14="Off",'Activity data'!BI73*UDSOEF*NtoN2O*kgtoGg,IF('Net zero activities &amp; levers'!$C$14="On",'Net zero Activity data'!BI73*UDSOEF*NtoN2O*kgtoGg,"ERROR"))</f>
        <v>0.68507165348009424</v>
      </c>
      <c r="AQ1143" s="94">
        <f>IF('Net zero activities &amp; levers'!$C$14="Off",'Activity data'!BJ73*UDSOEF*NtoN2O*kgtoGg,IF('Net zero activities &amp; levers'!$C$14="On",'Net zero Activity data'!BJ73*UDSOEF*NtoN2O*kgtoGg,"ERROR"))</f>
        <v>0.68583628319751733</v>
      </c>
      <c r="AR1143" s="94">
        <f>IF('Net zero activities &amp; levers'!$C$14="Off",'Activity data'!BK73*UDSOEF*NtoN2O*kgtoGg,IF('Net zero activities &amp; levers'!$C$14="On",'Net zero Activity data'!BK73*UDSOEF*NtoN2O*kgtoGg,"ERROR"))</f>
        <v>0.68665576837848608</v>
      </c>
      <c r="AS1143" s="94">
        <f>IF('Net zero activities &amp; levers'!$C$14="Off",'Activity data'!BL73*UDSOEF*NtoN2O*kgtoGg,IF('Net zero activities &amp; levers'!$C$14="On",'Net zero Activity data'!BL73*UDSOEF*NtoN2O*kgtoGg,"ERROR"))</f>
        <v>0.68702220130021696</v>
      </c>
      <c r="AT1143" s="94">
        <f>IF('Net zero activities &amp; levers'!$C$14="Off",'Activity data'!BM73*UDSOEF*NtoN2O*kgtoGg,IF('Net zero activities &amp; levers'!$C$14="On",'Net zero Activity data'!BM73*UDSOEF*NtoN2O*kgtoGg,"ERROR"))</f>
        <v>0.68736326289459471</v>
      </c>
      <c r="AU1143" s="94">
        <f>IF('Net zero activities &amp; levers'!$C$14="Off",'Activity data'!BN73*UDSOEF*NtoN2O*kgtoGg,IF('Net zero activities &amp; levers'!$C$14="On",'Net zero Activity data'!BN73*UDSOEF*NtoN2O*kgtoGg,"ERROR"))</f>
        <v>0.6877413643362339</v>
      </c>
      <c r="AV1143" s="94">
        <f>IF('Net zero activities &amp; levers'!$C$14="Off",'Activity data'!BO73*UDSOEF*NtoN2O*kgtoGg,IF('Net zero activities &amp; levers'!$C$14="On",'Net zero Activity data'!BO73*UDSOEF*NtoN2O*kgtoGg,"ERROR"))</f>
        <v>0.68816256622367178</v>
      </c>
      <c r="AW1143" s="94">
        <f>IF('Net zero activities &amp; levers'!$C$14="Off",'Activity data'!BP73*UDSOEF*NtoN2O*kgtoGg,IF('Net zero activities &amp; levers'!$C$14="On",'Net zero Activity data'!BP73*UDSOEF*NtoN2O*kgtoGg,"ERROR"))</f>
        <v>0.68862253257879269</v>
      </c>
      <c r="AY1143" s="79"/>
    </row>
    <row r="1144" spans="1:51" x14ac:dyDescent="0.2">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0.72463138273575967</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0.73708994755228407</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0.74639464232983788</v>
      </c>
      <c r="T1144" s="94">
        <f>IF('Net zero activities &amp; levers'!$C$14="Off",'Activity data'!AM74*UDSOEF*NtoN2O*kgtoGg,IF('Net zero activities &amp; levers'!$C$14="On",'Net zero Activity data'!AM74*UDSOEF*NtoN2O*kgtoGg,"ERROR"))</f>
        <v>0.74856351716878611</v>
      </c>
      <c r="U1144" s="94">
        <f>IF('Net zero activities &amp; levers'!$C$14="Off",'Activity data'!AN74*UDSOEF*NtoN2O*kgtoGg,IF('Net zero activities &amp; levers'!$C$14="On",'Net zero Activity data'!AN74*UDSOEF*NtoN2O*kgtoGg,"ERROR"))</f>
        <v>0.7508946920259173</v>
      </c>
      <c r="V1144" s="94">
        <f>IF('Net zero activities &amp; levers'!$C$14="Off",'Activity data'!AO74*UDSOEF*NtoN2O*kgtoGg,IF('Net zero activities &amp; levers'!$C$14="On",'Net zero Activity data'!AO74*UDSOEF*NtoN2O*kgtoGg,"ERROR"))</f>
        <v>0.75341667510432941</v>
      </c>
      <c r="W1144" s="94">
        <f>IF('Net zero activities &amp; levers'!$C$14="Off",'Activity data'!AP74*UDSOEF*NtoN2O*kgtoGg,IF('Net zero activities &amp; levers'!$C$14="On",'Net zero Activity data'!AP74*UDSOEF*NtoN2O*kgtoGg,"ERROR"))</f>
        <v>0.75615715708667941</v>
      </c>
      <c r="X1144" s="94">
        <f>IF('Net zero activities &amp; levers'!$C$14="Off",'Activity data'!AQ74*UDSOEF*NtoN2O*kgtoGg,IF('Net zero activities &amp; levers'!$C$14="On",'Net zero Activity data'!AQ74*UDSOEF*NtoN2O*kgtoGg,"ERROR"))</f>
        <v>0.75906737547896641</v>
      </c>
      <c r="Y1144" s="94">
        <f>IF('Net zero activities &amp; levers'!$C$14="Off",'Activity data'!AR74*UDSOEF*NtoN2O*kgtoGg,IF('Net zero activities &amp; levers'!$C$14="On",'Net zero Activity data'!AR74*UDSOEF*NtoN2O*kgtoGg,"ERROR"))</f>
        <v>0.76088672130758961</v>
      </c>
      <c r="Z1144" s="94">
        <f>IF('Net zero activities &amp; levers'!$C$14="Off",'Activity data'!AS74*UDSOEF*NtoN2O*kgtoGg,IF('Net zero activities &amp; levers'!$C$14="On",'Net zero Activity data'!AS74*UDSOEF*NtoN2O*kgtoGg,"ERROR"))</f>
        <v>0.76285477171358229</v>
      </c>
      <c r="AA1144" s="94">
        <f>IF('Net zero activities &amp; levers'!$C$14="Off",'Activity data'!AT74*UDSOEF*NtoN2O*kgtoGg,IF('Net zero activities &amp; levers'!$C$14="On",'Net zero Activity data'!AT74*UDSOEF*NtoN2O*kgtoGg,"ERROR"))</f>
        <v>0.76495995173574494</v>
      </c>
      <c r="AB1144" s="94">
        <f>IF('Net zero activities &amp; levers'!$C$14="Off",'Activity data'!AU74*UDSOEF*NtoN2O*kgtoGg,IF('Net zero activities &amp; levers'!$C$14="On",'Net zero Activity data'!AU74*UDSOEF*NtoN2O*kgtoGg,"ERROR"))</f>
        <v>0.76724835481418519</v>
      </c>
      <c r="AC1144" s="94">
        <f>IF('Net zero activities &amp; levers'!$C$14="Off",'Activity data'!AV74*UDSOEF*NtoN2O*kgtoGg,IF('Net zero activities &amp; levers'!$C$14="On",'Net zero Activity data'!AV74*UDSOEF*NtoN2O*kgtoGg,"ERROR"))</f>
        <v>0.76966726525164153</v>
      </c>
      <c r="AD1144" s="94">
        <f>IF('Net zero activities &amp; levers'!$C$14="Off",'Activity data'!AW74*UDSOEF*NtoN2O*kgtoGg,IF('Net zero activities &amp; levers'!$C$14="On",'Net zero Activity data'!AW74*UDSOEF*NtoN2O*kgtoGg,"ERROR"))</f>
        <v>0.77123981630413885</v>
      </c>
      <c r="AE1144" s="94">
        <f>IF('Net zero activities &amp; levers'!$C$14="Off",'Activity data'!AX74*UDSOEF*NtoN2O*kgtoGg,IF('Net zero activities &amp; levers'!$C$14="On",'Net zero Activity data'!AX74*UDSOEF*NtoN2O*kgtoGg,"ERROR"))</f>
        <v>0.7729717745117366</v>
      </c>
      <c r="AF1144" s="94">
        <f>IF('Net zero activities &amp; levers'!$C$14="Off",'Activity data'!AY74*UDSOEF*NtoN2O*kgtoGg,IF('Net zero activities &amp; levers'!$C$14="On",'Net zero Activity data'!AY74*UDSOEF*NtoN2O*kgtoGg,"ERROR"))</f>
        <v>0.77483635735979484</v>
      </c>
      <c r="AG1144" s="94">
        <f>IF('Net zero activities &amp; levers'!$C$14="Off",'Activity data'!AZ74*UDSOEF*NtoN2O*kgtoGg,IF('Net zero activities &amp; levers'!$C$14="On",'Net zero Activity data'!AZ74*UDSOEF*NtoN2O*kgtoGg,"ERROR"))</f>
        <v>0.77685363069924696</v>
      </c>
      <c r="AH1144" s="94">
        <f>IF('Net zero activities &amp; levers'!$C$14="Off",'Activity data'!BA74*UDSOEF*NtoN2O*kgtoGg,IF('Net zero activities &amp; levers'!$C$14="On",'Net zero Activity data'!BA74*UDSOEF*NtoN2O*kgtoGg,"ERROR"))</f>
        <v>0.7789061253482048</v>
      </c>
      <c r="AI1144" s="94">
        <f>IF('Net zero activities &amp; levers'!$C$14="Off",'Activity data'!BB74*UDSOEF*NtoN2O*kgtoGg,IF('Net zero activities &amp; levers'!$C$14="On",'Net zero Activity data'!BB74*UDSOEF*NtoN2O*kgtoGg,"ERROR"))</f>
        <v>0.78012107515728923</v>
      </c>
      <c r="AJ1144" s="94">
        <f>IF('Net zero activities &amp; levers'!$C$14="Off",'Activity data'!BC74*UDSOEF*NtoN2O*kgtoGg,IF('Net zero activities &amp; levers'!$C$14="On",'Net zero Activity data'!BC74*UDSOEF*NtoN2O*kgtoGg,"ERROR"))</f>
        <v>0.78145074369480261</v>
      </c>
      <c r="AK1144" s="94">
        <f>IF('Net zero activities &amp; levers'!$C$14="Off",'Activity data'!BD74*UDSOEF*NtoN2O*kgtoGg,IF('Net zero activities &amp; levers'!$C$14="On",'Net zero Activity data'!BD74*UDSOEF*NtoN2O*kgtoGg,"ERROR"))</f>
        <v>0.7828593435343304</v>
      </c>
      <c r="AL1144" s="94">
        <f>IF('Net zero activities &amp; levers'!$C$14="Off",'Activity data'!BE74*UDSOEF*NtoN2O*kgtoGg,IF('Net zero activities &amp; levers'!$C$14="On",'Net zero Activity data'!BE74*UDSOEF*NtoN2O*kgtoGg,"ERROR"))</f>
        <v>0.78436534735883467</v>
      </c>
      <c r="AM1144" s="94">
        <f>IF('Net zero activities &amp; levers'!$C$14="Off",'Activity data'!BF74*UDSOEF*NtoN2O*kgtoGg,IF('Net zero activities &amp; levers'!$C$14="On",'Net zero Activity data'!BF74*UDSOEF*NtoN2O*kgtoGg,"ERROR"))</f>
        <v>0.78595438278227181</v>
      </c>
      <c r="AN1144" s="94">
        <f>IF('Net zero activities &amp; levers'!$C$14="Off",'Activity data'!BG74*UDSOEF*NtoN2O*kgtoGg,IF('Net zero activities &amp; levers'!$C$14="On",'Net zero Activity data'!BG74*UDSOEF*NtoN2O*kgtoGg,"ERROR"))</f>
        <v>0.78680169998206073</v>
      </c>
      <c r="AO1144" s="94">
        <f>IF('Net zero activities &amp; levers'!$C$14="Off",'Activity data'!BH74*UDSOEF*NtoN2O*kgtoGg,IF('Net zero activities &amp; levers'!$C$14="On",'Net zero Activity data'!BH74*UDSOEF*NtoN2O*kgtoGg,"ERROR"))</f>
        <v>0.78771028208261162</v>
      </c>
      <c r="AP1144" s="94">
        <f>IF('Net zero activities &amp; levers'!$C$14="Off",'Activity data'!BI74*UDSOEF*NtoN2O*kgtoGg,IF('Net zero activities &amp; levers'!$C$14="On",'Net zero Activity data'!BI74*UDSOEF*NtoN2O*kgtoGg,"ERROR"))</f>
        <v>0.78869414542587013</v>
      </c>
      <c r="AQ1144" s="94">
        <f>IF('Net zero activities &amp; levers'!$C$14="Off",'Activity data'!BJ74*UDSOEF*NtoN2O*kgtoGg,IF('Net zero activities &amp; levers'!$C$14="On",'Net zero Activity data'!BJ74*UDSOEF*NtoN2O*kgtoGg,"ERROR"))</f>
        <v>0.78975510213576938</v>
      </c>
      <c r="AR1144" s="94">
        <f>IF('Net zero activities &amp; levers'!$C$14="Off",'Activity data'!BK74*UDSOEF*NtoN2O*kgtoGg,IF('Net zero activities &amp; levers'!$C$14="On",'Net zero Activity data'!BK74*UDSOEF*NtoN2O*kgtoGg,"ERROR"))</f>
        <v>0.79089245177101786</v>
      </c>
      <c r="AS1144" s="94">
        <f>IF('Net zero activities &amp; levers'!$C$14="Off",'Activity data'!BL74*UDSOEF*NtoN2O*kgtoGg,IF('Net zero activities &amp; levers'!$C$14="On",'Net zero Activity data'!BL74*UDSOEF*NtoN2O*kgtoGg,"ERROR"))</f>
        <v>0.79127935129009708</v>
      </c>
      <c r="AT1144" s="94">
        <f>IF('Net zero activities &amp; levers'!$C$14="Off",'Activity data'!BM74*UDSOEF*NtoN2O*kgtoGg,IF('Net zero activities &amp; levers'!$C$14="On",'Net zero Activity data'!BM74*UDSOEF*NtoN2O*kgtoGg,"ERROR"))</f>
        <v>0.7916151974997605</v>
      </c>
      <c r="AU1144" s="94">
        <f>IF('Net zero activities &amp; levers'!$C$14="Off",'Activity data'!BN74*UDSOEF*NtoN2O*kgtoGg,IF('Net zero activities &amp; levers'!$C$14="On",'Net zero Activity data'!BN74*UDSOEF*NtoN2O*kgtoGg,"ERROR"))</f>
        <v>0.79200195212614188</v>
      </c>
      <c r="AV1144" s="94">
        <f>IF('Net zero activities &amp; levers'!$C$14="Off",'Activity data'!BO74*UDSOEF*NtoN2O*kgtoGg,IF('Net zero activities &amp; levers'!$C$14="On",'Net zero Activity data'!BO74*UDSOEF*NtoN2O*kgtoGg,"ERROR"))</f>
        <v>0.79244958629193585</v>
      </c>
      <c r="AW1144" s="94">
        <f>IF('Net zero activities &amp; levers'!$C$14="Off",'Activity data'!BP74*UDSOEF*NtoN2O*kgtoGg,IF('Net zero activities &amp; levers'!$C$14="On",'Net zero Activity data'!BP74*UDSOEF*NtoN2O*kgtoGg,"ERROR"))</f>
        <v>0.79295116872451854</v>
      </c>
      <c r="AY1144" s="79"/>
    </row>
    <row r="1145" spans="1:51" x14ac:dyDescent="0.2">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1.1867254191644501</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1.2198688909683482</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1.2352679718224364</v>
      </c>
      <c r="T1145" s="94">
        <f>IF('Net zero activities &amp; levers'!$C$14="Off",'Activity data'!AM75*UDSOEF*NtoN2O*kgtoGg,IF('Net zero activities &amp; levers'!$C$14="On",'Net zero Activity data'!AM75*UDSOEF*NtoN2O*kgtoGg,"ERROR"))</f>
        <v>1.2388574156253576</v>
      </c>
      <c r="U1145" s="94">
        <f>IF('Net zero activities &amp; levers'!$C$14="Off",'Activity data'!AN75*UDSOEF*NtoN2O*kgtoGg,IF('Net zero activities &amp; levers'!$C$14="On",'Net zero Activity data'!AN75*UDSOEF*NtoN2O*kgtoGg,"ERROR"))</f>
        <v>1.2427154626616324</v>
      </c>
      <c r="V1145" s="94">
        <f>IF('Net zero activities &amp; levers'!$C$14="Off",'Activity data'!AO75*UDSOEF*NtoN2O*kgtoGg,IF('Net zero activities &amp; levers'!$C$14="On",'Net zero Activity data'!AO75*UDSOEF*NtoN2O*kgtoGg,"ERROR"))</f>
        <v>1.2468892934283116</v>
      </c>
      <c r="W1145" s="94">
        <f>IF('Net zero activities &amp; levers'!$C$14="Off",'Activity data'!AP75*UDSOEF*NtoN2O*kgtoGg,IF('Net zero activities &amp; levers'!$C$14="On",'Net zero Activity data'!AP75*UDSOEF*NtoN2O*kgtoGg,"ERROR"))</f>
        <v>1.2514247354427215</v>
      </c>
      <c r="X1145" s="94">
        <f>IF('Net zero activities &amp; levers'!$C$14="Off",'Activity data'!AQ75*UDSOEF*NtoN2O*kgtoGg,IF('Net zero activities &amp; levers'!$C$14="On",'Net zero Activity data'!AQ75*UDSOEF*NtoN2O*kgtoGg,"ERROR"))</f>
        <v>1.2562410877677852</v>
      </c>
      <c r="Y1145" s="94">
        <f>IF('Net zero activities &amp; levers'!$C$14="Off",'Activity data'!AR75*UDSOEF*NtoN2O*kgtoGg,IF('Net zero activities &amp; levers'!$C$14="On",'Net zero Activity data'!AR75*UDSOEF*NtoN2O*kgtoGg,"ERROR"))</f>
        <v>1.2592520681584702</v>
      </c>
      <c r="Z1145" s="94">
        <f>IF('Net zero activities &amp; levers'!$C$14="Off",'Activity data'!AS75*UDSOEF*NtoN2O*kgtoGg,IF('Net zero activities &amp; levers'!$C$14="On",'Net zero Activity data'!AS75*UDSOEF*NtoN2O*kgtoGg,"ERROR"))</f>
        <v>1.2625091516041205</v>
      </c>
      <c r="AA1145" s="94">
        <f>IF('Net zero activities &amp; levers'!$C$14="Off",'Activity data'!AT75*UDSOEF*NtoN2O*kgtoGg,IF('Net zero activities &amp; levers'!$C$14="On",'Net zero Activity data'!AT75*UDSOEF*NtoN2O*kgtoGg,"ERROR"))</f>
        <v>1.2659931817790702</v>
      </c>
      <c r="AB1145" s="94">
        <f>IF('Net zero activities &amp; levers'!$C$14="Off",'Activity data'!AU75*UDSOEF*NtoN2O*kgtoGg,IF('Net zero activities &amp; levers'!$C$14="On",'Net zero Activity data'!AU75*UDSOEF*NtoN2O*kgtoGg,"ERROR"))</f>
        <v>1.2697804423904187</v>
      </c>
      <c r="AC1145" s="94">
        <f>IF('Net zero activities &amp; levers'!$C$14="Off",'Activity data'!AV75*UDSOEF*NtoN2O*kgtoGg,IF('Net zero activities &amp; levers'!$C$14="On",'Net zero Activity data'!AV75*UDSOEF*NtoN2O*kgtoGg,"ERROR"))</f>
        <v>1.2737836900299913</v>
      </c>
      <c r="AD1145" s="94">
        <f>IF('Net zero activities &amp; levers'!$C$14="Off",'Activity data'!AW75*UDSOEF*NtoN2O*kgtoGg,IF('Net zero activities &amp; levers'!$C$14="On",'Net zero Activity data'!AW75*UDSOEF*NtoN2O*kgtoGg,"ERROR"))</f>
        <v>1.2763862300792366</v>
      </c>
      <c r="AE1145" s="94">
        <f>IF('Net zero activities &amp; levers'!$C$14="Off",'Activity data'!AX75*UDSOEF*NtoN2O*kgtoGg,IF('Net zero activities &amp; levers'!$C$14="On",'Net zero Activity data'!AX75*UDSOEF*NtoN2O*kgtoGg,"ERROR"))</f>
        <v>1.2792525857321959</v>
      </c>
      <c r="AF1145" s="94">
        <f>IF('Net zero activities &amp; levers'!$C$14="Off",'Activity data'!AY75*UDSOEF*NtoN2O*kgtoGg,IF('Net zero activities &amp; levers'!$C$14="On",'Net zero Activity data'!AY75*UDSOEF*NtoN2O*kgtoGg,"ERROR"))</f>
        <v>1.2823384324711629</v>
      </c>
      <c r="AG1145" s="94">
        <f>IF('Net zero activities &amp; levers'!$C$14="Off",'Activity data'!AZ75*UDSOEF*NtoN2O*kgtoGg,IF('Net zero activities &amp; levers'!$C$14="On",'Net zero Activity data'!AZ75*UDSOEF*NtoN2O*kgtoGg,"ERROR"))</f>
        <v>1.2856769788718418</v>
      </c>
      <c r="AH1145" s="94">
        <f>IF('Net zero activities &amp; levers'!$C$14="Off",'Activity data'!BA75*UDSOEF*NtoN2O*kgtoGg,IF('Net zero activities &amp; levers'!$C$14="On",'Net zero Activity data'!BA75*UDSOEF*NtoN2O*kgtoGg,"ERROR"))</f>
        <v>1.2890738158243156</v>
      </c>
      <c r="AI1145" s="94">
        <f>IF('Net zero activities &amp; levers'!$C$14="Off",'Activity data'!BB75*UDSOEF*NtoN2O*kgtoGg,IF('Net zero activities &amp; levers'!$C$14="On",'Net zero Activity data'!BB75*UDSOEF*NtoN2O*kgtoGg,"ERROR"))</f>
        <v>1.2910845330795322</v>
      </c>
      <c r="AJ1145" s="94">
        <f>IF('Net zero activities &amp; levers'!$C$14="Off",'Activity data'!BC75*UDSOEF*NtoN2O*kgtoGg,IF('Net zero activities &amp; levers'!$C$14="On",'Net zero Activity data'!BC75*UDSOEF*NtoN2O*kgtoGg,"ERROR"))</f>
        <v>1.2932851075000604</v>
      </c>
      <c r="AK1145" s="94">
        <f>IF('Net zero activities &amp; levers'!$C$14="Off",'Activity data'!BD75*UDSOEF*NtoN2O*kgtoGg,IF('Net zero activities &amp; levers'!$C$14="On",'Net zero Activity data'!BD75*UDSOEF*NtoN2O*kgtoGg,"ERROR"))</f>
        <v>1.2956163116221209</v>
      </c>
      <c r="AL1145" s="94">
        <f>IF('Net zero activities &amp; levers'!$C$14="Off",'Activity data'!BE75*UDSOEF*NtoN2O*kgtoGg,IF('Net zero activities &amp; levers'!$C$14="On",'Net zero Activity data'!BE75*UDSOEF*NtoN2O*kgtoGg,"ERROR"))</f>
        <v>1.2981087173607861</v>
      </c>
      <c r="AM1145" s="94">
        <f>IF('Net zero activities &amp; levers'!$C$14="Off",'Activity data'!BF75*UDSOEF*NtoN2O*kgtoGg,IF('Net zero activities &amp; levers'!$C$14="On",'Net zero Activity data'!BF75*UDSOEF*NtoN2O*kgtoGg,"ERROR"))</f>
        <v>1.3007385387090959</v>
      </c>
      <c r="AN1145" s="94">
        <f>IF('Net zero activities &amp; levers'!$C$14="Off",'Activity data'!BG75*UDSOEF*NtoN2O*kgtoGg,IF('Net zero activities &amp; levers'!$C$14="On",'Net zero Activity data'!BG75*UDSOEF*NtoN2O*kgtoGg,"ERROR"))</f>
        <v>1.3021408314635115</v>
      </c>
      <c r="AO1145" s="94">
        <f>IF('Net zero activities &amp; levers'!$C$14="Off",'Activity data'!BH75*UDSOEF*NtoN2O*kgtoGg,IF('Net zero activities &amp; levers'!$C$14="On",'Net zero Activity data'!BH75*UDSOEF*NtoN2O*kgtoGg,"ERROR"))</f>
        <v>1.303644516384237</v>
      </c>
      <c r="AP1145" s="94">
        <f>IF('Net zero activities &amp; levers'!$C$14="Off",'Activity data'!BI75*UDSOEF*NtoN2O*kgtoGg,IF('Net zero activities &amp; levers'!$C$14="On",'Net zero Activity data'!BI75*UDSOEF*NtoN2O*kgtoGg,"ERROR"))</f>
        <v>1.3052727902324839</v>
      </c>
      <c r="AQ1145" s="94">
        <f>IF('Net zero activities &amp; levers'!$C$14="Off",'Activity data'!BJ75*UDSOEF*NtoN2O*kgtoGg,IF('Net zero activities &amp; levers'!$C$14="On",'Net zero Activity data'!BJ75*UDSOEF*NtoN2O*kgtoGg,"ERROR"))</f>
        <v>1.3070286520365533</v>
      </c>
      <c r="AR1145" s="94">
        <f>IF('Net zero activities &amp; levers'!$C$14="Off",'Activity data'!BK75*UDSOEF*NtoN2O*kgtoGg,IF('Net zero activities &amp; levers'!$C$14="On",'Net zero Activity data'!BK75*UDSOEF*NtoN2O*kgtoGg,"ERROR"))</f>
        <v>1.308910942580334</v>
      </c>
      <c r="AS1145" s="94">
        <f>IF('Net zero activities &amp; levers'!$C$14="Off",'Activity data'!BL75*UDSOEF*NtoN2O*kgtoGg,IF('Net zero activities &amp; levers'!$C$14="On",'Net zero Activity data'!BL75*UDSOEF*NtoN2O*kgtoGg,"ERROR"))</f>
        <v>1.3095512534254661</v>
      </c>
      <c r="AT1145" s="94">
        <f>IF('Net zero activities &amp; levers'!$C$14="Off",'Activity data'!BM75*UDSOEF*NtoN2O*kgtoGg,IF('Net zero activities &amp; levers'!$C$14="On",'Net zero Activity data'!BM75*UDSOEF*NtoN2O*kgtoGg,"ERROR"))</f>
        <v>1.3101070720805417</v>
      </c>
      <c r="AU1145" s="94">
        <f>IF('Net zero activities &amp; levers'!$C$14="Off",'Activity data'!BN75*UDSOEF*NtoN2O*kgtoGg,IF('Net zero activities &amp; levers'!$C$14="On",'Net zero Activity data'!BN75*UDSOEF*NtoN2O*kgtoGg,"ERROR"))</f>
        <v>1.310747143131201</v>
      </c>
      <c r="AV1145" s="94">
        <f>IF('Net zero activities &amp; levers'!$C$14="Off",'Activity data'!BO75*UDSOEF*NtoN2O*kgtoGg,IF('Net zero activities &amp; levers'!$C$14="On",'Net zero Activity data'!BO75*UDSOEF*NtoN2O*kgtoGg,"ERROR"))</f>
        <v>1.3114879685829661</v>
      </c>
      <c r="AW1145" s="94">
        <f>IF('Net zero activities &amp; levers'!$C$14="Off",'Activity data'!BP75*UDSOEF*NtoN2O*kgtoGg,IF('Net zero activities &amp; levers'!$C$14="On",'Net zero Activity data'!BP75*UDSOEF*NtoN2O*kgtoGg,"ERROR"))</f>
        <v>1.312318077320435</v>
      </c>
      <c r="AY1145" s="79"/>
    </row>
    <row r="1146" spans="1:51" x14ac:dyDescent="0.2">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0.19368291106027899</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0.19132863754616405</v>
      </c>
      <c r="S1146" s="94">
        <f>IF('Net zero activities &amp; levers'!$C$14="Off",'Activity data'!AL76*UDSOEF*NtoN2O*kgtoGg,IF('Net zero activities &amp; levers'!$C$14="On",'Net zero Activity data'!AL76*UDSOEF*NtoN2O*kgtoGg,"ERROR"))</f>
        <v>0.18119977029128689</v>
      </c>
      <c r="T1146" s="94">
        <f>IF('Net zero activities &amp; levers'!$C$14="Off",'Activity data'!AM76*UDSOEF*NtoN2O*kgtoGg,IF('Net zero activities &amp; levers'!$C$14="On",'Net zero Activity data'!AM76*UDSOEF*NtoN2O*kgtoGg,"ERROR"))</f>
        <v>0.18372263045933149</v>
      </c>
      <c r="U1146" s="94">
        <f>IF('Net zero activities &amp; levers'!$C$14="Off",'Activity data'!AN76*UDSOEF*NtoN2O*kgtoGg,IF('Net zero activities &amp; levers'!$C$14="On",'Net zero Activity data'!AN76*UDSOEF*NtoN2O*kgtoGg,"ERROR"))</f>
        <v>0.18542569851972082</v>
      </c>
      <c r="V1146" s="94">
        <f>IF('Net zero activities &amp; levers'!$C$14="Off",'Activity data'!AO76*UDSOEF*NtoN2O*kgtoGg,IF('Net zero activities &amp; levers'!$C$14="On",'Net zero Activity data'!AO76*UDSOEF*NtoN2O*kgtoGg,"ERROR"))</f>
        <v>0.18690586811212617</v>
      </c>
      <c r="W1146" s="94">
        <f>IF('Net zero activities &amp; levers'!$C$14="Off",'Activity data'!AP76*UDSOEF*NtoN2O*kgtoGg,IF('Net zero activities &amp; levers'!$C$14="On",'Net zero Activity data'!AP76*UDSOEF*NtoN2O*kgtoGg,"ERROR"))</f>
        <v>0.18871846813186952</v>
      </c>
      <c r="X1146" s="94">
        <f>IF('Net zero activities &amp; levers'!$C$14="Off",'Activity data'!AQ76*UDSOEF*NtoN2O*kgtoGg,IF('Net zero activities &amp; levers'!$C$14="On",'Net zero Activity data'!AQ76*UDSOEF*NtoN2O*kgtoGg,"ERROR"))</f>
        <v>0.19032856308746704</v>
      </c>
      <c r="Y1146" s="94">
        <f>IF('Net zero activities &amp; levers'!$C$14="Off",'Activity data'!AR76*UDSOEF*NtoN2O*kgtoGg,IF('Net zero activities &amp; levers'!$C$14="On",'Net zero Activity data'!AR76*UDSOEF*NtoN2O*kgtoGg,"ERROR"))</f>
        <v>0.19181155412665482</v>
      </c>
      <c r="Z1146" s="94">
        <f>IF('Net zero activities &amp; levers'!$C$14="Off",'Activity data'!AS76*UDSOEF*NtoN2O*kgtoGg,IF('Net zero activities &amp; levers'!$C$14="On",'Net zero Activity data'!AS76*UDSOEF*NtoN2O*kgtoGg,"ERROR"))</f>
        <v>0.19316694252651395</v>
      </c>
      <c r="AA1146" s="94">
        <f>IF('Net zero activities &amp; levers'!$C$14="Off",'Activity data'!AT76*UDSOEF*NtoN2O*kgtoGg,IF('Net zero activities &amp; levers'!$C$14="On",'Net zero Activity data'!AT76*UDSOEF*NtoN2O*kgtoGg,"ERROR"))</f>
        <v>0.19434817692528195</v>
      </c>
      <c r="AB1146" s="94">
        <f>IF('Net zero activities &amp; levers'!$C$14="Off",'Activity data'!AU76*UDSOEF*NtoN2O*kgtoGg,IF('Net zero activities &amp; levers'!$C$14="On",'Net zero Activity data'!AU76*UDSOEF*NtoN2O*kgtoGg,"ERROR"))</f>
        <v>0.19609130445368728</v>
      </c>
      <c r="AC1146" s="94">
        <f>IF('Net zero activities &amp; levers'!$C$14="Off",'Activity data'!AV76*UDSOEF*NtoN2O*kgtoGg,IF('Net zero activities &amp; levers'!$C$14="On",'Net zero Activity data'!AV76*UDSOEF*NtoN2O*kgtoGg,"ERROR"))</f>
        <v>0.19775823400143536</v>
      </c>
      <c r="AD1146" s="94">
        <f>IF('Net zero activities &amp; levers'!$C$14="Off",'Activity data'!AW76*UDSOEF*NtoN2O*kgtoGg,IF('Net zero activities &amp; levers'!$C$14="On",'Net zero Activity data'!AW76*UDSOEF*NtoN2O*kgtoGg,"ERROR"))</f>
        <v>0.19979376823512379</v>
      </c>
      <c r="AE1146" s="94">
        <f>IF('Net zero activities &amp; levers'!$C$14="Off",'Activity data'!AX76*UDSOEF*NtoN2O*kgtoGg,IF('Net zero activities &amp; levers'!$C$14="On",'Net zero Activity data'!AX76*UDSOEF*NtoN2O*kgtoGg,"ERROR"))</f>
        <v>0.2023779928594536</v>
      </c>
      <c r="AF1146" s="94">
        <f>IF('Net zero activities &amp; levers'!$C$14="Off",'Activity data'!AY76*UDSOEF*NtoN2O*kgtoGg,IF('Net zero activities &amp; levers'!$C$14="On",'Net zero Activity data'!AY76*UDSOEF*NtoN2O*kgtoGg,"ERROR"))</f>
        <v>0.20521413875451175</v>
      </c>
      <c r="AG1146" s="94">
        <f>IF('Net zero activities &amp; levers'!$C$14="Off",'Activity data'!AZ76*UDSOEF*NtoN2O*kgtoGg,IF('Net zero activities &amp; levers'!$C$14="On",'Net zero Activity data'!AZ76*UDSOEF*NtoN2O*kgtoGg,"ERROR"))</f>
        <v>0.20863865671050874</v>
      </c>
      <c r="AH1146" s="94">
        <f>IF('Net zero activities &amp; levers'!$C$14="Off",'Activity data'!BA76*UDSOEF*NtoN2O*kgtoGg,IF('Net zero activities &amp; levers'!$C$14="On",'Net zero Activity data'!BA76*UDSOEF*NtoN2O*kgtoGg,"ERROR"))</f>
        <v>0.21111219620408483</v>
      </c>
      <c r="AI1146" s="94">
        <f>IF('Net zero activities &amp; levers'!$C$14="Off",'Activity data'!BB76*UDSOEF*NtoN2O*kgtoGg,IF('Net zero activities &amp; levers'!$C$14="On",'Net zero Activity data'!BB76*UDSOEF*NtoN2O*kgtoGg,"ERROR"))</f>
        <v>0.21359919528074695</v>
      </c>
      <c r="AJ1146" s="94">
        <f>IF('Net zero activities &amp; levers'!$C$14="Off",'Activity data'!BC76*UDSOEF*NtoN2O*kgtoGg,IF('Net zero activities &amp; levers'!$C$14="On",'Net zero Activity data'!BC76*UDSOEF*NtoN2O*kgtoGg,"ERROR"))</f>
        <v>0.21637994777249434</v>
      </c>
      <c r="AK1146" s="94">
        <f>IF('Net zero activities &amp; levers'!$C$14="Off",'Activity data'!BD76*UDSOEF*NtoN2O*kgtoGg,IF('Net zero activities &amp; levers'!$C$14="On",'Net zero Activity data'!BD76*UDSOEF*NtoN2O*kgtoGg,"ERROR"))</f>
        <v>0.21901936705190489</v>
      </c>
      <c r="AL1146" s="94">
        <f>IF('Net zero activities &amp; levers'!$C$14="Off",'Activity data'!BE76*UDSOEF*NtoN2O*kgtoGg,IF('Net zero activities &amp; levers'!$C$14="On",'Net zero Activity data'!BE76*UDSOEF*NtoN2O*kgtoGg,"ERROR"))</f>
        <v>0.22181322909338433</v>
      </c>
      <c r="AM1146" s="94">
        <f>IF('Net zero activities &amp; levers'!$C$14="Off",'Activity data'!BF76*UDSOEF*NtoN2O*kgtoGg,IF('Net zero activities &amp; levers'!$C$14="On",'Net zero Activity data'!BF76*UDSOEF*NtoN2O*kgtoGg,"ERROR"))</f>
        <v>0.22460946011468219</v>
      </c>
      <c r="AN1146" s="94">
        <f>IF('Net zero activities &amp; levers'!$C$14="Off",'Activity data'!BG76*UDSOEF*NtoN2O*kgtoGg,IF('Net zero activities &amp; levers'!$C$14="On",'Net zero Activity data'!BG76*UDSOEF*NtoN2O*kgtoGg,"ERROR"))</f>
        <v>0.22803030127957039</v>
      </c>
      <c r="AO1146" s="94">
        <f>IF('Net zero activities &amp; levers'!$C$14="Off",'Activity data'!BH76*UDSOEF*NtoN2O*kgtoGg,IF('Net zero activities &amp; levers'!$C$14="On",'Net zero Activity data'!BH76*UDSOEF*NtoN2O*kgtoGg,"ERROR"))</f>
        <v>0.23127378160095582</v>
      </c>
      <c r="AP1146" s="94">
        <f>IF('Net zero activities &amp; levers'!$C$14="Off",'Activity data'!BI76*UDSOEF*NtoN2O*kgtoGg,IF('Net zero activities &amp; levers'!$C$14="On",'Net zero Activity data'!BI76*UDSOEF*NtoN2O*kgtoGg,"ERROR"))</f>
        <v>0.23456525375289961</v>
      </c>
      <c r="AQ1146" s="94">
        <f>IF('Net zero activities &amp; levers'!$C$14="Off",'Activity data'!BJ76*UDSOEF*NtoN2O*kgtoGg,IF('Net zero activities &amp; levers'!$C$14="On",'Net zero Activity data'!BJ76*UDSOEF*NtoN2O*kgtoGg,"ERROR"))</f>
        <v>0.23796293573474386</v>
      </c>
      <c r="AR1146" s="94">
        <f>IF('Net zero activities &amp; levers'!$C$14="Off",'Activity data'!BK76*UDSOEF*NtoN2O*kgtoGg,IF('Net zero activities &amp; levers'!$C$14="On",'Net zero Activity data'!BK76*UDSOEF*NtoN2O*kgtoGg,"ERROR"))</f>
        <v>0.24148877503172564</v>
      </c>
      <c r="AS1146" s="94">
        <f>IF('Net zero activities &amp; levers'!$C$14="Off",'Activity data'!BL76*UDSOEF*NtoN2O*kgtoGg,IF('Net zero activities &amp; levers'!$C$14="On",'Net zero Activity data'!BL76*UDSOEF*NtoN2O*kgtoGg,"ERROR"))</f>
        <v>0.24576012405635958</v>
      </c>
      <c r="AT1146" s="94">
        <f>IF('Net zero activities &amp; levers'!$C$14="Off",'Activity data'!BM76*UDSOEF*NtoN2O*kgtoGg,IF('Net zero activities &amp; levers'!$C$14="On",'Net zero Activity data'!BM76*UDSOEF*NtoN2O*kgtoGg,"ERROR"))</f>
        <v>0.24853256796744563</v>
      </c>
      <c r="AU1146" s="94">
        <f>IF('Net zero activities &amp; levers'!$C$14="Off",'Activity data'!BN76*UDSOEF*NtoN2O*kgtoGg,IF('Net zero activities &amp; levers'!$C$14="On",'Net zero Activity data'!BN76*UDSOEF*NtoN2O*kgtoGg,"ERROR"))</f>
        <v>0.25120157665253162</v>
      </c>
      <c r="AV1146" s="94">
        <f>IF('Net zero activities &amp; levers'!$C$14="Off",'Activity data'!BO76*UDSOEF*NtoN2O*kgtoGg,IF('Net zero activities &amp; levers'!$C$14="On",'Net zero Activity data'!BO76*UDSOEF*NtoN2O*kgtoGg,"ERROR"))</f>
        <v>0.25392762754999298</v>
      </c>
      <c r="AW1146" s="94">
        <f>IF('Net zero activities &amp; levers'!$C$14="Off",'Activity data'!BP76*UDSOEF*NtoN2O*kgtoGg,IF('Net zero activities &amp; levers'!$C$14="On",'Net zero Activity data'!BP76*UDSOEF*NtoN2O*kgtoGg,"ERROR"))</f>
        <v>0.25664306300563272</v>
      </c>
      <c r="AY1146" s="79"/>
    </row>
    <row r="1147" spans="1:51" x14ac:dyDescent="0.2">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2">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2">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2">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2">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2">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2">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2">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2">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2">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2">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2">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2">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2">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2">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2">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2">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2">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0.66038869625937391</v>
      </c>
      <c r="U1164" s="94">
        <f>IF('Net zero activities &amp; levers'!$C$14="Off",'Activity data'!AN47*ttokg*FracGASF*MSVolatEF*NtoN2O*kgtoGg,IF('Net zero activities &amp; levers'!$C$14="On",'Net zero Activity data'!AN47*ttokg*FracGASF*MSVolatEF*NtoN2O*kgtoGg,"ERROR"))</f>
        <v>0.66020342469478921</v>
      </c>
      <c r="V1164" s="94">
        <f>IF('Net zero activities &amp; levers'!$C$14="Off",'Activity data'!AO47*ttokg*FracGASF*MSVolatEF*NtoN2O*kgtoGg,IF('Net zero activities &amp; levers'!$C$14="On",'Net zero Activity data'!AO47*ttokg*FracGASF*MSVolatEF*NtoN2O*kgtoGg,"ERROR"))</f>
        <v>0.66005840725031206</v>
      </c>
      <c r="W1164" s="94">
        <f>IF('Net zero activities &amp; levers'!$C$14="Off",'Activity data'!AP47*ttokg*FracGASF*MSVolatEF*NtoN2O*kgtoGg,IF('Net zero activities &amp; levers'!$C$14="On",'Net zero Activity data'!AP47*ttokg*FracGASF*MSVolatEF*NtoN2O*kgtoGg,"ERROR"))</f>
        <v>0.65992416571177226</v>
      </c>
      <c r="X1164" s="94">
        <f>IF('Net zero activities &amp; levers'!$C$14="Off",'Activity data'!AQ47*ttokg*FracGASF*MSVolatEF*NtoN2O*kgtoGg,IF('Net zero activities &amp; levers'!$C$14="On",'Net zero Activity data'!AQ47*ttokg*FracGASF*MSVolatEF*NtoN2O*kgtoGg,"ERROR"))</f>
        <v>0.65977411232427086</v>
      </c>
      <c r="Y1164" s="94">
        <f>IF('Net zero activities &amp; levers'!$C$14="Off",'Activity data'!AR47*ttokg*FracGASF*MSVolatEF*NtoN2O*kgtoGg,IF('Net zero activities &amp; levers'!$C$14="On",'Net zero Activity data'!AR47*ttokg*FracGASF*MSVolatEF*NtoN2O*kgtoGg,"ERROR"))</f>
        <v>0.65963380636148372</v>
      </c>
      <c r="Z1164" s="94">
        <f>IF('Net zero activities &amp; levers'!$C$14="Off",'Activity data'!AS47*ttokg*FracGASF*MSVolatEF*NtoN2O*kgtoGg,IF('Net zero activities &amp; levers'!$C$14="On",'Net zero Activity data'!AS47*ttokg*FracGASF*MSVolatEF*NtoN2O*kgtoGg,"ERROR"))</f>
        <v>0.65950885900535394</v>
      </c>
      <c r="AA1164" s="94">
        <f>IF('Net zero activities &amp; levers'!$C$14="Off",'Activity data'!AT47*ttokg*FracGASF*MSVolatEF*NtoN2O*kgtoGg,IF('Net zero activities &amp; levers'!$C$14="On",'Net zero Activity data'!AT47*ttokg*FracGASF*MSVolatEF*NtoN2O*kgtoGg,"ERROR"))</f>
        <v>0.65938996649107751</v>
      </c>
      <c r="AB1164" s="94">
        <f>IF('Net zero activities &amp; levers'!$C$14="Off",'Activity data'!AU47*ttokg*FracGASF*MSVolatEF*NtoN2O*kgtoGg,IF('Net zero activities &amp; levers'!$C$14="On",'Net zero Activity data'!AU47*ttokg*FracGASF*MSVolatEF*NtoN2O*kgtoGg,"ERROR"))</f>
        <v>0.65927919026350434</v>
      </c>
      <c r="AC1164" s="94">
        <f>IF('Net zero activities &amp; levers'!$C$14="Off",'Activity data'!AV47*ttokg*FracGASF*MSVolatEF*NtoN2O*kgtoGg,IF('Net zero activities &amp; levers'!$C$14="On",'Net zero Activity data'!AV47*ttokg*FracGASF*MSVolatEF*NtoN2O*kgtoGg,"ERROR"))</f>
        <v>0.65914248070564796</v>
      </c>
      <c r="AD1164" s="94">
        <f>IF('Net zero activities &amp; levers'!$C$14="Off",'Activity data'!AW47*ttokg*FracGASF*MSVolatEF*NtoN2O*kgtoGg,IF('Net zero activities &amp; levers'!$C$14="On",'Net zero Activity data'!AW47*ttokg*FracGASF*MSVolatEF*NtoN2O*kgtoGg,"ERROR"))</f>
        <v>0.65900953819081531</v>
      </c>
      <c r="AE1164" s="94">
        <f>IF('Net zero activities &amp; levers'!$C$14="Off",'Activity data'!AX47*ttokg*FracGASF*MSVolatEF*NtoN2O*kgtoGg,IF('Net zero activities &amp; levers'!$C$14="On",'Net zero Activity data'!AX47*ttokg*FracGASF*MSVolatEF*NtoN2O*kgtoGg,"ERROR"))</f>
        <v>0.65886770470789013</v>
      </c>
      <c r="AF1164" s="94">
        <f>IF('Net zero activities &amp; levers'!$C$14="Off",'Activity data'!AY47*ttokg*FracGASF*MSVolatEF*NtoN2O*kgtoGg,IF('Net zero activities &amp; levers'!$C$14="On",'Net zero Activity data'!AY47*ttokg*FracGASF*MSVolatEF*NtoN2O*kgtoGg,"ERROR"))</f>
        <v>0.65870194021035933</v>
      </c>
      <c r="AG1164" s="94">
        <f>IF('Net zero activities &amp; levers'!$C$14="Off",'Activity data'!AZ47*ttokg*FracGASF*MSVolatEF*NtoN2O*kgtoGg,IF('Net zero activities &amp; levers'!$C$14="On",'Net zero Activity data'!AZ47*ttokg*FracGASF*MSVolatEF*NtoN2O*kgtoGg,"ERROR"))</f>
        <v>0.65852622329414567</v>
      </c>
      <c r="AH1164" s="94">
        <f>IF('Net zero activities &amp; levers'!$C$14="Off",'Activity data'!BA47*ttokg*FracGASF*MSVolatEF*NtoN2O*kgtoGg,IF('Net zero activities &amp; levers'!$C$14="On",'Net zero Activity data'!BA47*ttokg*FracGASF*MSVolatEF*NtoN2O*kgtoGg,"ERROR"))</f>
        <v>0.65832642389355089</v>
      </c>
      <c r="AI1164" s="94">
        <f>IF('Net zero activities &amp; levers'!$C$14="Off",'Activity data'!BB47*ttokg*FracGASF*MSVolatEF*NtoN2O*kgtoGg,IF('Net zero activities &amp; levers'!$C$14="On",'Net zero Activity data'!BB47*ttokg*FracGASF*MSVolatEF*NtoN2O*kgtoGg,"ERROR"))</f>
        <v>0.6581693318477011</v>
      </c>
      <c r="AJ1164" s="94">
        <f>IF('Net zero activities &amp; levers'!$C$14="Off",'Activity data'!BC47*ttokg*FracGASF*MSVolatEF*NtoN2O*kgtoGg,IF('Net zero activities &amp; levers'!$C$14="On",'Net zero Activity data'!BC47*ttokg*FracGASF*MSVolatEF*NtoN2O*kgtoGg,"ERROR"))</f>
        <v>0.65801985919199812</v>
      </c>
      <c r="AK1164" s="94">
        <f>IF('Net zero activities &amp; levers'!$C$14="Off",'Activity data'!BD47*ttokg*FracGASF*MSVolatEF*NtoN2O*kgtoGg,IF('Net zero activities &amp; levers'!$C$14="On",'Net zero Activity data'!BD47*ttokg*FracGASF*MSVolatEF*NtoN2O*kgtoGg,"ERROR"))</f>
        <v>0.65785915117586091</v>
      </c>
      <c r="AL1164" s="94">
        <f>IF('Net zero activities &amp; levers'!$C$14="Off",'Activity data'!BE47*ttokg*FracGASF*MSVolatEF*NtoN2O*kgtoGg,IF('Net zero activities &amp; levers'!$C$14="On",'Net zero Activity data'!BE47*ttokg*FracGASF*MSVolatEF*NtoN2O*kgtoGg,"ERROR"))</f>
        <v>0.65770555695996225</v>
      </c>
      <c r="AM1164" s="94">
        <f>IF('Net zero activities &amp; levers'!$C$14="Off",'Activity data'!BF47*ttokg*FracGASF*MSVolatEF*NtoN2O*kgtoGg,IF('Net zero activities &amp; levers'!$C$14="On",'Net zero Activity data'!BF47*ttokg*FracGASF*MSVolatEF*NtoN2O*kgtoGg,"ERROR"))</f>
        <v>0.65754680730045456</v>
      </c>
      <c r="AN1164" s="94">
        <f>IF('Net zero activities &amp; levers'!$C$14="Off",'Activity data'!BG47*ttokg*FracGASF*MSVolatEF*NtoN2O*kgtoGg,IF('Net zero activities &amp; levers'!$C$14="On",'Net zero Activity data'!BG47*ttokg*FracGASF*MSVolatEF*NtoN2O*kgtoGg,"ERROR"))</f>
        <v>0.65738921443316178</v>
      </c>
      <c r="AO1164" s="94">
        <f>IF('Net zero activities &amp; levers'!$C$14="Off",'Activity data'!BH47*ttokg*FracGASF*MSVolatEF*NtoN2O*kgtoGg,IF('Net zero activities &amp; levers'!$C$14="On",'Net zero Activity data'!BH47*ttokg*FracGASF*MSVolatEF*NtoN2O*kgtoGg,"ERROR"))</f>
        <v>0.65721499435540864</v>
      </c>
      <c r="AP1164" s="94">
        <f>IF('Net zero activities &amp; levers'!$C$14="Off",'Activity data'!BI47*ttokg*FracGASF*MSVolatEF*NtoN2O*kgtoGg,IF('Net zero activities &amp; levers'!$C$14="On",'Net zero Activity data'!BI47*ttokg*FracGASF*MSVolatEF*NtoN2O*kgtoGg,"ERROR"))</f>
        <v>0.65704963238558323</v>
      </c>
      <c r="AQ1164" s="94">
        <f>IF('Net zero activities &amp; levers'!$C$14="Off",'Activity data'!BJ47*ttokg*FracGASF*MSVolatEF*NtoN2O*kgtoGg,IF('Net zero activities &amp; levers'!$C$14="On",'Net zero Activity data'!BJ47*ttokg*FracGASF*MSVolatEF*NtoN2O*kgtoGg,"ERROR"))</f>
        <v>0.65688413494168396</v>
      </c>
      <c r="AR1164" s="94">
        <f>IF('Net zero activities &amp; levers'!$C$14="Off",'Activity data'!BK47*ttokg*FracGASF*MSVolatEF*NtoN2O*kgtoGg,IF('Net zero activities &amp; levers'!$C$14="On",'Net zero Activity data'!BK47*ttokg*FracGASF*MSVolatEF*NtoN2O*kgtoGg,"ERROR"))</f>
        <v>0.65671634182939487</v>
      </c>
      <c r="AS1164" s="94">
        <f>IF('Net zero activities &amp; levers'!$C$14="Off",'Activity data'!BL47*ttokg*FracGASF*MSVolatEF*NtoN2O*kgtoGg,IF('Net zero activities &amp; levers'!$C$14="On",'Net zero Activity data'!BL47*ttokg*FracGASF*MSVolatEF*NtoN2O*kgtoGg,"ERROR"))</f>
        <v>0.65654557216665388</v>
      </c>
      <c r="AT1164" s="94">
        <f>IF('Net zero activities &amp; levers'!$C$14="Off",'Activity data'!BM47*ttokg*FracGASF*MSVolatEF*NtoN2O*kgtoGg,IF('Net zero activities &amp; levers'!$C$14="On",'Net zero Activity data'!BM47*ttokg*FracGASF*MSVolatEF*NtoN2O*kgtoGg,"ERROR"))</f>
        <v>0.65635649622881898</v>
      </c>
      <c r="AU1164" s="94">
        <f>IF('Net zero activities &amp; levers'!$C$14="Off",'Activity data'!BN47*ttokg*FracGASF*MSVolatEF*NtoN2O*kgtoGg,IF('Net zero activities &amp; levers'!$C$14="On",'Net zero Activity data'!BN47*ttokg*FracGASF*MSVolatEF*NtoN2O*kgtoGg,"ERROR"))</f>
        <v>0.65622389108641888</v>
      </c>
      <c r="AV1164" s="94">
        <f>IF('Net zero activities &amp; levers'!$C$14="Off",'Activity data'!BO47*ttokg*FracGASF*MSVolatEF*NtoN2O*kgtoGg,IF('Net zero activities &amp; levers'!$C$14="On",'Net zero Activity data'!BO47*ttokg*FracGASF*MSVolatEF*NtoN2O*kgtoGg,"ERROR"))</f>
        <v>0.65609603440705455</v>
      </c>
      <c r="AW1164" s="94">
        <f>IF('Net zero activities &amp; levers'!$C$14="Off",'Activity data'!BP47*ttokg*FracGASF*MSVolatEF*NtoN2O*kgtoGg,IF('Net zero activities &amp; levers'!$C$14="On",'Net zero Activity data'!BP47*ttokg*FracGASF*MSVolatEF*NtoN2O*kgtoGg,"ERROR"))</f>
        <v>0.65596714127254918</v>
      </c>
      <c r="AY1164" s="79"/>
    </row>
    <row r="1165" spans="1:51" x14ac:dyDescent="0.2">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8.7171307906237401E-3</v>
      </c>
      <c r="U1165" s="94">
        <f>IF('Net zero activities &amp; levers'!$C$14="Off",'Activity data'!AN48*ttokg*FracGASM*MSVolatEF*NtoN2O*kgtoGg,IF('Net zero activities &amp; levers'!$C$14="On",'Net zero Activity data'!AN48*ttokg*FracGASM*MSVolatEF*NtoN2O*kgtoGg,"ERROR"))</f>
        <v>8.714685205971219E-3</v>
      </c>
      <c r="V1165" s="94">
        <f>IF('Net zero activities &amp; levers'!$C$14="Off",'Activity data'!AO48*ttokg*FracGASM*MSVolatEF*NtoN2O*kgtoGg,IF('Net zero activities &amp; levers'!$C$14="On",'Net zero Activity data'!AO48*ttokg*FracGASM*MSVolatEF*NtoN2O*kgtoGg,"ERROR"))</f>
        <v>8.7127709757041216E-3</v>
      </c>
      <c r="W1165" s="94">
        <f>IF('Net zero activities &amp; levers'!$C$14="Off",'Activity data'!AP48*ttokg*FracGASM*MSVolatEF*NtoN2O*kgtoGg,IF('Net zero activities &amp; levers'!$C$14="On",'Net zero Activity data'!AP48*ttokg*FracGASM*MSVolatEF*NtoN2O*kgtoGg,"ERROR"))</f>
        <v>8.7109989873953957E-3</v>
      </c>
      <c r="X1165" s="94">
        <f>IF('Net zero activities &amp; levers'!$C$14="Off",'Activity data'!AQ48*ttokg*FracGASM*MSVolatEF*NtoN2O*kgtoGg,IF('Net zero activities &amp; levers'!$C$14="On",'Net zero Activity data'!AQ48*ttokg*FracGASM*MSVolatEF*NtoN2O*kgtoGg,"ERROR"))</f>
        <v>8.7090182826803763E-3</v>
      </c>
      <c r="Y1165" s="94">
        <f>IF('Net zero activities &amp; levers'!$C$14="Off",'Activity data'!AR48*ttokg*FracGASM*MSVolatEF*NtoN2O*kgtoGg,IF('Net zero activities &amp; levers'!$C$14="On",'Net zero Activity data'!AR48*ttokg*FracGASM*MSVolatEF*NtoN2O*kgtoGg,"ERROR"))</f>
        <v>8.7071662439715883E-3</v>
      </c>
      <c r="Z1165" s="94">
        <f>IF('Net zero activities &amp; levers'!$C$14="Off",'Activity data'!AS48*ttokg*FracGASM*MSVolatEF*NtoN2O*kgtoGg,IF('Net zero activities &amp; levers'!$C$14="On",'Net zero Activity data'!AS48*ttokg*FracGASM*MSVolatEF*NtoN2O*kgtoGg,"ERROR"))</f>
        <v>8.7055169388706739E-3</v>
      </c>
      <c r="AA1165" s="94">
        <f>IF('Net zero activities &amp; levers'!$C$14="Off",'Activity data'!AT48*ttokg*FracGASM*MSVolatEF*NtoN2O*kgtoGg,IF('Net zero activities &amp; levers'!$C$14="On",'Net zero Activity data'!AT48*ttokg*FracGASM*MSVolatEF*NtoN2O*kgtoGg,"ERROR"))</f>
        <v>8.7039475576822217E-3</v>
      </c>
      <c r="AB1165" s="94">
        <f>IF('Net zero activities &amp; levers'!$C$14="Off",'Activity data'!AU48*ttokg*FracGASM*MSVolatEF*NtoN2O*kgtoGg,IF('Net zero activities &amp; levers'!$C$14="On",'Net zero Activity data'!AU48*ttokg*FracGASM*MSVolatEF*NtoN2O*kgtoGg,"ERROR"))</f>
        <v>8.7024853114782592E-3</v>
      </c>
      <c r="AC1165" s="94">
        <f>IF('Net zero activities &amp; levers'!$C$14="Off",'Activity data'!AV48*ttokg*FracGASM*MSVolatEF*NtoN2O*kgtoGg,IF('Net zero activities &amp; levers'!$C$14="On",'Net zero Activity data'!AV48*ttokg*FracGASM*MSVolatEF*NtoN2O*kgtoGg,"ERROR"))</f>
        <v>8.7006807453145554E-3</v>
      </c>
      <c r="AD1165" s="94">
        <f>IF('Net zero activities &amp; levers'!$C$14="Off",'Activity data'!AW48*ttokg*FracGASM*MSVolatEF*NtoN2O*kgtoGg,IF('Net zero activities &amp; levers'!$C$14="On",'Net zero Activity data'!AW48*ttokg*FracGASM*MSVolatEF*NtoN2O*kgtoGg,"ERROR"))</f>
        <v>8.6989259041187622E-3</v>
      </c>
      <c r="AE1165" s="94">
        <f>IF('Net zero activities &amp; levers'!$C$14="Off",'Activity data'!AX48*ttokg*FracGASM*MSVolatEF*NtoN2O*kgtoGg,IF('Net zero activities &amp; levers'!$C$14="On",'Net zero Activity data'!AX48*ttokg*FracGASM*MSVolatEF*NtoN2O*kgtoGg,"ERROR"))</f>
        <v>8.6970537021441498E-3</v>
      </c>
      <c r="AF1165" s="94">
        <f>IF('Net zero activities &amp; levers'!$C$14="Off",'Activity data'!AY48*ttokg*FracGASM*MSVolatEF*NtoN2O*kgtoGg,IF('Net zero activities &amp; levers'!$C$14="On",'Net zero Activity data'!AY48*ttokg*FracGASM*MSVolatEF*NtoN2O*kgtoGg,"ERROR"))</f>
        <v>8.6948656107767464E-3</v>
      </c>
      <c r="AG1165" s="94">
        <f>IF('Net zero activities &amp; levers'!$C$14="Off",'Activity data'!AZ48*ttokg*FracGASM*MSVolatEF*NtoN2O*kgtoGg,IF('Net zero activities &amp; levers'!$C$14="On",'Net zero Activity data'!AZ48*ttokg*FracGASM*MSVolatEF*NtoN2O*kgtoGg,"ERROR"))</f>
        <v>8.6925461474827246E-3</v>
      </c>
      <c r="AH1165" s="94">
        <f>IF('Net zero activities &amp; levers'!$C$14="Off",'Activity data'!BA48*ttokg*FracGASM*MSVolatEF*NtoN2O*kgtoGg,IF('Net zero activities &amp; levers'!$C$14="On",'Net zero Activity data'!BA48*ttokg*FracGASM*MSVolatEF*NtoN2O*kgtoGg,"ERROR"))</f>
        <v>8.6899087953948712E-3</v>
      </c>
      <c r="AI1165" s="94">
        <f>IF('Net zero activities &amp; levers'!$C$14="Off",'Activity data'!BB48*ttokg*FracGASM*MSVolatEF*NtoN2O*kgtoGg,IF('Net zero activities &amp; levers'!$C$14="On",'Net zero Activity data'!BB48*ttokg*FracGASM*MSVolatEF*NtoN2O*kgtoGg,"ERROR"))</f>
        <v>8.6878351803896525E-3</v>
      </c>
      <c r="AJ1165" s="94">
        <f>IF('Net zero activities &amp; levers'!$C$14="Off",'Activity data'!BC48*ttokg*FracGASM*MSVolatEF*NtoN2O*kgtoGg,IF('Net zero activities &amp; levers'!$C$14="On",'Net zero Activity data'!BC48*ttokg*FracGASM*MSVolatEF*NtoN2O*kgtoGg,"ERROR"))</f>
        <v>8.685862141334379E-3</v>
      </c>
      <c r="AK1165" s="94">
        <f>IF('Net zero activities &amp; levers'!$C$14="Off",'Activity data'!BD48*ttokg*FracGASM*MSVolatEF*NtoN2O*kgtoGg,IF('Net zero activities &amp; levers'!$C$14="On",'Net zero Activity data'!BD48*ttokg*FracGASM*MSVolatEF*NtoN2O*kgtoGg,"ERROR"))</f>
        <v>8.6837407955213629E-3</v>
      </c>
      <c r="AL1165" s="94">
        <f>IF('Net zero activities &amp; levers'!$C$14="Off",'Activity data'!BE48*ttokg*FracGASM*MSVolatEF*NtoN2O*kgtoGg,IF('Net zero activities &amp; levers'!$C$14="On",'Net zero Activity data'!BE48*ttokg*FracGASM*MSVolatEF*NtoN2O*kgtoGg,"ERROR"))</f>
        <v>8.681713351871503E-3</v>
      </c>
      <c r="AM1165" s="94">
        <f>IF('Net zero activities &amp; levers'!$C$14="Off",'Activity data'!BF48*ttokg*FracGASM*MSVolatEF*NtoN2O*kgtoGg,IF('Net zero activities &amp; levers'!$C$14="On",'Net zero Activity data'!BF48*ttokg*FracGASM*MSVolatEF*NtoN2O*kgtoGg,"ERROR"))</f>
        <v>8.679617856366003E-3</v>
      </c>
      <c r="AN1165" s="94">
        <f>IF('Net zero activities &amp; levers'!$C$14="Off",'Activity data'!BG48*ttokg*FracGASM*MSVolatEF*NtoN2O*kgtoGg,IF('Net zero activities &amp; levers'!$C$14="On",'Net zero Activity data'!BG48*ttokg*FracGASM*MSVolatEF*NtoN2O*kgtoGg,"ERROR"))</f>
        <v>8.677537630517736E-3</v>
      </c>
      <c r="AO1165" s="94">
        <f>IF('Net zero activities &amp; levers'!$C$14="Off",'Activity data'!BH48*ttokg*FracGASM*MSVolatEF*NtoN2O*kgtoGg,IF('Net zero activities &amp; levers'!$C$14="On",'Net zero Activity data'!BH48*ttokg*FracGASM*MSVolatEF*NtoN2O*kgtoGg,"ERROR"))</f>
        <v>8.6752379254913976E-3</v>
      </c>
      <c r="AP1165" s="94">
        <f>IF('Net zero activities &amp; levers'!$C$14="Off",'Activity data'!BI48*ttokg*FracGASM*MSVolatEF*NtoN2O*kgtoGg,IF('Net zero activities &amp; levers'!$C$14="On",'Net zero Activity data'!BI48*ttokg*FracGASM*MSVolatEF*NtoN2O*kgtoGg,"ERROR"))</f>
        <v>8.6730551474897017E-3</v>
      </c>
      <c r="AQ1165" s="94">
        <f>IF('Net zero activities &amp; levers'!$C$14="Off",'Activity data'!BJ48*ttokg*FracGASM*MSVolatEF*NtoN2O*kgtoGg,IF('Net zero activities &amp; levers'!$C$14="On",'Net zero Activity data'!BJ48*ttokg*FracGASM*MSVolatEF*NtoN2O*kgtoGg,"ERROR"))</f>
        <v>8.6708705812302295E-3</v>
      </c>
      <c r="AR1165" s="94">
        <f>IF('Net zero activities &amp; levers'!$C$14="Off",'Activity data'!BK48*ttokg*FracGASM*MSVolatEF*NtoN2O*kgtoGg,IF('Net zero activities &amp; levers'!$C$14="On",'Net zero Activity data'!BK48*ttokg*FracGASM*MSVolatEF*NtoN2O*kgtoGg,"ERROR"))</f>
        <v>8.6686557121480167E-3</v>
      </c>
      <c r="AS1165" s="94">
        <f>IF('Net zero activities &amp; levers'!$C$14="Off",'Activity data'!BL48*ttokg*FracGASM*MSVolatEF*NtoN2O*kgtoGg,IF('Net zero activities &amp; levers'!$C$14="On",'Net zero Activity data'!BL48*ttokg*FracGASM*MSVolatEF*NtoN2O*kgtoGg,"ERROR"))</f>
        <v>8.6664015525998329E-3</v>
      </c>
      <c r="AT1165" s="94">
        <f>IF('Net zero activities &amp; levers'!$C$14="Off",'Activity data'!BM48*ttokg*FracGASM*MSVolatEF*NtoN2O*kgtoGg,IF('Net zero activities &amp; levers'!$C$14="On",'Net zero Activity data'!BM48*ttokg*FracGASM*MSVolatEF*NtoN2O*kgtoGg,"ERROR"))</f>
        <v>8.6639057502204114E-3</v>
      </c>
      <c r="AU1165" s="94">
        <f>IF('Net zero activities &amp; levers'!$C$14="Off",'Activity data'!BN48*ttokg*FracGASM*MSVolatEF*NtoN2O*kgtoGg,IF('Net zero activities &amp; levers'!$C$14="On",'Net zero Activity data'!BN48*ttokg*FracGASM*MSVolatEF*NtoN2O*kgtoGg,"ERROR"))</f>
        <v>8.6621553623407298E-3</v>
      </c>
      <c r="AV1165" s="94">
        <f>IF('Net zero activities &amp; levers'!$C$14="Off",'Activity data'!BO48*ttokg*FracGASM*MSVolatEF*NtoN2O*kgtoGg,IF('Net zero activities &amp; levers'!$C$14="On",'Net zero Activity data'!BO48*ttokg*FracGASM*MSVolatEF*NtoN2O*kgtoGg,"ERROR"))</f>
        <v>8.66046765417312E-3</v>
      </c>
      <c r="AW1165" s="94">
        <f>IF('Net zero activities &amp; levers'!$C$14="Off",'Activity data'!BP48*ttokg*FracGASM*MSVolatEF*NtoN2O*kgtoGg,IF('Net zero activities &amp; levers'!$C$14="On",'Net zero Activity data'!BP48*ttokg*FracGASM*MSVolatEF*NtoN2O*kgtoGg,"ERROR"))</f>
        <v>8.6587662647976526E-3</v>
      </c>
      <c r="AY1165" s="79"/>
    </row>
    <row r="1166" spans="1:51" x14ac:dyDescent="0.2">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1.2019035107607596</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1.1958435838326282</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1.0581466820913914</v>
      </c>
      <c r="T1166" s="94">
        <f>IF('Net zero activities &amp; levers'!$C$14="Off",SUM('Activity data'!AM50:AM65)*FracGASM*MSVolatEF*NtoN2O*kgtoGg,IF('Net zero activities &amp; levers'!$C$14="On",SUM('Net zero Activity data'!AM50:AM65)*FracGASM*MSVolatEF*NtoN2O*kgtoGg,"ERROR"))</f>
        <v>1.0811007370653605</v>
      </c>
      <c r="U1166" s="94">
        <f>IF('Net zero activities &amp; levers'!$C$14="Off",SUM('Activity data'!AN50:AN65)*FracGASM*MSVolatEF*NtoN2O*kgtoGg,IF('Net zero activities &amp; levers'!$C$14="On",SUM('Net zero Activity data'!AN50:AN65)*FracGASM*MSVolatEF*NtoN2O*kgtoGg,"ERROR"))</f>
        <v>1.0962373736212656</v>
      </c>
      <c r="V1166" s="94">
        <f>IF('Net zero activities &amp; levers'!$C$14="Off",SUM('Activity data'!AO50:AO65)*FracGASM*MSVolatEF*NtoN2O*kgtoGg,IF('Net zero activities &amp; levers'!$C$14="On",SUM('Net zero Activity data'!AO50:AO65)*FracGASM*MSVolatEF*NtoN2O*kgtoGg,"ERROR"))</f>
        <v>1.1094295908986627</v>
      </c>
      <c r="W1166" s="94">
        <f>IF('Net zero activities &amp; levers'!$C$14="Off",SUM('Activity data'!AP50:AP65)*FracGASM*MSVolatEF*NtoN2O*kgtoGg,IF('Net zero activities &amp; levers'!$C$14="On",SUM('Net zero Activity data'!AP50:AP65)*FracGASM*MSVolatEF*NtoN2O*kgtoGg,"ERROR"))</f>
        <v>1.1260819451253103</v>
      </c>
      <c r="X1166" s="94">
        <f>IF('Net zero activities &amp; levers'!$C$14="Off",SUM('Activity data'!AQ50:AQ65)*FracGASM*MSVolatEF*NtoN2O*kgtoGg,IF('Net zero activities &amp; levers'!$C$14="On",SUM('Net zero Activity data'!AQ50:AQ65)*FracGASM*MSVolatEF*NtoN2O*kgtoGg,"ERROR"))</f>
        <v>1.1409777774824073</v>
      </c>
      <c r="Y1166" s="94">
        <f>IF('Net zero activities &amp; levers'!$C$14="Off",SUM('Activity data'!AR50:AR65)*FracGASM*MSVolatEF*NtoN2O*kgtoGg,IF('Net zero activities &amp; levers'!$C$14="On",SUM('Net zero Activity data'!AR50:AR65)*FracGASM*MSVolatEF*NtoN2O*kgtoGg,"ERROR"))</f>
        <v>1.1529726027889684</v>
      </c>
      <c r="Z1166" s="94">
        <f>IF('Net zero activities &amp; levers'!$C$14="Off",SUM('Activity data'!AS50:AS65)*FracGASM*MSVolatEF*NtoN2O*kgtoGg,IF('Net zero activities &amp; levers'!$C$14="On",SUM('Net zero Activity data'!AS50:AS65)*FracGASM*MSVolatEF*NtoN2O*kgtoGg,"ERROR"))</f>
        <v>1.1639042106537316</v>
      </c>
      <c r="AA1166" s="94">
        <f>IF('Net zero activities &amp; levers'!$C$14="Off",SUM('Activity data'!AT50:AT65)*FracGASM*MSVolatEF*NtoN2O*kgtoGg,IF('Net zero activities &amp; levers'!$C$14="On",SUM('Net zero Activity data'!AT50:AT65)*FracGASM*MSVolatEF*NtoN2O*kgtoGg,"ERROR"))</f>
        <v>1.1733291691179792</v>
      </c>
      <c r="AB1166" s="94">
        <f>IF('Net zero activities &amp; levers'!$C$14="Off",SUM('Activity data'!AU50:AU65)*FracGASM*MSVolatEF*NtoN2O*kgtoGg,IF('Net zero activities &amp; levers'!$C$14="On",SUM('Net zero Activity data'!AU50:AU65)*FracGASM*MSVolatEF*NtoN2O*kgtoGg,"ERROR"))</f>
        <v>1.1883113875074136</v>
      </c>
      <c r="AC1166" s="94">
        <f>IF('Net zero activities &amp; levers'!$C$14="Off",SUM('Activity data'!AV50:AV65)*FracGASM*MSVolatEF*NtoN2O*kgtoGg,IF('Net zero activities &amp; levers'!$C$14="On",SUM('Net zero Activity data'!AV50:AV65)*FracGASM*MSVolatEF*NtoN2O*kgtoGg,"ERROR"))</f>
        <v>1.2027019182394856</v>
      </c>
      <c r="AD1166" s="94">
        <f>IF('Net zero activities &amp; levers'!$C$14="Off",SUM('Activity data'!AW50:AW65)*FracGASM*MSVolatEF*NtoN2O*kgtoGg,IF('Net zero activities &amp; levers'!$C$14="On",SUM('Net zero Activity data'!AW50:AW65)*FracGASM*MSVolatEF*NtoN2O*kgtoGg,"ERROR"))</f>
        <v>1.2149899149490335</v>
      </c>
      <c r="AE1166" s="94">
        <f>IF('Net zero activities &amp; levers'!$C$14="Off",SUM('Activity data'!AX50:AX65)*FracGASM*MSVolatEF*NtoN2O*kgtoGg,IF('Net zero activities &amp; levers'!$C$14="On",SUM('Net zero Activity data'!AX50:AX65)*FracGASM*MSVolatEF*NtoN2O*kgtoGg,"ERROR"))</f>
        <v>1.2323877476985694</v>
      </c>
      <c r="AF1166" s="94">
        <f>IF('Net zero activities &amp; levers'!$C$14="Off",SUM('Activity data'!AY50:AY65)*FracGASM*MSVolatEF*NtoN2O*kgtoGg,IF('Net zero activities &amp; levers'!$C$14="On",SUM('Net zero Activity data'!AY50:AY65)*FracGASM*MSVolatEF*NtoN2O*kgtoGg,"ERROR"))</f>
        <v>1.2520054927946573</v>
      </c>
      <c r="AG1166" s="94">
        <f>IF('Net zero activities &amp; levers'!$C$14="Off",SUM('Activity data'!AZ50:AZ65)*FracGASM*MSVolatEF*NtoN2O*kgtoGg,IF('Net zero activities &amp; levers'!$C$14="On",SUM('Net zero Activity data'!AZ50:AZ65)*FracGASM*MSVolatEF*NtoN2O*kgtoGg,"ERROR"))</f>
        <v>1.2769207481959246</v>
      </c>
      <c r="AH1166" s="94">
        <f>IF('Net zero activities &amp; levers'!$C$14="Off",SUM('Activity data'!BA50:BA65)*FracGASM*MSVolatEF*NtoN2O*kgtoGg,IF('Net zero activities &amp; levers'!$C$14="On",SUM('Net zero Activity data'!BA50:BA65)*FracGASM*MSVolatEF*NtoN2O*kgtoGg,"ERROR"))</f>
        <v>1.2928179151571899</v>
      </c>
      <c r="AI1166" s="94">
        <f>IF('Net zero activities &amp; levers'!$C$14="Off",SUM('Activity data'!BB50:BB65)*FracGASM*MSVolatEF*NtoN2O*kgtoGg,IF('Net zero activities &amp; levers'!$C$14="On",SUM('Net zero Activity data'!BB50:BB65)*FracGASM*MSVolatEF*NtoN2O*kgtoGg,"ERROR"))</f>
        <v>1.3071721599558817</v>
      </c>
      <c r="AJ1166" s="94">
        <f>IF('Net zero activities &amp; levers'!$C$14="Off",SUM('Activity data'!BC50:BC65)*FracGASM*MSVolatEF*NtoN2O*kgtoGg,IF('Net zero activities &amp; levers'!$C$14="On",SUM('Net zero Activity data'!BC50:BC65)*FracGASM*MSVolatEF*NtoN2O*kgtoGg,"ERROR"))</f>
        <v>1.3240396401072183</v>
      </c>
      <c r="AK1166" s="94">
        <f>IF('Net zero activities &amp; levers'!$C$14="Off",SUM('Activity data'!BD50:BD65)*FracGASM*MSVolatEF*NtoN2O*kgtoGg,IF('Net zero activities &amp; levers'!$C$14="On",SUM('Net zero Activity data'!BD50:BD65)*FracGASM*MSVolatEF*NtoN2O*kgtoGg,"ERROR"))</f>
        <v>1.3394377409062461</v>
      </c>
      <c r="AL1166" s="94">
        <f>IF('Net zero activities &amp; levers'!$C$14="Off",SUM('Activity data'!BE50:BE65)*FracGASM*MSVolatEF*NtoN2O*kgtoGg,IF('Net zero activities &amp; levers'!$C$14="On",SUM('Net zero Activity data'!BE50:BE65)*FracGASM*MSVolatEF*NtoN2O*kgtoGg,"ERROR"))</f>
        <v>1.3560429960988876</v>
      </c>
      <c r="AM1166" s="94">
        <f>IF('Net zero activities &amp; levers'!$C$14="Off",SUM('Activity data'!BF50:BF65)*FracGASM*MSVolatEF*NtoN2O*kgtoGg,IF('Net zero activities &amp; levers'!$C$14="On",SUM('Net zero Activity data'!BF50:BF65)*FracGASM*MSVolatEF*NtoN2O*kgtoGg,"ERROR"))</f>
        <v>1.3724754415260532</v>
      </c>
      <c r="AN1166" s="94">
        <f>IF('Net zero activities &amp; levers'!$C$14="Off",SUM('Activity data'!BG50:BG65)*FracGASM*MSVolatEF*NtoN2O*kgtoGg,IF('Net zero activities &amp; levers'!$C$14="On",SUM('Net zero Activity data'!BG50:BG65)*FracGASM*MSVolatEF*NtoN2O*kgtoGg,"ERROR"))</f>
        <v>1.3952859972976908</v>
      </c>
      <c r="AO1166" s="94">
        <f>IF('Net zero activities &amp; levers'!$C$14="Off",SUM('Activity data'!BH50:BH65)*FracGASM*MSVolatEF*NtoN2O*kgtoGg,IF('Net zero activities &amp; levers'!$C$14="On",SUM('Net zero Activity data'!BH50:BH65)*FracGASM*MSVolatEF*NtoN2O*kgtoGg,"ERROR"))</f>
        <v>1.4163366526625445</v>
      </c>
      <c r="AP1166" s="94">
        <f>IF('Net zero activities &amp; levers'!$C$14="Off",SUM('Activity data'!BI50:BI65)*FracGASM*MSVolatEF*NtoN2O*kgtoGg,IF('Net zero activities &amp; levers'!$C$14="On",SUM('Net zero Activity data'!BI50:BI65)*FracGASM*MSVolatEF*NtoN2O*kgtoGg,"ERROR"))</f>
        <v>1.4376236961609334</v>
      </c>
      <c r="AQ1166" s="94">
        <f>IF('Net zero activities &amp; levers'!$C$14="Off",SUM('Activity data'!BJ50:BJ65)*FracGASM*MSVolatEF*NtoN2O*kgtoGg,IF('Net zero activities &amp; levers'!$C$14="On",SUM('Net zero Activity data'!BJ50:BJ65)*FracGASM*MSVolatEF*NtoN2O*kgtoGg,"ERROR"))</f>
        <v>1.4596469584782656</v>
      </c>
      <c r="AR1166" s="94">
        <f>IF('Net zero activities &amp; levers'!$C$14="Off",SUM('Activity data'!BK50:BK65)*FracGASM*MSVolatEF*NtoN2O*kgtoGg,IF('Net zero activities &amp; levers'!$C$14="On",SUM('Net zero Activity data'!BK50:BK65)*FracGASM*MSVolatEF*NtoN2O*kgtoGg,"ERROR"))</f>
        <v>1.4825821629092799</v>
      </c>
      <c r="AS1166" s="94">
        <f>IF('Net zero activities &amp; levers'!$C$14="Off",SUM('Activity data'!BL50:BL65)*FracGASM*MSVolatEF*NtoN2O*kgtoGg,IF('Net zero activities &amp; levers'!$C$14="On",SUM('Net zero Activity data'!BL50:BL65)*FracGASM*MSVolatEF*NtoN2O*kgtoGg,"ERROR"))</f>
        <v>1.5100637913409878</v>
      </c>
      <c r="AT1166" s="94">
        <f>IF('Net zero activities &amp; levers'!$C$14="Off",SUM('Activity data'!BM50:BM65)*FracGASM*MSVolatEF*NtoN2O*kgtoGg,IF('Net zero activities &amp; levers'!$C$14="On",SUM('Net zero Activity data'!BM50:BM65)*FracGASM*MSVolatEF*NtoN2O*kgtoGg,"ERROR"))</f>
        <v>1.5244988187348365</v>
      </c>
      <c r="AU1166" s="94">
        <f>IF('Net zero activities &amp; levers'!$C$14="Off",SUM('Activity data'!BN50:BN65)*FracGASM*MSVolatEF*NtoN2O*kgtoGg,IF('Net zero activities &amp; levers'!$C$14="On",SUM('Net zero Activity data'!BN50:BN65)*FracGASM*MSVolatEF*NtoN2O*kgtoGg,"ERROR"))</f>
        <v>1.5379134396371121</v>
      </c>
      <c r="AV1166" s="94">
        <f>IF('Net zero activities &amp; levers'!$C$14="Off",SUM('Activity data'!BO50:BO65)*FracGASM*MSVolatEF*NtoN2O*kgtoGg,IF('Net zero activities &amp; levers'!$C$14="On",SUM('Net zero Activity data'!BO50:BO65)*FracGASM*MSVolatEF*NtoN2O*kgtoGg,"ERROR"))</f>
        <v>1.5516700859590873</v>
      </c>
      <c r="AW1166" s="94">
        <f>IF('Net zero activities &amp; levers'!$C$14="Off",SUM('Activity data'!BP50:BP65)*FracGASM*MSVolatEF*NtoN2O*kgtoGg,IF('Net zero activities &amp; levers'!$C$14="On",SUM('Net zero Activity data'!BP50:BP65)*FracGASM*MSVolatEF*NtoN2O*kgtoGg,"ERROR"))</f>
        <v>1.5651983516984527</v>
      </c>
      <c r="AY1166" s="79"/>
    </row>
    <row r="1167" spans="1:51" x14ac:dyDescent="0.2">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4.3473821211305586</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3.918985241839104</v>
      </c>
      <c r="T1167" s="94">
        <f>IF('Net zero activities &amp; levers'!$C$14="Off",SUM('Activity data'!AM66:AM81)*FracGASM*MSVolatEF*NtoN2O*kgtoGg,IF('Net zero activities &amp; levers'!$C$14="On",SUM('Net zero Activity data'!AM66:AM81)*FracGASM*MSVolatEF*NtoN2O*kgtoGg,"ERROR"))</f>
        <v>3.962647023266995</v>
      </c>
      <c r="U1167" s="94">
        <f>IF('Net zero activities &amp; levers'!$C$14="Off",SUM('Activity data'!AN66:AN81)*FracGASM*MSVolatEF*NtoN2O*kgtoGg,IF('Net zero activities &amp; levers'!$C$14="On",SUM('Net zero Activity data'!AN66:AN81)*FracGASM*MSVolatEF*NtoN2O*kgtoGg,"ERROR"))</f>
        <v>3.988397466462279</v>
      </c>
      <c r="V1167" s="94">
        <f>IF('Net zero activities &amp; levers'!$C$14="Off",SUM('Activity data'!AO66:AO81)*FracGASM*MSVolatEF*NtoN2O*kgtoGg,IF('Net zero activities &amp; levers'!$C$14="On",SUM('Net zero Activity data'!AO66:AO81)*FracGASM*MSVolatEF*NtoN2O*kgtoGg,"ERROR"))</f>
        <v>4.0097420759989726</v>
      </c>
      <c r="W1167" s="94">
        <f>IF('Net zero activities &amp; levers'!$C$14="Off",SUM('Activity data'!AP66:AP81)*FracGASM*MSVolatEF*NtoN2O*kgtoGg,IF('Net zero activities &amp; levers'!$C$14="On",SUM('Net zero Activity data'!AP66:AP81)*FracGASM*MSVolatEF*NtoN2O*kgtoGg,"ERROR"))</f>
        <v>4.0388232265836717</v>
      </c>
      <c r="X1167" s="94">
        <f>IF('Net zero activities &amp; levers'!$C$14="Off",SUM('Activity data'!AQ66:AQ81)*FracGASM*MSVolatEF*NtoN2O*kgtoGg,IF('Net zero activities &amp; levers'!$C$14="On",SUM('Net zero Activity data'!AQ66:AQ81)*FracGASM*MSVolatEF*NtoN2O*kgtoGg,"ERROR"))</f>
        <v>4.063881936096621</v>
      </c>
      <c r="Y1167" s="94">
        <f>IF('Net zero activities &amp; levers'!$C$14="Off",SUM('Activity data'!AR66:AR81)*FracGASM*MSVolatEF*NtoN2O*kgtoGg,IF('Net zero activities &amp; levers'!$C$14="On",SUM('Net zero Activity data'!AR66:AR81)*FracGASM*MSVolatEF*NtoN2O*kgtoGg,"ERROR"))</f>
        <v>4.0803176241982966</v>
      </c>
      <c r="Z1167" s="94">
        <f>IF('Net zero activities &amp; levers'!$C$14="Off",SUM('Activity data'!AS66:AS81)*FracGASM*MSVolatEF*NtoN2O*kgtoGg,IF('Net zero activities &amp; levers'!$C$14="On",SUM('Net zero Activity data'!AS66:AS81)*FracGASM*MSVolatEF*NtoN2O*kgtoGg,"ERROR"))</f>
        <v>4.0943719762440898</v>
      </c>
      <c r="AA1167" s="94">
        <f>IF('Net zero activities &amp; levers'!$C$14="Off",SUM('Activity data'!AT66:AT81)*FracGASM*MSVolatEF*NtoN2O*kgtoGg,IF('Net zero activities &amp; levers'!$C$14="On",SUM('Net zero Activity data'!AT66:AT81)*FracGASM*MSVolatEF*NtoN2O*kgtoGg,"ERROR"))</f>
        <v>4.1051027315234014</v>
      </c>
      <c r="AB1167" s="94">
        <f>IF('Net zero activities &amp; levers'!$C$14="Off",SUM('Activity data'!AU66:AU81)*FracGASM*MSVolatEF*NtoN2O*kgtoGg,IF('Net zero activities &amp; levers'!$C$14="On",SUM('Net zero Activity data'!AU66:AU81)*FracGASM*MSVolatEF*NtoN2O*kgtoGg,"ERROR"))</f>
        <v>4.1278786035109292</v>
      </c>
      <c r="AC1167" s="94">
        <f>IF('Net zero activities &amp; levers'!$C$14="Off",SUM('Activity data'!AV66:AV81)*FracGASM*MSVolatEF*NtoN2O*kgtoGg,IF('Net zero activities &amp; levers'!$C$14="On",SUM('Net zero Activity data'!AV66:AV81)*FracGASM*MSVolatEF*NtoN2O*kgtoGg,"ERROR"))</f>
        <v>4.149204796729399</v>
      </c>
      <c r="AD1167" s="94">
        <f>IF('Net zero activities &amp; levers'!$C$14="Off",SUM('Activity data'!AW66:AW81)*FracGASM*MSVolatEF*NtoN2O*kgtoGg,IF('Net zero activities &amp; levers'!$C$14="On",SUM('Net zero Activity data'!AW66:AW81)*FracGASM*MSVolatEF*NtoN2O*kgtoGg,"ERROR"))</f>
        <v>4.1548667718492807</v>
      </c>
      <c r="AE1167" s="94">
        <f>IF('Net zero activities &amp; levers'!$C$14="Off",SUM('Activity data'!AX66:AX81)*FracGASM*MSVolatEF*NtoN2O*kgtoGg,IF('Net zero activities &amp; levers'!$C$14="On",SUM('Net zero Activity data'!AX66:AX81)*FracGASM*MSVolatEF*NtoN2O*kgtoGg,"ERROR"))</f>
        <v>4.1707310137254909</v>
      </c>
      <c r="AF1167" s="94">
        <f>IF('Net zero activities &amp; levers'!$C$14="Off",SUM('Activity data'!AY66:AY81)*FracGASM*MSVolatEF*NtoN2O*kgtoGg,IF('Net zero activities &amp; levers'!$C$14="On",SUM('Net zero Activity data'!AY66:AY81)*FracGASM*MSVolatEF*NtoN2O*kgtoGg,"ERROR"))</f>
        <v>4.1903910179403239</v>
      </c>
      <c r="AG1167" s="94">
        <f>IF('Net zero activities &amp; levers'!$C$14="Off",SUM('Activity data'!AZ66:AZ81)*FracGASM*MSVolatEF*NtoN2O*kgtoGg,IF('Net zero activities &amp; levers'!$C$14="On",SUM('Net zero Activity data'!AZ66:AZ81)*FracGASM*MSVolatEF*NtoN2O*kgtoGg,"ERROR"))</f>
        <v>4.2200248954303605</v>
      </c>
      <c r="AH1167" s="94">
        <f>IF('Net zero activities &amp; levers'!$C$14="Off",SUM('Activity data'!BA66:BA81)*FracGASM*MSVolatEF*NtoN2O*kgtoGg,IF('Net zero activities &amp; levers'!$C$14="On",SUM('Net zero Activity data'!BA66:BA81)*FracGASM*MSVolatEF*NtoN2O*kgtoGg,"ERROR"))</f>
        <v>4.2299973767021726</v>
      </c>
      <c r="AI1167" s="94">
        <f>IF('Net zero activities &amp; levers'!$C$14="Off",SUM('Activity data'!BB66:BB81)*FracGASM*MSVolatEF*NtoN2O*kgtoGg,IF('Net zero activities &amp; levers'!$C$14="On",SUM('Net zero Activity data'!BB66:BB81)*FracGASM*MSVolatEF*NtoN2O*kgtoGg,"ERROR"))</f>
        <v>4.2344058167490939</v>
      </c>
      <c r="AJ1167" s="94">
        <f>IF('Net zero activities &amp; levers'!$C$14="Off",SUM('Activity data'!BC66:BC81)*FracGASM*MSVolatEF*NtoN2O*kgtoGg,IF('Net zero activities &amp; levers'!$C$14="On",SUM('Net zero Activity data'!BC66:BC81)*FracGASM*MSVolatEF*NtoN2O*kgtoGg,"ERROR"))</f>
        <v>4.2430165616646569</v>
      </c>
      <c r="AK1167" s="94">
        <f>IF('Net zero activities &amp; levers'!$C$14="Off",SUM('Activity data'!BD66:BD81)*FracGASM*MSVolatEF*NtoN2O*kgtoGg,IF('Net zero activities &amp; levers'!$C$14="On",SUM('Net zero Activity data'!BD66:BD81)*FracGASM*MSVolatEF*NtoN2O*kgtoGg,"ERROR"))</f>
        <v>4.2477733537700137</v>
      </c>
      <c r="AL1167" s="94">
        <f>IF('Net zero activities &amp; levers'!$C$14="Off",SUM('Activity data'!BE66:BE81)*FracGASM*MSVolatEF*NtoN2O*kgtoGg,IF('Net zero activities &amp; levers'!$C$14="On",SUM('Net zero Activity data'!BE66:BE81)*FracGASM*MSVolatEF*NtoN2O*kgtoGg,"ERROR"))</f>
        <v>4.2539691533655395</v>
      </c>
      <c r="AM1167" s="94">
        <f>IF('Net zero activities &amp; levers'!$C$14="Off",SUM('Activity data'!BF66:BF81)*FracGASM*MSVolatEF*NtoN2O*kgtoGg,IF('Net zero activities &amp; levers'!$C$14="On",SUM('Net zero Activity data'!BF66:BF81)*FracGASM*MSVolatEF*NtoN2O*kgtoGg,"ERROR"))</f>
        <v>4.2588371425380025</v>
      </c>
      <c r="AN1167" s="94">
        <f>IF('Net zero activities &amp; levers'!$C$14="Off",SUM('Activity data'!BG66:BG81)*FracGASM*MSVolatEF*NtoN2O*kgtoGg,IF('Net zero activities &amp; levers'!$C$14="On",SUM('Net zero Activity data'!BG66:BG81)*FracGASM*MSVolatEF*NtoN2O*kgtoGg,"ERROR"))</f>
        <v>4.2797220284315198</v>
      </c>
      <c r="AO1167" s="94">
        <f>IF('Net zero activities &amp; levers'!$C$14="Off",SUM('Activity data'!BH66:BH81)*FracGASM*MSVolatEF*NtoN2O*kgtoGg,IF('Net zero activities &amp; levers'!$C$14="On",SUM('Net zero Activity data'!BH66:BH81)*FracGASM*MSVolatEF*NtoN2O*kgtoGg,"ERROR"))</f>
        <v>4.2963498578029604</v>
      </c>
      <c r="AP1167" s="94">
        <f>IF('Net zero activities &amp; levers'!$C$14="Off",SUM('Activity data'!BI66:BI81)*FracGASM*MSVolatEF*NtoN2O*kgtoGg,IF('Net zero activities &amp; levers'!$C$14="On",SUM('Net zero Activity data'!BI66:BI81)*FracGASM*MSVolatEF*NtoN2O*kgtoGg,"ERROR"))</f>
        <v>4.3125285701488281</v>
      </c>
      <c r="AQ1167" s="94">
        <f>IF('Net zero activities &amp; levers'!$C$14="Off",SUM('Activity data'!BJ66:BJ81)*FracGASM*MSVolatEF*NtoN2O*kgtoGg,IF('Net zero activities &amp; levers'!$C$14="On",SUM('Net zero Activity data'!BJ66:BJ81)*FracGASM*MSVolatEF*NtoN2O*kgtoGg,"ERROR"))</f>
        <v>4.3291488784909324</v>
      </c>
      <c r="AR1167" s="94">
        <f>IF('Net zero activities &amp; levers'!$C$14="Off",SUM('Activity data'!BK66:BK81)*FracGASM*MSVolatEF*NtoN2O*kgtoGg,IF('Net zero activities &amp; levers'!$C$14="On",SUM('Net zero Activity data'!BK66:BK81)*FracGASM*MSVolatEF*NtoN2O*kgtoGg,"ERROR"))</f>
        <v>4.3464700481298193</v>
      </c>
      <c r="AS1167" s="94">
        <f>IF('Net zero activities &amp; levers'!$C$14="Off",SUM('Activity data'!BL66:BL81)*FracGASM*MSVolatEF*NtoN2O*kgtoGg,IF('Net zero activities &amp; levers'!$C$14="On",SUM('Net zero Activity data'!BL66:BL81)*FracGASM*MSVolatEF*NtoN2O*kgtoGg,"ERROR"))</f>
        <v>4.3694873280939213</v>
      </c>
      <c r="AT1167" s="94">
        <f>IF('Net zero activities &amp; levers'!$C$14="Off",SUM('Activity data'!BM66:BM81)*FracGASM*MSVolatEF*NtoN2O*kgtoGg,IF('Net zero activities &amp; levers'!$C$14="On",SUM('Net zero Activity data'!BM66:BM81)*FracGASM*MSVolatEF*NtoN2O*kgtoGg,"ERROR"))</f>
        <v>4.3680189479011426</v>
      </c>
      <c r="AU1167" s="94">
        <f>IF('Net zero activities &amp; levers'!$C$14="Off",SUM('Activity data'!BN66:BN81)*FracGASM*MSVolatEF*NtoN2O*kgtoGg,IF('Net zero activities &amp; levers'!$C$14="On",SUM('Net zero Activity data'!BN66:BN81)*FracGASM*MSVolatEF*NtoN2O*kgtoGg,"ERROR"))</f>
        <v>4.3640461344633534</v>
      </c>
      <c r="AV1167" s="94">
        <f>IF('Net zero activities &amp; levers'!$C$14="Off",SUM('Activity data'!BO66:BO81)*FracGASM*MSVolatEF*NtoN2O*kgtoGg,IF('Net zero activities &amp; levers'!$C$14="On",SUM('Net zero Activity data'!BO66:BO81)*FracGASM*MSVolatEF*NtoN2O*kgtoGg,"ERROR"))</f>
        <v>4.3599917873846739</v>
      </c>
      <c r="AW1167" s="94">
        <f>IF('Net zero activities &amp; levers'!$C$14="Off",SUM('Activity data'!BP66:BP81)*FracGASM*MSVolatEF*NtoN2O*kgtoGg,IF('Net zero activities &amp; levers'!$C$14="On",SUM('Net zero Activity data'!BP66:BP81)*FracGASM*MSVolatEF*NtoN2O*kgtoGg,"ERROR"))</f>
        <v>4.3548399908669477</v>
      </c>
      <c r="AY1167" s="79"/>
    </row>
    <row r="1168" spans="1:51" x14ac:dyDescent="0.2">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2.27834100209484E-4</v>
      </c>
      <c r="U1168" s="94">
        <f>IF('Net zero activities &amp; levers'!$C$14="Off",'Activity data'!AN47*FracLEACH*MSLeachEF*NtoN2O*kgtoGg,IF('Net zero activities &amp; levers'!$C$14="On",'Net zero Activity data'!AN47*FracLEACH*MSLeachEF*NtoN2O*kgtoGg,"ERROR"))</f>
        <v>2.2777018151970223E-4</v>
      </c>
      <c r="V1168" s="94">
        <f>IF('Net zero activities &amp; levers'!$C$14="Off",'Activity data'!AO47*FracLEACH*MSLeachEF*NtoN2O*kgtoGg,IF('Net zero activities &amp; levers'!$C$14="On",'Net zero Activity data'!AO47*FracLEACH*MSLeachEF*NtoN2O*kgtoGg,"ERROR"))</f>
        <v>2.2772015050135763E-4</v>
      </c>
      <c r="W1168" s="94">
        <f>IF('Net zero activities &amp; levers'!$C$14="Off",'Activity data'!AP47*FracLEACH*MSLeachEF*NtoN2O*kgtoGg,IF('Net zero activities &amp; levers'!$C$14="On",'Net zero Activity data'!AP47*FracLEACH*MSLeachEF*NtoN2O*kgtoGg,"ERROR"))</f>
        <v>2.276738371705614E-4</v>
      </c>
      <c r="X1168" s="94">
        <f>IF('Net zero activities &amp; levers'!$C$14="Off",'Activity data'!AQ47*FracLEACH*MSLeachEF*NtoN2O*kgtoGg,IF('Net zero activities &amp; levers'!$C$14="On",'Net zero Activity data'!AQ47*FracLEACH*MSLeachEF*NtoN2O*kgtoGg,"ERROR"))</f>
        <v>2.2762206875187344E-4</v>
      </c>
      <c r="Y1168" s="94">
        <f>IF('Net zero activities &amp; levers'!$C$14="Off",'Activity data'!AR47*FracLEACH*MSLeachEF*NtoN2O*kgtoGg,IF('Net zero activities &amp; levers'!$C$14="On",'Net zero Activity data'!AR47*FracLEACH*MSLeachEF*NtoN2O*kgtoGg,"ERROR"))</f>
        <v>2.2757366319471181E-4</v>
      </c>
      <c r="Z1168" s="94">
        <f>IF('Net zero activities &amp; levers'!$C$14="Off",'Activity data'!AS47*FracLEACH*MSLeachEF*NtoN2O*kgtoGg,IF('Net zero activities &amp; levers'!$C$14="On",'Net zero Activity data'!AS47*FracLEACH*MSLeachEF*NtoN2O*kgtoGg,"ERROR"))</f>
        <v>2.2753055635684708E-4</v>
      </c>
      <c r="AA1168" s="94">
        <f>IF('Net zero activities &amp; levers'!$C$14="Off",'Activity data'!AT47*FracLEACH*MSLeachEF*NtoN2O*kgtoGg,IF('Net zero activities &amp; levers'!$C$14="On",'Net zero Activity data'!AT47*FracLEACH*MSLeachEF*NtoN2O*kgtoGg,"ERROR"))</f>
        <v>2.2748953843942165E-4</v>
      </c>
      <c r="AB1168" s="94">
        <f>IF('Net zero activities &amp; levers'!$C$14="Off",'Activity data'!AU47*FracLEACH*MSLeachEF*NtoN2O*kgtoGg,IF('Net zero activities &amp; levers'!$C$14="On",'Net zero Activity data'!AU47*FracLEACH*MSLeachEF*NtoN2O*kgtoGg,"ERROR"))</f>
        <v>2.2745132064090905E-4</v>
      </c>
      <c r="AC1168" s="94">
        <f>IF('Net zero activities &amp; levers'!$C$14="Off",'Activity data'!AV47*FracLEACH*MSLeachEF*NtoN2O*kgtoGg,IF('Net zero activities &amp; levers'!$C$14="On",'Net zero Activity data'!AV47*FracLEACH*MSLeachEF*NtoN2O*kgtoGg,"ERROR"))</f>
        <v>2.2740415584344853E-4</v>
      </c>
      <c r="AD1168" s="94">
        <f>IF('Net zero activities &amp; levers'!$C$14="Off",'Activity data'!AW47*FracLEACH*MSLeachEF*NtoN2O*kgtoGg,IF('Net zero activities &amp; levers'!$C$14="On",'Net zero Activity data'!AW47*FracLEACH*MSLeachEF*NtoN2O*kgtoGg,"ERROR"))</f>
        <v>2.2735829067583124E-4</v>
      </c>
      <c r="AE1168" s="94">
        <f>IF('Net zero activities &amp; levers'!$C$14="Off",'Activity data'!AX47*FracLEACH*MSLeachEF*NtoN2O*kgtoGg,IF('Net zero activities &amp; levers'!$C$14="On",'Net zero Activity data'!AX47*FracLEACH*MSLeachEF*NtoN2O*kgtoGg,"ERROR"))</f>
        <v>2.2730935812422204E-4</v>
      </c>
      <c r="AF1168" s="94">
        <f>IF('Net zero activities &amp; levers'!$C$14="Off",'Activity data'!AY47*FracLEACH*MSLeachEF*NtoN2O*kgtoGg,IF('Net zero activities &amp; levers'!$C$14="On",'Net zero Activity data'!AY47*FracLEACH*MSLeachEF*NtoN2O*kgtoGg,"ERROR"))</f>
        <v>2.2725216937257396E-4</v>
      </c>
      <c r="AG1168" s="94">
        <f>IF('Net zero activities &amp; levers'!$C$14="Off",'Activity data'!AZ47*FracLEACH*MSLeachEF*NtoN2O*kgtoGg,IF('Net zero activities &amp; levers'!$C$14="On",'Net zero Activity data'!AZ47*FracLEACH*MSLeachEF*NtoN2O*kgtoGg,"ERROR"))</f>
        <v>2.2719154703648017E-4</v>
      </c>
      <c r="AH1168" s="94">
        <f>IF('Net zero activities &amp; levers'!$C$14="Off",'Activity data'!BA47*FracLEACH*MSLeachEF*NtoN2O*kgtoGg,IF('Net zero activities &amp; levers'!$C$14="On",'Net zero Activity data'!BA47*FracLEACH*MSLeachEF*NtoN2O*kgtoGg,"ERROR"))</f>
        <v>2.2712261624327501E-4</v>
      </c>
      <c r="AI1168" s="94">
        <f>IF('Net zero activities &amp; levers'!$C$14="Off",'Activity data'!BB47*FracLEACH*MSLeachEF*NtoN2O*kgtoGg,IF('Net zero activities &amp; levers'!$C$14="On",'Net zero Activity data'!BB47*FracLEACH*MSLeachEF*NtoN2O*kgtoGg,"ERROR"))</f>
        <v>2.2706841948745679E-4</v>
      </c>
      <c r="AJ1168" s="94">
        <f>IF('Net zero activities &amp; levers'!$C$14="Off",'Activity data'!BC47*FracLEACH*MSLeachEF*NtoN2O*kgtoGg,IF('Net zero activities &amp; levers'!$C$14="On",'Net zero Activity data'!BC47*FracLEACH*MSLeachEF*NtoN2O*kgtoGg,"ERROR"))</f>
        <v>2.2701685142123931E-4</v>
      </c>
      <c r="AK1168" s="94">
        <f>IF('Net zero activities &amp; levers'!$C$14="Off",'Activity data'!BD47*FracLEACH*MSLeachEF*NtoN2O*kgtoGg,IF('Net zero activities &amp; levers'!$C$14="On",'Net zero Activity data'!BD47*FracLEACH*MSLeachEF*NtoN2O*kgtoGg,"ERROR"))</f>
        <v>2.26961407155672E-4</v>
      </c>
      <c r="AL1168" s="94">
        <f>IF('Net zero activities &amp; levers'!$C$14="Off",'Activity data'!BE47*FracLEACH*MSLeachEF*NtoN2O*kgtoGg,IF('Net zero activities &amp; levers'!$C$14="On",'Net zero Activity data'!BE47*FracLEACH*MSLeachEF*NtoN2O*kgtoGg,"ERROR"))</f>
        <v>2.2690841715118691E-4</v>
      </c>
      <c r="AM1168" s="94">
        <f>IF('Net zero activities &amp; levers'!$C$14="Off",'Activity data'!BF47*FracLEACH*MSLeachEF*NtoN2O*kgtoGg,IF('Net zero activities &amp; levers'!$C$14="On",'Net zero Activity data'!BF47*FracLEACH*MSLeachEF*NtoN2O*kgtoGg,"ERROR"))</f>
        <v>2.268536485186568E-4</v>
      </c>
      <c r="AN1168" s="94">
        <f>IF('Net zero activities &amp; levers'!$C$14="Off",'Activity data'!BG47*FracLEACH*MSLeachEF*NtoN2O*kgtoGg,IF('Net zero activities &amp; levers'!$C$14="On",'Net zero Activity data'!BG47*FracLEACH*MSLeachEF*NtoN2O*kgtoGg,"ERROR"))</f>
        <v>2.267992789794407E-4</v>
      </c>
      <c r="AO1168" s="94">
        <f>IF('Net zero activities &amp; levers'!$C$14="Off",'Activity data'!BH47*FracLEACH*MSLeachEF*NtoN2O*kgtoGg,IF('Net zero activities &amp; levers'!$C$14="On",'Net zero Activity data'!BH47*FracLEACH*MSLeachEF*NtoN2O*kgtoGg,"ERROR"))</f>
        <v>2.2673917305261599E-4</v>
      </c>
      <c r="AP1168" s="94">
        <f>IF('Net zero activities &amp; levers'!$C$14="Off",'Activity data'!BI47*FracLEACH*MSLeachEF*NtoN2O*kgtoGg,IF('Net zero activities &amp; levers'!$C$14="On",'Net zero Activity data'!BI47*FracLEACH*MSLeachEF*NtoN2O*kgtoGg,"ERROR"))</f>
        <v>2.2668212317302622E-4</v>
      </c>
      <c r="AQ1168" s="94">
        <f>IF('Net zero activities &amp; levers'!$C$14="Off",'Activity data'!BJ47*FracLEACH*MSLeachEF*NtoN2O*kgtoGg,IF('Net zero activities &amp; levers'!$C$14="On",'Net zero Activity data'!BJ47*FracLEACH*MSLeachEF*NtoN2O*kgtoGg,"ERROR"))</f>
        <v>2.2662502655488093E-4</v>
      </c>
      <c r="AR1168" s="94">
        <f>IF('Net zero activities &amp; levers'!$C$14="Off",'Activity data'!BK47*FracLEACH*MSLeachEF*NtoN2O*kgtoGg,IF('Net zero activities &amp; levers'!$C$14="On",'Net zero Activity data'!BK47*FracLEACH*MSLeachEF*NtoN2O*kgtoGg,"ERROR"))</f>
        <v>2.2656713793114123E-4</v>
      </c>
      <c r="AS1168" s="94">
        <f>IF('Net zero activities &amp; levers'!$C$14="Off",'Activity data'!BL47*FracLEACH*MSLeachEF*NtoN2O*kgtoGg,IF('Net zero activities &amp; levers'!$C$14="On",'Net zero Activity data'!BL47*FracLEACH*MSLeachEF*NtoN2O*kgtoGg,"ERROR"))</f>
        <v>2.2650822239749554E-4</v>
      </c>
      <c r="AT1168" s="94">
        <f>IF('Net zero activities &amp; levers'!$C$14="Off",'Activity data'!BM47*FracLEACH*MSLeachEF*NtoN2O*kgtoGg,IF('Net zero activities &amp; levers'!$C$14="On",'Net zero Activity data'!BM47*FracLEACH*MSLeachEF*NtoN2O*kgtoGg,"ERROR"))</f>
        <v>2.2644299119894249E-4</v>
      </c>
      <c r="AU1168" s="94">
        <f>IF('Net zero activities &amp; levers'!$C$14="Off",'Activity data'!BN47*FracLEACH*MSLeachEF*NtoN2O*kgtoGg,IF('Net zero activities &amp; levers'!$C$14="On",'Net zero Activity data'!BN47*FracLEACH*MSLeachEF*NtoN2O*kgtoGg,"ERROR"))</f>
        <v>2.2639724242481442E-4</v>
      </c>
      <c r="AV1168" s="94">
        <f>IF('Net zero activities &amp; levers'!$C$14="Off",'Activity data'!BO47*FracLEACH*MSLeachEF*NtoN2O*kgtoGg,IF('Net zero activities &amp; levers'!$C$14="On",'Net zero Activity data'!BO47*FracLEACH*MSLeachEF*NtoN2O*kgtoGg,"ERROR"))</f>
        <v>2.2635313187043375E-4</v>
      </c>
      <c r="AW1168" s="94">
        <f>IF('Net zero activities &amp; levers'!$C$14="Off",'Activity data'!BP47*FracLEACH*MSLeachEF*NtoN2O*kgtoGg,IF('Net zero activities &amp; levers'!$C$14="On",'Net zero Activity data'!BP47*FracLEACH*MSLeachEF*NtoN2O*kgtoGg,"ERROR"))</f>
        <v>2.2630866373902947E-4</v>
      </c>
      <c r="AY1168" s="79"/>
    </row>
    <row r="1169" spans="1:51" x14ac:dyDescent="0.2">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1.5037050613825948E-6</v>
      </c>
      <c r="U1169" s="94">
        <f>IF('Net zero activities &amp; levers'!$C$14="Off",'Activity data'!AN48*FracLEACH*MSLeachEF*NtoN2O*kgtoGg,IF('Net zero activities &amp; levers'!$C$14="On",'Net zero Activity data'!AN48*FracLEACH*MSLeachEF*NtoN2O*kgtoGg,"ERROR"))</f>
        <v>1.5032831980300348E-6</v>
      </c>
      <c r="V1169" s="94">
        <f>IF('Net zero activities &amp; levers'!$C$14="Off",'Activity data'!AO48*FracLEACH*MSLeachEF*NtoN2O*kgtoGg,IF('Net zero activities &amp; levers'!$C$14="On",'Net zero Activity data'!AO48*FracLEACH*MSLeachEF*NtoN2O*kgtoGg,"ERROR"))</f>
        <v>1.5029529933089607E-6</v>
      </c>
      <c r="W1169" s="94">
        <f>IF('Net zero activities &amp; levers'!$C$14="Off",'Activity data'!AP48*FracLEACH*MSLeachEF*NtoN2O*kgtoGg,IF('Net zero activities &amp; levers'!$C$14="On",'Net zero Activity data'!AP48*FracLEACH*MSLeachEF*NtoN2O*kgtoGg,"ERROR"))</f>
        <v>1.5026473253257052E-6</v>
      </c>
      <c r="X1169" s="94">
        <f>IF('Net zero activities &amp; levers'!$C$14="Off",'Activity data'!AQ48*FracLEACH*MSLeachEF*NtoN2O*kgtoGg,IF('Net zero activities &amp; levers'!$C$14="On",'Net zero Activity data'!AQ48*FracLEACH*MSLeachEF*NtoN2O*kgtoGg,"ERROR"))</f>
        <v>1.5023056537623651E-6</v>
      </c>
      <c r="Y1169" s="94">
        <f>IF('Net zero activities &amp; levers'!$C$14="Off",'Activity data'!AR48*FracLEACH*MSLeachEF*NtoN2O*kgtoGg,IF('Net zero activities &amp; levers'!$C$14="On",'Net zero Activity data'!AR48*FracLEACH*MSLeachEF*NtoN2O*kgtoGg,"ERROR"))</f>
        <v>1.5019861770850986E-6</v>
      </c>
      <c r="Z1169" s="94">
        <f>IF('Net zero activities &amp; levers'!$C$14="Off",'Activity data'!AS48*FracLEACH*MSLeachEF*NtoN2O*kgtoGg,IF('Net zero activities &amp; levers'!$C$14="On",'Net zero Activity data'!AS48*FracLEACH*MSLeachEF*NtoN2O*kgtoGg,"ERROR"))</f>
        <v>1.501701671955191E-6</v>
      </c>
      <c r="AA1169" s="94">
        <f>IF('Net zero activities &amp; levers'!$C$14="Off",'Activity data'!AT48*FracLEACH*MSLeachEF*NtoN2O*kgtoGg,IF('Net zero activities &amp; levers'!$C$14="On",'Net zero Activity data'!AT48*FracLEACH*MSLeachEF*NtoN2O*kgtoGg,"ERROR"))</f>
        <v>1.5014309537001836E-6</v>
      </c>
      <c r="AB1169" s="94">
        <f>IF('Net zero activities &amp; levers'!$C$14="Off",'Activity data'!AU48*FracLEACH*MSLeachEF*NtoN2O*kgtoGg,IF('Net zero activities &amp; levers'!$C$14="On",'Net zero Activity data'!AU48*FracLEACH*MSLeachEF*NtoN2O*kgtoGg,"ERROR"))</f>
        <v>1.5011787162299995E-6</v>
      </c>
      <c r="AC1169" s="94">
        <f>IF('Net zero activities &amp; levers'!$C$14="Off",'Activity data'!AV48*FracLEACH*MSLeachEF*NtoN2O*kgtoGg,IF('Net zero activities &amp; levers'!$C$14="On",'Net zero Activity data'!AV48*FracLEACH*MSLeachEF*NtoN2O*kgtoGg,"ERROR"))</f>
        <v>1.5008674285667609E-6</v>
      </c>
      <c r="AD1169" s="94">
        <f>IF('Net zero activities &amp; levers'!$C$14="Off",'Activity data'!AW48*FracLEACH*MSLeachEF*NtoN2O*kgtoGg,IF('Net zero activities &amp; levers'!$C$14="On",'Net zero Activity data'!AW48*FracLEACH*MSLeachEF*NtoN2O*kgtoGg,"ERROR"))</f>
        <v>1.5005647184604863E-6</v>
      </c>
      <c r="AE1169" s="94">
        <f>IF('Net zero activities &amp; levers'!$C$14="Off",'Activity data'!AX48*FracLEACH*MSLeachEF*NtoN2O*kgtoGg,IF('Net zero activities &amp; levers'!$C$14="On",'Net zero Activity data'!AX48*FracLEACH*MSLeachEF*NtoN2O*kgtoGg,"ERROR"))</f>
        <v>1.5002417636198659E-6</v>
      </c>
      <c r="AF1169" s="94">
        <f>IF('Net zero activities &amp; levers'!$C$14="Off",'Activity data'!AY48*FracLEACH*MSLeachEF*NtoN2O*kgtoGg,IF('Net zero activities &amp; levers'!$C$14="On",'Net zero Activity data'!AY48*FracLEACH*MSLeachEF*NtoN2O*kgtoGg,"ERROR"))</f>
        <v>1.4998643178589887E-6</v>
      </c>
      <c r="AG1169" s="94">
        <f>IF('Net zero activities &amp; levers'!$C$14="Off",'Activity data'!AZ48*FracLEACH*MSLeachEF*NtoN2O*kgtoGg,IF('Net zero activities &amp; levers'!$C$14="On",'Net zero Activity data'!AZ48*FracLEACH*MSLeachEF*NtoN2O*kgtoGg,"ERROR"))</f>
        <v>1.4994642104407695E-6</v>
      </c>
      <c r="AH1169" s="94">
        <f>IF('Net zero activities &amp; levers'!$C$14="Off",'Activity data'!BA48*FracLEACH*MSLeachEF*NtoN2O*kgtoGg,IF('Net zero activities &amp; levers'!$C$14="On",'Net zero Activity data'!BA48*FracLEACH*MSLeachEF*NtoN2O*kgtoGg,"ERROR"))</f>
        <v>1.4990092672056151E-6</v>
      </c>
      <c r="AI1169" s="94">
        <f>IF('Net zero activities &amp; levers'!$C$14="Off",'Activity data'!BB48*FracLEACH*MSLeachEF*NtoN2O*kgtoGg,IF('Net zero activities &amp; levers'!$C$14="On",'Net zero Activity data'!BB48*FracLEACH*MSLeachEF*NtoN2O*kgtoGg,"ERROR"))</f>
        <v>1.4986515686172149E-6</v>
      </c>
      <c r="AJ1169" s="94">
        <f>IF('Net zero activities &amp; levers'!$C$14="Off",'Activity data'!BC48*FracLEACH*MSLeachEF*NtoN2O*kgtoGg,IF('Net zero activities &amp; levers'!$C$14="On",'Net zero Activity data'!BC48*FracLEACH*MSLeachEF*NtoN2O*kgtoGg,"ERROR"))</f>
        <v>1.49831121938018E-6</v>
      </c>
      <c r="AK1169" s="94">
        <f>IF('Net zero activities &amp; levers'!$C$14="Off",'Activity data'!BD48*FracLEACH*MSLeachEF*NtoN2O*kgtoGg,IF('Net zero activities &amp; levers'!$C$14="On",'Net zero Activity data'!BD48*FracLEACH*MSLeachEF*NtoN2O*kgtoGg,"ERROR"))</f>
        <v>1.4979452872274355E-6</v>
      </c>
      <c r="AL1169" s="94">
        <f>IF('Net zero activities &amp; levers'!$C$14="Off",'Activity data'!BE48*FracLEACH*MSLeachEF*NtoN2O*kgtoGg,IF('Net zero activities &amp; levers'!$C$14="On",'Net zero Activity data'!BE48*FracLEACH*MSLeachEF*NtoN2O*kgtoGg,"ERROR"))</f>
        <v>1.497595553197834E-6</v>
      </c>
      <c r="AM1169" s="94">
        <f>IF('Net zero activities &amp; levers'!$C$14="Off",'Activity data'!BF48*FracLEACH*MSLeachEF*NtoN2O*kgtoGg,IF('Net zero activities &amp; levers'!$C$14="On",'Net zero Activity data'!BF48*FracLEACH*MSLeachEF*NtoN2O*kgtoGg,"ERROR"))</f>
        <v>1.4972340802231352E-6</v>
      </c>
      <c r="AN1169" s="94">
        <f>IF('Net zero activities &amp; levers'!$C$14="Off",'Activity data'!BG48*FracLEACH*MSLeachEF*NtoN2O*kgtoGg,IF('Net zero activities &amp; levers'!$C$14="On",'Net zero Activity data'!BG48*FracLEACH*MSLeachEF*NtoN2O*kgtoGg,"ERROR"))</f>
        <v>1.4968752412643093E-6</v>
      </c>
      <c r="AO1169" s="94">
        <f>IF('Net zero activities &amp; levers'!$C$14="Off",'Activity data'!BH48*FracLEACH*MSLeachEF*NtoN2O*kgtoGg,IF('Net zero activities &amp; levers'!$C$14="On",'Net zero Activity data'!BH48*FracLEACH*MSLeachEF*NtoN2O*kgtoGg,"ERROR"))</f>
        <v>1.4964785421472656E-6</v>
      </c>
      <c r="AP1169" s="94">
        <f>IF('Net zero activities &amp; levers'!$C$14="Off",'Activity data'!BI48*FracLEACH*MSLeachEF*NtoN2O*kgtoGg,IF('Net zero activities &amp; levers'!$C$14="On",'Net zero Activity data'!BI48*FracLEACH*MSLeachEF*NtoN2O*kgtoGg,"ERROR"))</f>
        <v>1.4961020129419735E-6</v>
      </c>
      <c r="AQ1169" s="94">
        <f>IF('Net zero activities &amp; levers'!$C$14="Off",'Activity data'!BJ48*FracLEACH*MSLeachEF*NtoN2O*kgtoGg,IF('Net zero activities &amp; levers'!$C$14="On",'Net zero Activity data'!BJ48*FracLEACH*MSLeachEF*NtoN2O*kgtoGg,"ERROR"))</f>
        <v>1.4957251752622144E-6</v>
      </c>
      <c r="AR1169" s="94">
        <f>IF('Net zero activities &amp; levers'!$C$14="Off",'Activity data'!BK48*FracLEACH*MSLeachEF*NtoN2O*kgtoGg,IF('Net zero activities &amp; levers'!$C$14="On",'Net zero Activity data'!BK48*FracLEACH*MSLeachEF*NtoN2O*kgtoGg,"ERROR"))</f>
        <v>1.4953431103455323E-6</v>
      </c>
      <c r="AS1169" s="94">
        <f>IF('Net zero activities &amp; levers'!$C$14="Off",'Activity data'!BL48*FracLEACH*MSLeachEF*NtoN2O*kgtoGg,IF('Net zero activities &amp; levers'!$C$14="On",'Net zero Activity data'!BL48*FracLEACH*MSLeachEF*NtoN2O*kgtoGg,"ERROR"))</f>
        <v>1.4949542678234709E-6</v>
      </c>
      <c r="AT1169" s="94">
        <f>IF('Net zero activities &amp; levers'!$C$14="Off",'Activity data'!BM48*FracLEACH*MSLeachEF*NtoN2O*kgtoGg,IF('Net zero activities &amp; levers'!$C$14="On",'Net zero Activity data'!BM48*FracLEACH*MSLeachEF*NtoN2O*kgtoGg,"ERROR"))</f>
        <v>1.4945237419130207E-6</v>
      </c>
      <c r="AU1169" s="94">
        <f>IF('Net zero activities &amp; levers'!$C$14="Off",'Activity data'!BN48*FracLEACH*MSLeachEF*NtoN2O*kgtoGg,IF('Net zero activities &amp; levers'!$C$14="On",'Net zero Activity data'!BN48*FracLEACH*MSLeachEF*NtoN2O*kgtoGg,"ERROR"))</f>
        <v>1.4942218000037758E-6</v>
      </c>
      <c r="AV1169" s="94">
        <f>IF('Net zero activities &amp; levers'!$C$14="Off",'Activity data'!BO48*FracLEACH*MSLeachEF*NtoN2O*kgtoGg,IF('Net zero activities &amp; levers'!$C$14="On",'Net zero Activity data'!BO48*FracLEACH*MSLeachEF*NtoN2O*kgtoGg,"ERROR"))</f>
        <v>1.4939306703448634E-6</v>
      </c>
      <c r="AW1169" s="94">
        <f>IF('Net zero activities &amp; levers'!$C$14="Off",'Activity data'!BP48*FracLEACH*MSLeachEF*NtoN2O*kgtoGg,IF('Net zero activities &amp; levers'!$C$14="On",'Net zero Activity data'!BP48*FracLEACH*MSLeachEF*NtoN2O*kgtoGg,"ERROR"))</f>
        <v>1.4936371806775946E-6</v>
      </c>
      <c r="AY1169" s="79"/>
    </row>
    <row r="1170" spans="1:51" x14ac:dyDescent="0.2">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0.20732835560623103</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0.20628301821112838</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0.182530302660765</v>
      </c>
      <c r="T1170" s="94">
        <f>IF('Net zero activities &amp; levers'!$C$14="Off",SUM('Activity data'!AM50:AM65)*FracLEACH*MSLeachEF*NtoN2O*kgtoGg,IF('Net zero activities &amp; levers'!$C$14="On",SUM('Net zero Activity data'!AM50:AM65)*FracLEACH*MSLeachEF*NtoN2O*kgtoGg,"ERROR"))</f>
        <v>0.18648987714377463</v>
      </c>
      <c r="U1170" s="94">
        <f>IF('Net zero activities &amp; levers'!$C$14="Off",SUM('Activity data'!AN50:AN65)*FracLEACH*MSLeachEF*NtoN2O*kgtoGg,IF('Net zero activities &amp; levers'!$C$14="On",SUM('Net zero Activity data'!AN50:AN65)*FracLEACH*MSLeachEF*NtoN2O*kgtoGg,"ERROR"))</f>
        <v>0.18910094694966831</v>
      </c>
      <c r="V1170" s="94">
        <f>IF('Net zero activities &amp; levers'!$C$14="Off",SUM('Activity data'!AO50:AO65)*FracLEACH*MSLeachEF*NtoN2O*kgtoGg,IF('Net zero activities &amp; levers'!$C$14="On",SUM('Net zero Activity data'!AO50:AO65)*FracLEACH*MSLeachEF*NtoN2O*kgtoGg,"ERROR"))</f>
        <v>0.19137660443001928</v>
      </c>
      <c r="W1170" s="94">
        <f>IF('Net zero activities &amp; levers'!$C$14="Off",SUM('Activity data'!AP50:AP65)*FracLEACH*MSLeachEF*NtoN2O*kgtoGg,IF('Net zero activities &amp; levers'!$C$14="On",SUM('Net zero Activity data'!AP50:AP65)*FracLEACH*MSLeachEF*NtoN2O*kgtoGg,"ERROR"))</f>
        <v>0.19424913553411605</v>
      </c>
      <c r="X1170" s="94">
        <f>IF('Net zero activities &amp; levers'!$C$14="Off",SUM('Activity data'!AQ50:AQ65)*FracLEACH*MSLeachEF*NtoN2O*kgtoGg,IF('Net zero activities &amp; levers'!$C$14="On",SUM('Net zero Activity data'!AQ50:AQ65)*FracLEACH*MSLeachEF*NtoN2O*kgtoGg,"ERROR"))</f>
        <v>0.19681866661571523</v>
      </c>
      <c r="Y1170" s="94">
        <f>IF('Net zero activities &amp; levers'!$C$14="Off",SUM('Activity data'!AR50:AR65)*FracLEACH*MSLeachEF*NtoN2O*kgtoGg,IF('Net zero activities &amp; levers'!$C$14="On",SUM('Net zero Activity data'!AR50:AR65)*FracLEACH*MSLeachEF*NtoN2O*kgtoGg,"ERROR"))</f>
        <v>0.198887773981097</v>
      </c>
      <c r="Z1170" s="94">
        <f>IF('Net zero activities &amp; levers'!$C$14="Off",SUM('Activity data'!AS50:AS65)*FracLEACH*MSLeachEF*NtoN2O*kgtoGg,IF('Net zero activities &amp; levers'!$C$14="On",SUM('Net zero Activity data'!AS50:AS65)*FracLEACH*MSLeachEF*NtoN2O*kgtoGg,"ERROR"))</f>
        <v>0.20077347633776868</v>
      </c>
      <c r="AA1170" s="94">
        <f>IF('Net zero activities &amp; levers'!$C$14="Off",SUM('Activity data'!AT50:AT65)*FracLEACH*MSLeachEF*NtoN2O*kgtoGg,IF('Net zero activities &amp; levers'!$C$14="On",SUM('Net zero Activity data'!AT50:AT65)*FracLEACH*MSLeachEF*NtoN2O*kgtoGg,"ERROR"))</f>
        <v>0.20239928167285137</v>
      </c>
      <c r="AB1170" s="94">
        <f>IF('Net zero activities &amp; levers'!$C$14="Off",SUM('Activity data'!AU50:AU65)*FracLEACH*MSLeachEF*NtoN2O*kgtoGg,IF('Net zero activities &amp; levers'!$C$14="On",SUM('Net zero Activity data'!AU50:AU65)*FracLEACH*MSLeachEF*NtoN2O*kgtoGg,"ERROR"))</f>
        <v>0.20498371434502882</v>
      </c>
      <c r="AC1170" s="94">
        <f>IF('Net zero activities &amp; levers'!$C$14="Off",SUM('Activity data'!AV50:AV65)*FracLEACH*MSLeachEF*NtoN2O*kgtoGg,IF('Net zero activities &amp; levers'!$C$14="On",SUM('Net zero Activity data'!AV50:AV65)*FracLEACH*MSLeachEF*NtoN2O*kgtoGg,"ERROR"))</f>
        <v>0.20746608089631127</v>
      </c>
      <c r="AD1170" s="94">
        <f>IF('Net zero activities &amp; levers'!$C$14="Off",SUM('Activity data'!AW50:AW65)*FracLEACH*MSLeachEF*NtoN2O*kgtoGg,IF('Net zero activities &amp; levers'!$C$14="On",SUM('Net zero Activity data'!AW50:AW65)*FracLEACH*MSLeachEF*NtoN2O*kgtoGg,"ERROR"))</f>
        <v>0.20958576032870826</v>
      </c>
      <c r="AE1170" s="94">
        <f>IF('Net zero activities &amp; levers'!$C$14="Off",SUM('Activity data'!AX50:AX65)*FracLEACH*MSLeachEF*NtoN2O*kgtoGg,IF('Net zero activities &amp; levers'!$C$14="On",SUM('Net zero Activity data'!AX50:AX65)*FracLEACH*MSLeachEF*NtoN2O*kgtoGg,"ERROR"))</f>
        <v>0.2125868864780032</v>
      </c>
      <c r="AF1170" s="94">
        <f>IF('Net zero activities &amp; levers'!$C$14="Off",SUM('Activity data'!AY50:AY65)*FracLEACH*MSLeachEF*NtoN2O*kgtoGg,IF('Net zero activities &amp; levers'!$C$14="On",SUM('Net zero Activity data'!AY50:AY65)*FracLEACH*MSLeachEF*NtoN2O*kgtoGg,"ERROR"))</f>
        <v>0.21597094750707838</v>
      </c>
      <c r="AG1170" s="94">
        <f>IF('Net zero activities &amp; levers'!$C$14="Off",SUM('Activity data'!AZ50:AZ65)*FracLEACH*MSLeachEF*NtoN2O*kgtoGg,IF('Net zero activities &amp; levers'!$C$14="On",SUM('Net zero Activity data'!AZ50:AZ65)*FracLEACH*MSLeachEF*NtoN2O*kgtoGg,"ERROR"))</f>
        <v>0.22026882906379694</v>
      </c>
      <c r="AH1170" s="94">
        <f>IF('Net zero activities &amp; levers'!$C$14="Off",SUM('Activity data'!BA50:BA65)*FracLEACH*MSLeachEF*NtoN2O*kgtoGg,IF('Net zero activities &amp; levers'!$C$14="On",SUM('Net zero Activity data'!BA50:BA65)*FracLEACH*MSLeachEF*NtoN2O*kgtoGg,"ERROR"))</f>
        <v>0.22301109036461528</v>
      </c>
      <c r="AI1170" s="94">
        <f>IF('Net zero activities &amp; levers'!$C$14="Off",SUM('Activity data'!BB50:BB65)*FracLEACH*MSLeachEF*NtoN2O*kgtoGg,IF('Net zero activities &amp; levers'!$C$14="On",SUM('Net zero Activity data'!BB50:BB65)*FracLEACH*MSLeachEF*NtoN2O*kgtoGg,"ERROR"))</f>
        <v>0.2254871975923895</v>
      </c>
      <c r="AJ1170" s="94">
        <f>IF('Net zero activities &amp; levers'!$C$14="Off",SUM('Activity data'!BC50:BC65)*FracLEACH*MSLeachEF*NtoN2O*kgtoGg,IF('Net zero activities &amp; levers'!$C$14="On",SUM('Net zero Activity data'!BC50:BC65)*FracLEACH*MSLeachEF*NtoN2O*kgtoGg,"ERROR"))</f>
        <v>0.22839683791849513</v>
      </c>
      <c r="AK1170" s="94">
        <f>IF('Net zero activities &amp; levers'!$C$14="Off",SUM('Activity data'!BD50:BD65)*FracLEACH*MSLeachEF*NtoN2O*kgtoGg,IF('Net zero activities &amp; levers'!$C$14="On",SUM('Net zero Activity data'!BD50:BD65)*FracLEACH*MSLeachEF*NtoN2O*kgtoGg,"ERROR"))</f>
        <v>0.23105301030632744</v>
      </c>
      <c r="AL1170" s="94">
        <f>IF('Net zero activities &amp; levers'!$C$14="Off",SUM('Activity data'!BE50:BE65)*FracLEACH*MSLeachEF*NtoN2O*kgtoGg,IF('Net zero activities &amp; levers'!$C$14="On",SUM('Net zero Activity data'!BE50:BE65)*FracLEACH*MSLeachEF*NtoN2O*kgtoGg,"ERROR"))</f>
        <v>0.23391741682705808</v>
      </c>
      <c r="AM1170" s="94">
        <f>IF('Net zero activities &amp; levers'!$C$14="Off",SUM('Activity data'!BF50:BF65)*FracLEACH*MSLeachEF*NtoN2O*kgtoGg,IF('Net zero activities &amp; levers'!$C$14="On",SUM('Net zero Activity data'!BF50:BF65)*FracLEACH*MSLeachEF*NtoN2O*kgtoGg,"ERROR"))</f>
        <v>0.23675201366324419</v>
      </c>
      <c r="AN1170" s="94">
        <f>IF('Net zero activities &amp; levers'!$C$14="Off",SUM('Activity data'!BG50:BG65)*FracLEACH*MSLeachEF*NtoN2O*kgtoGg,IF('Net zero activities &amp; levers'!$C$14="On",SUM('Net zero Activity data'!BG50:BG65)*FracLEACH*MSLeachEF*NtoN2O*kgtoGg,"ERROR"))</f>
        <v>0.24068683453385165</v>
      </c>
      <c r="AO1170" s="94">
        <f>IF('Net zero activities &amp; levers'!$C$14="Off",SUM('Activity data'!BH50:BH65)*FracLEACH*MSLeachEF*NtoN2O*kgtoGg,IF('Net zero activities &amp; levers'!$C$14="On",SUM('Net zero Activity data'!BH50:BH65)*FracLEACH*MSLeachEF*NtoN2O*kgtoGg,"ERROR"))</f>
        <v>0.24431807258428889</v>
      </c>
      <c r="AP1170" s="94">
        <f>IF('Net zero activities &amp; levers'!$C$14="Off",SUM('Activity data'!BI50:BI65)*FracLEACH*MSLeachEF*NtoN2O*kgtoGg,IF('Net zero activities &amp; levers'!$C$14="On",SUM('Net zero Activity data'!BI50:BI65)*FracLEACH*MSLeachEF*NtoN2O*kgtoGg,"ERROR"))</f>
        <v>0.247990087587761</v>
      </c>
      <c r="AQ1170" s="94">
        <f>IF('Net zero activities &amp; levers'!$C$14="Off",SUM('Activity data'!BJ50:BJ65)*FracLEACH*MSLeachEF*NtoN2O*kgtoGg,IF('Net zero activities &amp; levers'!$C$14="On",SUM('Net zero Activity data'!BJ50:BJ65)*FracLEACH*MSLeachEF*NtoN2O*kgtoGg,"ERROR"))</f>
        <v>0.25178910033750079</v>
      </c>
      <c r="AR1170" s="94">
        <f>IF('Net zero activities &amp; levers'!$C$14="Off",SUM('Activity data'!BK50:BK65)*FracLEACH*MSLeachEF*NtoN2O*kgtoGg,IF('Net zero activities &amp; levers'!$C$14="On",SUM('Net zero Activity data'!BK50:BK65)*FracLEACH*MSLeachEF*NtoN2O*kgtoGg,"ERROR"))</f>
        <v>0.25574542310185078</v>
      </c>
      <c r="AS1170" s="94">
        <f>IF('Net zero activities &amp; levers'!$C$14="Off",SUM('Activity data'!BL50:BL65)*FracLEACH*MSLeachEF*NtoN2O*kgtoGg,IF('Net zero activities &amp; levers'!$C$14="On",SUM('Net zero Activity data'!BL50:BL65)*FracLEACH*MSLeachEF*NtoN2O*kgtoGg,"ERROR"))</f>
        <v>0.26048600400632033</v>
      </c>
      <c r="AT1170" s="94">
        <f>IF('Net zero activities &amp; levers'!$C$14="Off",SUM('Activity data'!BM50:BM65)*FracLEACH*MSLeachEF*NtoN2O*kgtoGg,IF('Net zero activities &amp; levers'!$C$14="On",SUM('Net zero Activity data'!BM50:BM65)*FracLEACH*MSLeachEF*NtoN2O*kgtoGg,"ERROR"))</f>
        <v>0.2629760462317593</v>
      </c>
      <c r="AU1170" s="94">
        <f>IF('Net zero activities &amp; levers'!$C$14="Off",SUM('Activity data'!BN50:BN65)*FracLEACH*MSLeachEF*NtoN2O*kgtoGg,IF('Net zero activities &amp; levers'!$C$14="On",SUM('Net zero Activity data'!BN50:BN65)*FracLEACH*MSLeachEF*NtoN2O*kgtoGg,"ERROR"))</f>
        <v>0.26529006833740182</v>
      </c>
      <c r="AV1170" s="94">
        <f>IF('Net zero activities &amp; levers'!$C$14="Off",SUM('Activity data'!BO50:BO65)*FracLEACH*MSLeachEF*NtoN2O*kgtoGg,IF('Net zero activities &amp; levers'!$C$14="On",SUM('Net zero Activity data'!BO50:BO65)*FracLEACH*MSLeachEF*NtoN2O*kgtoGg,"ERROR"))</f>
        <v>0.26766308982794251</v>
      </c>
      <c r="AW1170" s="94">
        <f>IF('Net zero activities &amp; levers'!$C$14="Off",SUM('Activity data'!BP50:BP65)*FracLEACH*MSLeachEF*NtoN2O*kgtoGg,IF('Net zero activities &amp; levers'!$C$14="On",SUM('Net zero Activity data'!BP50:BP65)*FracLEACH*MSLeachEF*NtoN2O*kgtoGg,"ERROR"))</f>
        <v>0.26999671566798311</v>
      </c>
      <c r="AY1170" s="79"/>
    </row>
    <row r="1171" spans="1:51" x14ac:dyDescent="0.2">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2">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0.10241934435921343</v>
      </c>
      <c r="U1172" s="22">
        <f t="shared" si="381"/>
        <v>0.10289653491421205</v>
      </c>
      <c r="V1172" s="22">
        <f t="shared" si="381"/>
        <v>0.10327004584650011</v>
      </c>
      <c r="W1172" s="22">
        <f t="shared" si="381"/>
        <v>0.10361580205805489</v>
      </c>
      <c r="X1172" s="22">
        <f t="shared" si="381"/>
        <v>0.10400228370418145</v>
      </c>
      <c r="Y1172" s="22">
        <f t="shared" si="381"/>
        <v>0.10436365961419813</v>
      </c>
      <c r="Z1172" s="22">
        <f t="shared" si="381"/>
        <v>0.10468547747303018</v>
      </c>
      <c r="AA1172" s="22">
        <f t="shared" si="381"/>
        <v>0.10499170031407964</v>
      </c>
      <c r="AB1172" s="22">
        <f t="shared" si="381"/>
        <v>0.10527701862309623</v>
      </c>
      <c r="AC1172" s="22">
        <f t="shared" si="381"/>
        <v>0.1056291315333171</v>
      </c>
      <c r="AD1172" s="22">
        <f t="shared" si="381"/>
        <v>0.10597154194356044</v>
      </c>
      <c r="AE1172" s="22">
        <f t="shared" si="381"/>
        <v>0.10633685217660206</v>
      </c>
      <c r="AF1172" s="22">
        <f t="shared" si="381"/>
        <v>0.10676379979132655</v>
      </c>
      <c r="AG1172" s="22">
        <f t="shared" si="381"/>
        <v>0.10721638113028523</v>
      </c>
      <c r="AH1172" s="22">
        <f t="shared" si="381"/>
        <v>0.10773098998066055</v>
      </c>
      <c r="AI1172" s="22">
        <f t="shared" si="381"/>
        <v>0.10813560058948724</v>
      </c>
      <c r="AJ1172" s="22">
        <f t="shared" si="381"/>
        <v>0.10852058648676627</v>
      </c>
      <c r="AK1172" s="22">
        <f t="shared" si="381"/>
        <v>0.10893451048846137</v>
      </c>
      <c r="AL1172" s="22">
        <f t="shared" si="381"/>
        <v>0.10933011198993048</v>
      </c>
      <c r="AM1172" s="22">
        <f t="shared" si="381"/>
        <v>0.10973899199424218</v>
      </c>
      <c r="AN1172" s="22">
        <f t="shared" si="381"/>
        <v>0.11014489253259981</v>
      </c>
      <c r="AO1172" s="22">
        <f t="shared" si="381"/>
        <v>0.11059361857310758</v>
      </c>
      <c r="AP1172" s="22">
        <f t="shared" si="381"/>
        <v>0.11101952942636521</v>
      </c>
      <c r="AQ1172" s="22">
        <f t="shared" si="381"/>
        <v>0.11144578921038648</v>
      </c>
      <c r="AR1172" s="22">
        <f t="shared" si="381"/>
        <v>0.11187796178126933</v>
      </c>
      <c r="AS1172" s="22">
        <f t="shared" si="381"/>
        <v>0.11231780083764567</v>
      </c>
      <c r="AT1172" s="22">
        <f t="shared" si="381"/>
        <v>0.1128047900413833</v>
      </c>
      <c r="AU1172" s="22">
        <f t="shared" si="381"/>
        <v>0.11314633150587833</v>
      </c>
      <c r="AV1172" s="22">
        <f t="shared" si="381"/>
        <v>0.11347564269792666</v>
      </c>
      <c r="AW1172" s="22">
        <f t="shared" si="381"/>
        <v>0.1138076234124414</v>
      </c>
      <c r="AY1172" s="79"/>
    </row>
    <row r="1173" spans="1:51" x14ac:dyDescent="0.2">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2">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2">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2">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2">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2">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2">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2">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2">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2">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2">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2">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2">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0.39831175345583053</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0.40481416413578281</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0.40855374420631185</v>
      </c>
      <c r="S1185" s="94">
        <f>IF('Net zero activities &amp; levers'!$C$14="Off",Constants!$H63*'Activity data'!AL5*Constants!$H81*EF!$H206*MMVolatEF*NtoN2O*kgtoGg,IF('Net zero activities &amp; levers'!$C$14="On",Constants!$H63*'Net zero Activity data'!AL5*Constants!$H81*EF!$H206*MMVolatEF*NtoN2O*kgtoGg,"ERROR"))</f>
        <v>0.39736949652274572</v>
      </c>
      <c r="T1185" s="94">
        <f>IF('Net zero activities &amp; levers'!$C$14="Off",Constants!$H63*'Activity data'!AM5*Constants!$H81*EF!$H206*MMVolatEF*NtoN2O*kgtoGg,IF('Net zero activities &amp; levers'!$C$14="On",Constants!$H63*'Net zero Activity data'!AM5*Constants!$H81*EF!$H206*MMVolatEF*NtoN2O*kgtoGg,"ERROR"))</f>
        <v>0.40193613647411602</v>
      </c>
      <c r="U1185" s="94">
        <f>IF('Net zero activities &amp; levers'!$C$14="Off",Constants!$H63*'Activity data'!AN5*Constants!$H81*EF!$H206*MMVolatEF*NtoN2O*kgtoGg,IF('Net zero activities &amp; levers'!$C$14="On",Constants!$H63*'Net zero Activity data'!AN5*Constants!$H81*EF!$H206*MMVolatEF*NtoN2O*kgtoGg,"ERROR"))</f>
        <v>0.40551458062818502</v>
      </c>
      <c r="V1185" s="94">
        <f>IF('Net zero activities &amp; levers'!$C$14="Off",Constants!$H63*'Activity data'!AO5*Constants!$H81*EF!$H206*MMVolatEF*NtoN2O*kgtoGg,IF('Net zero activities &amp; levers'!$C$14="On",Constants!$H63*'Net zero Activity data'!AO5*Constants!$H81*EF!$H206*MMVolatEF*NtoN2O*kgtoGg,"ERROR"))</f>
        <v>0.40890476326282849</v>
      </c>
      <c r="W1185" s="94">
        <f>IF('Net zero activities &amp; levers'!$C$14="Off",Constants!$H63*'Activity data'!AP5*Constants!$H81*EF!$H206*MMVolatEF*NtoN2O*kgtoGg,IF('Net zero activities &amp; levers'!$C$14="On",Constants!$H63*'Net zero Activity data'!AP5*Constants!$H81*EF!$H206*MMVolatEF*NtoN2O*kgtoGg,"ERROR"))</f>
        <v>0.41286821795762335</v>
      </c>
      <c r="X1185" s="94">
        <f>IF('Net zero activities &amp; levers'!$C$14="Off",Constants!$H63*'Activity data'!AQ5*Constants!$H81*EF!$H206*MMVolatEF*NtoN2O*kgtoGg,IF('Net zero activities &amp; levers'!$C$14="On",Constants!$H63*'Net zero Activity data'!AQ5*Constants!$H81*EF!$H206*MMVolatEF*NtoN2O*kgtoGg,"ERROR"))</f>
        <v>0.4166639118790918</v>
      </c>
      <c r="Y1185" s="94">
        <f>IF('Net zero activities &amp; levers'!$C$14="Off",Constants!$H63*'Activity data'!AR5*Constants!$H81*EF!$H206*MMVolatEF*NtoN2O*kgtoGg,IF('Net zero activities &amp; levers'!$C$14="On",Constants!$H63*'Net zero Activity data'!AR5*Constants!$H81*EF!$H206*MMVolatEF*NtoN2O*kgtoGg,"ERROR"))</f>
        <v>0.4198473343142145</v>
      </c>
      <c r="Z1185" s="94">
        <f>IF('Net zero activities &amp; levers'!$C$14="Off",Constants!$H63*'Activity data'!AS5*Constants!$H81*EF!$H206*MMVolatEF*NtoN2O*kgtoGg,IF('Net zero activities &amp; levers'!$C$14="On",Constants!$H63*'Net zero Activity data'!AS5*Constants!$H81*EF!$H206*MMVolatEF*NtoN2O*kgtoGg,"ERROR"))</f>
        <v>0.42294233840413964</v>
      </c>
      <c r="AA1185" s="94">
        <f>IF('Net zero activities &amp; levers'!$C$14="Off",Constants!$H63*'Activity data'!AT5*Constants!$H81*EF!$H206*MMVolatEF*NtoN2O*kgtoGg,IF('Net zero activities &amp; levers'!$C$14="On",Constants!$H63*'Net zero Activity data'!AT5*Constants!$H81*EF!$H206*MMVolatEF*NtoN2O*kgtoGg,"ERROR"))</f>
        <v>0.42587799118724151</v>
      </c>
      <c r="AB1185" s="94">
        <f>IF('Net zero activities &amp; levers'!$C$14="Off",Constants!$H63*'Activity data'!AU5*Constants!$H81*EF!$H206*MMVolatEF*NtoN2O*kgtoGg,IF('Net zero activities &amp; levers'!$C$14="On",Constants!$H63*'Net zero Activity data'!AU5*Constants!$H81*EF!$H206*MMVolatEF*NtoN2O*kgtoGg,"ERROR"))</f>
        <v>0.42969675362549747</v>
      </c>
      <c r="AC1185" s="94">
        <f>IF('Net zero activities &amp; levers'!$C$14="Off",Constants!$H63*'Activity data'!AV5*Constants!$H81*EF!$H206*MMVolatEF*NtoN2O*kgtoGg,IF('Net zero activities &amp; levers'!$C$14="On",Constants!$H63*'Net zero Activity data'!AV5*Constants!$H81*EF!$H206*MMVolatEF*NtoN2O*kgtoGg,"ERROR"))</f>
        <v>0.43349587939767537</v>
      </c>
      <c r="AD1185" s="94">
        <f>IF('Net zero activities &amp; levers'!$C$14="Off",Constants!$H63*'Activity data'!AW5*Constants!$H81*EF!$H206*MMVolatEF*NtoN2O*kgtoGg,IF('Net zero activities &amp; levers'!$C$14="On",Constants!$H63*'Net zero Activity data'!AW5*Constants!$H81*EF!$H206*MMVolatEF*NtoN2O*kgtoGg,"ERROR"))</f>
        <v>0.43745946625570531</v>
      </c>
      <c r="AE1185" s="94">
        <f>IF('Net zero activities &amp; levers'!$C$14="Off",Constants!$H63*'Activity data'!AX5*Constants!$H81*EF!$H206*MMVolatEF*NtoN2O*kgtoGg,IF('Net zero activities &amp; levers'!$C$14="On",Constants!$H63*'Net zero Activity data'!AX5*Constants!$H81*EF!$H206*MMVolatEF*NtoN2O*kgtoGg,"ERROR"))</f>
        <v>0.44229495321809359</v>
      </c>
      <c r="AF1185" s="94">
        <f>IF('Net zero activities &amp; levers'!$C$14="Off",Constants!$H63*'Activity data'!AY5*Constants!$H81*EF!$H206*MMVolatEF*NtoN2O*kgtoGg,IF('Net zero activities &amp; levers'!$C$14="On",Constants!$H63*'Net zero Activity data'!AY5*Constants!$H81*EF!$H206*MMVolatEF*NtoN2O*kgtoGg,"ERROR"))</f>
        <v>0.44758124575636155</v>
      </c>
      <c r="AG1185" s="94">
        <f>IF('Net zero activities &amp; levers'!$C$14="Off",Constants!$H63*'Activity data'!AZ5*Constants!$H81*EF!$H206*MMVolatEF*NtoN2O*kgtoGg,IF('Net zero activities &amp; levers'!$C$14="On",Constants!$H63*'Net zero Activity data'!AZ5*Constants!$H81*EF!$H206*MMVolatEF*NtoN2O*kgtoGg,"ERROR"))</f>
        <v>0.45381269752253439</v>
      </c>
      <c r="AH1185" s="94">
        <f>IF('Net zero activities &amp; levers'!$C$14="Off",Constants!$H63*'Activity data'!BA5*Constants!$H81*EF!$H206*MMVolatEF*NtoN2O*kgtoGg,IF('Net zero activities &amp; levers'!$C$14="On",Constants!$H63*'Net zero Activity data'!BA5*Constants!$H81*EF!$H206*MMVolatEF*NtoN2O*kgtoGg,"ERROR"))</f>
        <v>0.45874802300299961</v>
      </c>
      <c r="AI1185" s="94">
        <f>IF('Net zero activities &amp; levers'!$C$14="Off",Constants!$H63*'Activity data'!BB5*Constants!$H81*EF!$H206*MMVolatEF*NtoN2O*kgtoGg,IF('Net zero activities &amp; levers'!$C$14="On",Constants!$H63*'Net zero Activity data'!BB5*Constants!$H81*EF!$H206*MMVolatEF*NtoN2O*kgtoGg,"ERROR"))</f>
        <v>0.46333288688967006</v>
      </c>
      <c r="AJ1185" s="94">
        <f>IF('Net zero activities &amp; levers'!$C$14="Off",Constants!$H63*'Activity data'!BC5*Constants!$H81*EF!$H206*MMVolatEF*NtoN2O*kgtoGg,IF('Net zero activities &amp; levers'!$C$14="On",Constants!$H63*'Net zero Activity data'!BC5*Constants!$H81*EF!$H206*MMVolatEF*NtoN2O*kgtoGg,"ERROR"))</f>
        <v>0.46842040791737738</v>
      </c>
      <c r="AK1185" s="94">
        <f>IF('Net zero activities &amp; levers'!$C$14="Off",Constants!$H63*'Activity data'!BD5*Constants!$H81*EF!$H206*MMVolatEF*NtoN2O*kgtoGg,IF('Net zero activities &amp; levers'!$C$14="On",Constants!$H63*'Net zero Activity data'!BD5*Constants!$H81*EF!$H206*MMVolatEF*NtoN2O*kgtoGg,"ERROR"))</f>
        <v>0.47337132456140918</v>
      </c>
      <c r="AL1185" s="94">
        <f>IF('Net zero activities &amp; levers'!$C$14="Off",Constants!$H63*'Activity data'!BE5*Constants!$H81*EF!$H206*MMVolatEF*NtoN2O*kgtoGg,IF('Net zero activities &amp; levers'!$C$14="On",Constants!$H63*'Net zero Activity data'!BE5*Constants!$H81*EF!$H206*MMVolatEF*NtoN2O*kgtoGg,"ERROR"))</f>
        <v>0.47862201153126527</v>
      </c>
      <c r="AM1185" s="94">
        <f>IF('Net zero activities &amp; levers'!$C$14="Off",Constants!$H63*'Activity data'!BF5*Constants!$H81*EF!$H206*MMVolatEF*NtoN2O*kgtoGg,IF('Net zero activities &amp; levers'!$C$14="On",Constants!$H63*'Net zero Activity data'!BF5*Constants!$H81*EF!$H206*MMVolatEF*NtoN2O*kgtoGg,"ERROR"))</f>
        <v>0.48394817784516875</v>
      </c>
      <c r="AN1185" s="94">
        <f>IF('Net zero activities &amp; levers'!$C$14="Off",Constants!$H63*'Activity data'!BG5*Constants!$H81*EF!$H206*MMVolatEF*NtoN2O*kgtoGg,IF('Net zero activities &amp; levers'!$C$14="On",Constants!$H63*'Net zero Activity data'!BG5*Constants!$H81*EF!$H206*MMVolatEF*NtoN2O*kgtoGg,"ERROR"))</f>
        <v>0.48983437623076936</v>
      </c>
      <c r="AO1185" s="94">
        <f>IF('Net zero activities &amp; levers'!$C$14="Off",Constants!$H63*'Activity data'!BH5*Constants!$H81*EF!$H206*MMVolatEF*NtoN2O*kgtoGg,IF('Net zero activities &amp; levers'!$C$14="On",Constants!$H63*'Net zero Activity data'!BH5*Constants!$H81*EF!$H206*MMVolatEF*NtoN2O*kgtoGg,"ERROR"))</f>
        <v>0.49551952889490208</v>
      </c>
      <c r="AP1185" s="94">
        <f>IF('Net zero activities &amp; levers'!$C$14="Off",Constants!$H63*'Activity data'!BI5*Constants!$H81*EF!$H206*MMVolatEF*NtoN2O*kgtoGg,IF('Net zero activities &amp; levers'!$C$14="On",Constants!$H63*'Net zero Activity data'!BI5*Constants!$H81*EF!$H206*MMVolatEF*NtoN2O*kgtoGg,"ERROR"))</f>
        <v>0.50133983118096659</v>
      </c>
      <c r="AQ1185" s="94">
        <f>IF('Net zero activities &amp; levers'!$C$14="Off",Constants!$H63*'Activity data'!BJ5*Constants!$H81*EF!$H206*MMVolatEF*NtoN2O*kgtoGg,IF('Net zero activities &amp; levers'!$C$14="On",Constants!$H63*'Net zero Activity data'!BJ5*Constants!$H81*EF!$H206*MMVolatEF*NtoN2O*kgtoGg,"ERROR"))</f>
        <v>0.50738353443884876</v>
      </c>
      <c r="AR1185" s="94">
        <f>IF('Net zero activities &amp; levers'!$C$14="Off",Constants!$H63*'Activity data'!BK5*Constants!$H81*EF!$H206*MMVolatEF*NtoN2O*kgtoGg,IF('Net zero activities &amp; levers'!$C$14="On",Constants!$H63*'Net zero Activity data'!BK5*Constants!$H81*EF!$H206*MMVolatEF*NtoN2O*kgtoGg,"ERROR"))</f>
        <v>0.51368519045610384</v>
      </c>
      <c r="AS1185" s="94">
        <f>IF('Net zero activities &amp; levers'!$C$14="Off",Constants!$H63*'Activity data'!BL5*Constants!$H81*EF!$H206*MMVolatEF*NtoN2O*kgtoGg,IF('Net zero activities &amp; levers'!$C$14="On",Constants!$H63*'Net zero Activity data'!BL5*Constants!$H81*EF!$H206*MMVolatEF*NtoN2O*kgtoGg,"ERROR"))</f>
        <v>0.52070203752488053</v>
      </c>
      <c r="AT1185" s="94">
        <f>IF('Net zero activities &amp; levers'!$C$14="Off",Constants!$H63*'Activity data'!BM5*Constants!$H81*EF!$H206*MMVolatEF*NtoN2O*kgtoGg,IF('Net zero activities &amp; levers'!$C$14="On",Constants!$H63*'Net zero Activity data'!BM5*Constants!$H81*EF!$H206*MMVolatEF*NtoN2O*kgtoGg,"ERROR"))</f>
        <v>0.52550112442398844</v>
      </c>
      <c r="AU1185" s="94">
        <f>IF('Net zero activities &amp; levers'!$C$14="Off",Constants!$H63*'Activity data'!BN5*Constants!$H81*EF!$H206*MMVolatEF*NtoN2O*kgtoGg,IF('Net zero activities &amp; levers'!$C$14="On",Constants!$H63*'Net zero Activity data'!BN5*Constants!$H81*EF!$H206*MMVolatEF*NtoN2O*kgtoGg,"ERROR"))</f>
        <v>0.53018983852857582</v>
      </c>
      <c r="AV1185" s="94">
        <f>IF('Net zero activities &amp; levers'!$C$14="Off",Constants!$H63*'Activity data'!BO5*Constants!$H81*EF!$H206*MMVolatEF*NtoN2O*kgtoGg,IF('Net zero activities &amp; levers'!$C$14="On",Constants!$H63*'Net zero Activity data'!BO5*Constants!$H81*EF!$H206*MMVolatEF*NtoN2O*kgtoGg,"ERROR"))</f>
        <v>0.53501141383334805</v>
      </c>
      <c r="AW1185" s="94">
        <f>IF('Net zero activities &amp; levers'!$C$14="Off",Constants!$H63*'Activity data'!BP5*Constants!$H81*EF!$H206*MMVolatEF*NtoN2O*kgtoGg,IF('Net zero activities &amp; levers'!$C$14="On",Constants!$H63*'Net zero Activity data'!BP5*Constants!$H81*EF!$H206*MMVolatEF*NtoN2O*kgtoGg,"ERROR"))</f>
        <v>0.53986293449927925</v>
      </c>
      <c r="AY1185" s="79"/>
    </row>
    <row r="1186" spans="1:51" x14ac:dyDescent="0.2">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3.1424516095088999E-2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3.1937519056453263E-2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3.2232550506305392E-2</v>
      </c>
      <c r="S1186" s="94">
        <f>IF('Net zero activities &amp; levers'!$C$14="Off",Constants!$H64*'Activity data'!AL6*Constants!$H82*EF!$H207*MMVolatEF*NtoN2O*kgtoGg,IF('Net zero activities &amp; levers'!$C$14="On",Constants!$H64*'Net zero Activity data'!AL6*Constants!$H82*EF!$H207*MMVolatEF*NtoN2O*kgtoGg,"ERROR"))</f>
        <v>3.1350177419660695E-2</v>
      </c>
      <c r="T1186" s="94">
        <f>IF('Net zero activities &amp; levers'!$C$14="Off",Constants!$H64*'Activity data'!AM6*Constants!$H82*EF!$H207*MMVolatEF*NtoN2O*kgtoGg,IF('Net zero activities &amp; levers'!$C$14="On",Constants!$H64*'Net zero Activity data'!AM6*Constants!$H82*EF!$H207*MMVolatEF*NtoN2O*kgtoGg,"ERROR"))</f>
        <v>3.1710459157287665E-2</v>
      </c>
      <c r="U1186" s="94">
        <f>IF('Net zero activities &amp; levers'!$C$14="Off",Constants!$H64*'Activity data'!AN6*Constants!$H82*EF!$H207*MMVolatEF*NtoN2O*kgtoGg,IF('Net zero activities &amp; levers'!$C$14="On",Constants!$H64*'Net zero Activity data'!AN6*Constants!$H82*EF!$H207*MMVolatEF*NtoN2O*kgtoGg,"ERROR"))</f>
        <v>3.19927779062055E-2</v>
      </c>
      <c r="V1186" s="94">
        <f>IF('Net zero activities &amp; levers'!$C$14="Off",Constants!$H64*'Activity data'!AO6*Constants!$H82*EF!$H207*MMVolatEF*NtoN2O*kgtoGg,IF('Net zero activities &amp; levers'!$C$14="On",Constants!$H64*'Net zero Activity data'!AO6*Constants!$H82*EF!$H207*MMVolatEF*NtoN2O*kgtoGg,"ERROR"))</f>
        <v>3.2260243899471644E-2</v>
      </c>
      <c r="W1186" s="94">
        <f>IF('Net zero activities &amp; levers'!$C$14="Off",Constants!$H64*'Activity data'!AP6*Constants!$H82*EF!$H207*MMVolatEF*NtoN2O*kgtoGg,IF('Net zero activities &amp; levers'!$C$14="On",Constants!$H64*'Net zero Activity data'!AP6*Constants!$H82*EF!$H207*MMVolatEF*NtoN2O*kgtoGg,"ERROR"))</f>
        <v>3.2572937774980257E-2</v>
      </c>
      <c r="X1186" s="94">
        <f>IF('Net zero activities &amp; levers'!$C$14="Off",Constants!$H64*'Activity data'!AQ6*Constants!$H82*EF!$H207*MMVolatEF*NtoN2O*kgtoGg,IF('Net zero activities &amp; levers'!$C$14="On",Constants!$H64*'Net zero Activity data'!AQ6*Constants!$H82*EF!$H207*MMVolatEF*NtoN2O*kgtoGg,"ERROR"))</f>
        <v>3.2872396286290406E-2</v>
      </c>
      <c r="Y1186" s="94">
        <f>IF('Net zero activities &amp; levers'!$C$14="Off",Constants!$H64*'Activity data'!AR6*Constants!$H82*EF!$H207*MMVolatEF*NtoN2O*kgtoGg,IF('Net zero activities &amp; levers'!$C$14="On",Constants!$H64*'Net zero Activity data'!AR6*Constants!$H82*EF!$H207*MMVolatEF*NtoN2O*kgtoGg,"ERROR"))</f>
        <v>3.3123550083992911E-2</v>
      </c>
      <c r="Z1186" s="94">
        <f>IF('Net zero activities &amp; levers'!$C$14="Off",Constants!$H64*'Activity data'!AS6*Constants!$H82*EF!$H207*MMVolatEF*NtoN2O*kgtoGg,IF('Net zero activities &amp; levers'!$C$14="On",Constants!$H64*'Net zero Activity data'!AS6*Constants!$H82*EF!$H207*MMVolatEF*NtoN2O*kgtoGg,"ERROR"))</f>
        <v>3.336772818065812E-2</v>
      </c>
      <c r="AA1186" s="94">
        <f>IF('Net zero activities &amp; levers'!$C$14="Off",Constants!$H64*'Activity data'!AT6*Constants!$H82*EF!$H207*MMVolatEF*NtoN2O*kgtoGg,IF('Net zero activities &amp; levers'!$C$14="On",Constants!$H64*'Net zero Activity data'!AT6*Constants!$H82*EF!$H207*MMVolatEF*NtoN2O*kgtoGg,"ERROR"))</f>
        <v>3.3599334371868343E-2</v>
      </c>
      <c r="AB1186" s="94">
        <f>IF('Net zero activities &amp; levers'!$C$14="Off",Constants!$H64*'Activity data'!AU6*Constants!$H82*EF!$H207*MMVolatEF*NtoN2O*kgtoGg,IF('Net zero activities &amp; levers'!$C$14="On",Constants!$H64*'Net zero Activity data'!AU6*Constants!$H82*EF!$H207*MMVolatEF*NtoN2O*kgtoGg,"ERROR"))</f>
        <v>3.3900612857032622E-2</v>
      </c>
      <c r="AC1186" s="94">
        <f>IF('Net zero activities &amp; levers'!$C$14="Off",Constants!$H64*'Activity data'!AV6*Constants!$H82*EF!$H207*MMVolatEF*NtoN2O*kgtoGg,IF('Net zero activities &amp; levers'!$C$14="On",Constants!$H64*'Net zero Activity data'!AV6*Constants!$H82*EF!$H207*MMVolatEF*NtoN2O*kgtoGg,"ERROR"))</f>
        <v>3.4200342121708499E-2</v>
      </c>
      <c r="AD1186" s="94">
        <f>IF('Net zero activities &amp; levers'!$C$14="Off",Constants!$H64*'Activity data'!AW6*Constants!$H82*EF!$H207*MMVolatEF*NtoN2O*kgtoGg,IF('Net zero activities &amp; levers'!$C$14="On",Constants!$H64*'Net zero Activity data'!AW6*Constants!$H82*EF!$H207*MMVolatEF*NtoN2O*kgtoGg,"ERROR"))</f>
        <v>3.4513046424139431E-2</v>
      </c>
      <c r="AE1186" s="94">
        <f>IF('Net zero activities &amp; levers'!$C$14="Off",Constants!$H64*'Activity data'!AX6*Constants!$H82*EF!$H207*MMVolatEF*NtoN2O*kgtoGg,IF('Net zero activities &amp; levers'!$C$14="On",Constants!$H64*'Net zero Activity data'!AX6*Constants!$H82*EF!$H207*MMVolatEF*NtoN2O*kgtoGg,"ERROR"))</f>
        <v>3.4894538651167102E-2</v>
      </c>
      <c r="AF1186" s="94">
        <f>IF('Net zero activities &amp; levers'!$C$14="Off",Constants!$H64*'Activity data'!AY6*Constants!$H82*EF!$H207*MMVolatEF*NtoN2O*kgtoGg,IF('Net zero activities &amp; levers'!$C$14="On",Constants!$H64*'Net zero Activity data'!AY6*Constants!$H82*EF!$H207*MMVolatEF*NtoN2O*kgtoGg,"ERROR"))</f>
        <v>3.5311596856231003E-2</v>
      </c>
      <c r="AG1186" s="94">
        <f>IF('Net zero activities &amp; levers'!$C$14="Off",Constants!$H64*'Activity data'!AZ6*Constants!$H82*EF!$H207*MMVolatEF*NtoN2O*kgtoGg,IF('Net zero activities &amp; levers'!$C$14="On",Constants!$H64*'Net zero Activity data'!AZ6*Constants!$H82*EF!$H207*MMVolatEF*NtoN2O*kgtoGg,"ERROR"))</f>
        <v>3.5803222711162215E-2</v>
      </c>
      <c r="AH1186" s="94">
        <f>IF('Net zero activities &amp; levers'!$C$14="Off",Constants!$H64*'Activity data'!BA6*Constants!$H82*EF!$H207*MMVolatEF*NtoN2O*kgtoGg,IF('Net zero activities &amp; levers'!$C$14="On",Constants!$H64*'Net zero Activity data'!BA6*Constants!$H82*EF!$H207*MMVolatEF*NtoN2O*kgtoGg,"ERROR"))</f>
        <v>3.6192591625460596E-2</v>
      </c>
      <c r="AI1186" s="94">
        <f>IF('Net zero activities &amp; levers'!$C$14="Off",Constants!$H64*'Activity data'!BB6*Constants!$H82*EF!$H207*MMVolatEF*NtoN2O*kgtoGg,IF('Net zero activities &amp; levers'!$C$14="On",Constants!$H64*'Net zero Activity data'!BB6*Constants!$H82*EF!$H207*MMVolatEF*NtoN2O*kgtoGg,"ERROR"))</f>
        <v>3.6554311127208743E-2</v>
      </c>
      <c r="AJ1186" s="94">
        <f>IF('Net zero activities &amp; levers'!$C$14="Off",Constants!$H64*'Activity data'!BC6*Constants!$H82*EF!$H207*MMVolatEF*NtoN2O*kgtoGg,IF('Net zero activities &amp; levers'!$C$14="On",Constants!$H64*'Net zero Activity data'!BC6*Constants!$H82*EF!$H207*MMVolatEF*NtoN2O*kgtoGg,"ERROR"))</f>
        <v>3.6955687398514313E-2</v>
      </c>
      <c r="AK1186" s="94">
        <f>IF('Net zero activities &amp; levers'!$C$14="Off",Constants!$H64*'Activity data'!BD6*Constants!$H82*EF!$H207*MMVolatEF*NtoN2O*kgtoGg,IF('Net zero activities &amp; levers'!$C$14="On",Constants!$H64*'Net zero Activity data'!BD6*Constants!$H82*EF!$H207*MMVolatEF*NtoN2O*kgtoGg,"ERROR"))</f>
        <v>3.7346286366322763E-2</v>
      </c>
      <c r="AL1186" s="94">
        <f>IF('Net zero activities &amp; levers'!$C$14="Off",Constants!$H64*'Activity data'!BE6*Constants!$H82*EF!$H207*MMVolatEF*NtoN2O*kgtoGg,IF('Net zero activities &amp; levers'!$C$14="On",Constants!$H64*'Net zero Activity data'!BE6*Constants!$H82*EF!$H207*MMVolatEF*NtoN2O*kgtoGg,"ERROR"))</f>
        <v>3.7760535495962914E-2</v>
      </c>
      <c r="AM1186" s="94">
        <f>IF('Net zero activities &amp; levers'!$C$14="Off",Constants!$H64*'Activity data'!BF6*Constants!$H82*EF!$H207*MMVolatEF*NtoN2O*kgtoGg,IF('Net zero activities &amp; levers'!$C$14="On",Constants!$H64*'Net zero Activity data'!BF6*Constants!$H82*EF!$H207*MMVolatEF*NtoN2O*kgtoGg,"ERROR"))</f>
        <v>3.8180739513555217E-2</v>
      </c>
      <c r="AN1186" s="94">
        <f>IF('Net zero activities &amp; levers'!$C$14="Off",Constants!$H64*'Activity data'!BG6*Constants!$H82*EF!$H207*MMVolatEF*NtoN2O*kgtoGg,IF('Net zero activities &amp; levers'!$C$14="On",Constants!$H64*'Net zero Activity data'!BG6*Constants!$H82*EF!$H207*MMVolatEF*NtoN2O*kgtoGg,"ERROR"))</f>
        <v>3.8645126854130414E-2</v>
      </c>
      <c r="AO1186" s="94">
        <f>IF('Net zero activities &amp; levers'!$C$14="Off",Constants!$H64*'Activity data'!BH6*Constants!$H82*EF!$H207*MMVolatEF*NtoN2O*kgtoGg,IF('Net zero activities &amp; levers'!$C$14="On",Constants!$H64*'Net zero Activity data'!BH6*Constants!$H82*EF!$H207*MMVolatEF*NtoN2O*kgtoGg,"ERROR"))</f>
        <v>3.9093652838731792E-2</v>
      </c>
      <c r="AP1186" s="94">
        <f>IF('Net zero activities &amp; levers'!$C$14="Off",Constants!$H64*'Activity data'!BI6*Constants!$H82*EF!$H207*MMVolatEF*NtoN2O*kgtoGg,IF('Net zero activities &amp; levers'!$C$14="On",Constants!$H64*'Net zero Activity data'!BI6*Constants!$H82*EF!$H207*MMVolatEF*NtoN2O*kgtoGg,"ERROR"))</f>
        <v>3.9552841354460577E-2</v>
      </c>
      <c r="AQ1186" s="94">
        <f>IF('Net zero activities &amp; levers'!$C$14="Off",Constants!$H64*'Activity data'!BJ6*Constants!$H82*EF!$H207*MMVolatEF*NtoN2O*kgtoGg,IF('Net zero activities &amp; levers'!$C$14="On",Constants!$H64*'Net zero Activity data'!BJ6*Constants!$H82*EF!$H207*MMVolatEF*NtoN2O*kgtoGg,"ERROR"))</f>
        <v>4.0029654927380476E-2</v>
      </c>
      <c r="AR1186" s="94">
        <f>IF('Net zero activities &amp; levers'!$C$14="Off",Constants!$H64*'Activity data'!BK6*Constants!$H82*EF!$H207*MMVolatEF*NtoN2O*kgtoGg,IF('Net zero activities &amp; levers'!$C$14="On",Constants!$H64*'Net zero Activity data'!BK6*Constants!$H82*EF!$H207*MMVolatEF*NtoN2O*kgtoGg,"ERROR"))</f>
        <v>4.0526819495640978E-2</v>
      </c>
      <c r="AS1186" s="94">
        <f>IF('Net zero activities &amp; levers'!$C$14="Off",Constants!$H64*'Activity data'!BL6*Constants!$H82*EF!$H207*MMVolatEF*NtoN2O*kgtoGg,IF('Net zero activities &amp; levers'!$C$14="On",Constants!$H64*'Net zero Activity data'!BL6*Constants!$H82*EF!$H207*MMVolatEF*NtoN2O*kgtoGg,"ERROR"))</f>
        <v>4.1080408541749817E-2</v>
      </c>
      <c r="AT1186" s="94">
        <f>IF('Net zero activities &amp; levers'!$C$14="Off",Constants!$H64*'Activity data'!BM6*Constants!$H82*EF!$H207*MMVolatEF*NtoN2O*kgtoGg,IF('Net zero activities &amp; levers'!$C$14="On",Constants!$H64*'Net zero Activity data'!BM6*Constants!$H82*EF!$H207*MMVolatEF*NtoN2O*kgtoGg,"ERROR"))</f>
        <v>4.145902901225889E-2</v>
      </c>
      <c r="AU1186" s="94">
        <f>IF('Net zero activities &amp; levers'!$C$14="Off",Constants!$H64*'Activity data'!BN6*Constants!$H82*EF!$H207*MMVolatEF*NtoN2O*kgtoGg,IF('Net zero activities &amp; levers'!$C$14="On",Constants!$H64*'Net zero Activity data'!BN6*Constants!$H82*EF!$H207*MMVolatEF*NtoN2O*kgtoGg,"ERROR"))</f>
        <v>4.1828941701418883E-2</v>
      </c>
      <c r="AV1186" s="94">
        <f>IF('Net zero activities &amp; levers'!$C$14="Off",Constants!$H64*'Activity data'!BO6*Constants!$H82*EF!$H207*MMVolatEF*NtoN2O*kgtoGg,IF('Net zero activities &amp; levers'!$C$14="On",Constants!$H64*'Net zero Activity data'!BO6*Constants!$H82*EF!$H207*MMVolatEF*NtoN2O*kgtoGg,"ERROR"))</f>
        <v>4.2209336378336959E-2</v>
      </c>
      <c r="AW1186" s="94">
        <f>IF('Net zero activities &amp; levers'!$C$14="Off",Constants!$H64*'Activity data'!BP6*Constants!$H82*EF!$H207*MMVolatEF*NtoN2O*kgtoGg,IF('Net zero activities &amp; levers'!$C$14="On",Constants!$H64*'Net zero Activity data'!BP6*Constants!$H82*EF!$H207*MMVolatEF*NtoN2O*kgtoGg,"ERROR"))</f>
        <v>4.2592093572744245E-2</v>
      </c>
      <c r="AY1186" s="79"/>
    </row>
    <row r="1187" spans="1:51" x14ac:dyDescent="0.2">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2.9129279224209421E-4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2.960481260901027E-4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2.9878295053629647E-4</v>
      </c>
      <c r="S1187" s="94">
        <f>IF('Net zero activities &amp; levers'!$C$14="Off",Constants!$H65*'Activity data'!AL7*Constants!$H83*EF!$H208*MMVolatEF*NtoN2O*kgtoGg,IF('Net zero activities &amp; levers'!$C$14="On",Constants!$H65*'Net zero Activity data'!AL7*Constants!$H83*EF!$H208*MMVolatEF*NtoN2O*kgtoGg,"ERROR"))</f>
        <v>2.906037022248744E-4</v>
      </c>
      <c r="T1187" s="94">
        <f>IF('Net zero activities &amp; levers'!$C$14="Off",Constants!$H65*'Activity data'!AM7*Constants!$H83*EF!$H208*MMVolatEF*NtoN2O*kgtoGg,IF('Net zero activities &amp; levers'!$C$14="On",Constants!$H65*'Net zero Activity data'!AM7*Constants!$H83*EF!$H208*MMVolatEF*NtoN2O*kgtoGg,"ERROR"))</f>
        <v>2.9394337094179688E-4</v>
      </c>
      <c r="U1187" s="94">
        <f>IF('Net zero activities &amp; levers'!$C$14="Off",Constants!$H65*'Activity data'!AN7*Constants!$H83*EF!$H208*MMVolatEF*NtoN2O*kgtoGg,IF('Net zero activities &amp; levers'!$C$14="On",Constants!$H65*'Net zero Activity data'!AN7*Constants!$H83*EF!$H208*MMVolatEF*NtoN2O*kgtoGg,"ERROR"))</f>
        <v>2.9656035369582628E-4</v>
      </c>
      <c r="V1187" s="94">
        <f>IF('Net zero activities &amp; levers'!$C$14="Off",Constants!$H65*'Activity data'!AO7*Constants!$H83*EF!$H208*MMVolatEF*NtoN2O*kgtoGg,IF('Net zero activities &amp; levers'!$C$14="On",Constants!$H65*'Net zero Activity data'!AO7*Constants!$H83*EF!$H208*MMVolatEF*NtoN2O*kgtoGg,"ERROR"))</f>
        <v>2.9903965729981968E-4</v>
      </c>
      <c r="W1187" s="94">
        <f>IF('Net zero activities &amp; levers'!$C$14="Off",Constants!$H65*'Activity data'!AP7*Constants!$H83*EF!$H208*MMVolatEF*NtoN2O*kgtoGg,IF('Net zero activities &amp; levers'!$C$14="On",Constants!$H65*'Net zero Activity data'!AP7*Constants!$H83*EF!$H208*MMVolatEF*NtoN2O*kgtoGg,"ERROR"))</f>
        <v>3.0193820542187468E-4</v>
      </c>
      <c r="X1187" s="94">
        <f>IF('Net zero activities &amp; levers'!$C$14="Off",Constants!$H65*'Activity data'!AQ7*Constants!$H83*EF!$H208*MMVolatEF*NtoN2O*kgtoGg,IF('Net zero activities &amp; levers'!$C$14="On",Constants!$H65*'Net zero Activity data'!AQ7*Constants!$H83*EF!$H208*MMVolatEF*NtoN2O*kgtoGg,"ERROR"))</f>
        <v>3.0471406697074431E-4</v>
      </c>
      <c r="Y1187" s="94">
        <f>IF('Net zero activities &amp; levers'!$C$14="Off",Constants!$H65*'Activity data'!AR7*Constants!$H83*EF!$H208*MMVolatEF*NtoN2O*kgtoGg,IF('Net zero activities &amp; levers'!$C$14="On",Constants!$H65*'Net zero Activity data'!AR7*Constants!$H83*EF!$H208*MMVolatEF*NtoN2O*kgtoGg,"ERROR"))</f>
        <v>3.0704216299594947E-4</v>
      </c>
      <c r="Z1187" s="94">
        <f>IF('Net zero activities &amp; levers'!$C$14="Off",Constants!$H65*'Activity data'!AS7*Constants!$H83*EF!$H208*MMVolatEF*NtoN2O*kgtoGg,IF('Net zero activities &amp; levers'!$C$14="On",Constants!$H65*'Net zero Activity data'!AS7*Constants!$H83*EF!$H208*MMVolatEF*NtoN2O*kgtoGg,"ERROR"))</f>
        <v>3.093055970410988E-4</v>
      </c>
      <c r="AA1187" s="94">
        <f>IF('Net zero activities &amp; levers'!$C$14="Off",Constants!$H65*'Activity data'!AT7*Constants!$H83*EF!$H208*MMVolatEF*NtoN2O*kgtoGg,IF('Net zero activities &amp; levers'!$C$14="On",Constants!$H65*'Net zero Activity data'!AT7*Constants!$H83*EF!$H208*MMVolatEF*NtoN2O*kgtoGg,"ERROR"))</f>
        <v>3.1145249451229731E-4</v>
      </c>
      <c r="AB1187" s="94">
        <f>IF('Net zero activities &amp; levers'!$C$14="Off",Constants!$H65*'Activity data'!AU7*Constants!$H83*EF!$H208*MMVolatEF*NtoN2O*kgtoGg,IF('Net zero activities &amp; levers'!$C$14="On",Constants!$H65*'Net zero Activity data'!AU7*Constants!$H83*EF!$H208*MMVolatEF*NtoN2O*kgtoGg,"ERROR"))</f>
        <v>3.1424522649647207E-4</v>
      </c>
      <c r="AC1187" s="94">
        <f>IF('Net zero activities &amp; levers'!$C$14="Off",Constants!$H65*'Activity data'!AV7*Constants!$H83*EF!$H208*MMVolatEF*NtoN2O*kgtoGg,IF('Net zero activities &amp; levers'!$C$14="On",Constants!$H65*'Net zero Activity data'!AV7*Constants!$H83*EF!$H208*MMVolatEF*NtoN2O*kgtoGg,"ERROR"))</f>
        <v>3.1702359782158373E-4</v>
      </c>
      <c r="AD1187" s="94">
        <f>IF('Net zero activities &amp; levers'!$C$14="Off",Constants!$H65*'Activity data'!AW7*Constants!$H83*EF!$H208*MMVolatEF*NtoN2O*kgtoGg,IF('Net zero activities &amp; levers'!$C$14="On",Constants!$H65*'Net zero Activity data'!AW7*Constants!$H83*EF!$H208*MMVolatEF*NtoN2O*kgtoGg,"ERROR"))</f>
        <v>3.1992224259707024E-4</v>
      </c>
      <c r="AE1187" s="94">
        <f>IF('Net zero activities &amp; levers'!$C$14="Off",Constants!$H65*'Activity data'!AX7*Constants!$H83*EF!$H208*MMVolatEF*NtoN2O*kgtoGg,IF('Net zero activities &amp; levers'!$C$14="On",Constants!$H65*'Net zero Activity data'!AX7*Constants!$H83*EF!$H208*MMVolatEF*NtoN2O*kgtoGg,"ERROR"))</f>
        <v>3.2345852413258482E-4</v>
      </c>
      <c r="AF1187" s="94">
        <f>IF('Net zero activities &amp; levers'!$C$14="Off",Constants!$H65*'Activity data'!AY7*Constants!$H83*EF!$H208*MMVolatEF*NtoN2O*kgtoGg,IF('Net zero activities &amp; levers'!$C$14="On",Constants!$H65*'Net zero Activity data'!AY7*Constants!$H83*EF!$H208*MMVolatEF*NtoN2O*kgtoGg,"ERROR"))</f>
        <v>3.2732448816884659E-4</v>
      </c>
      <c r="AG1187" s="94">
        <f>IF('Net zero activities &amp; levers'!$C$14="Off",Constants!$H65*'Activity data'!AZ7*Constants!$H83*EF!$H208*MMVolatEF*NtoN2O*kgtoGg,IF('Net zero activities &amp; levers'!$C$14="On",Constants!$H65*'Net zero Activity data'!AZ7*Constants!$H83*EF!$H208*MMVolatEF*NtoN2O*kgtoGg,"ERROR"))</f>
        <v>3.3188166472450077E-4</v>
      </c>
      <c r="AH1187" s="94">
        <f>IF('Net zero activities &amp; levers'!$C$14="Off",Constants!$H65*'Activity data'!BA7*Constants!$H83*EF!$H208*MMVolatEF*NtoN2O*kgtoGg,IF('Net zero activities &amp; levers'!$C$14="On",Constants!$H65*'Net zero Activity data'!BA7*Constants!$H83*EF!$H208*MMVolatEF*NtoN2O*kgtoGg,"ERROR"))</f>
        <v>3.3549096002486584E-4</v>
      </c>
      <c r="AI1187" s="94">
        <f>IF('Net zero activities &amp; levers'!$C$14="Off",Constants!$H65*'Activity data'!BB7*Constants!$H83*EF!$H208*MMVolatEF*NtoN2O*kgtoGg,IF('Net zero activities &amp; levers'!$C$14="On",Constants!$H65*'Net zero Activity data'!BB7*Constants!$H83*EF!$H208*MMVolatEF*NtoN2O*kgtoGg,"ERROR"))</f>
        <v>3.3884395624456256E-4</v>
      </c>
      <c r="AJ1187" s="94">
        <f>IF('Net zero activities &amp; levers'!$C$14="Off",Constants!$H65*'Activity data'!BC7*Constants!$H83*EF!$H208*MMVolatEF*NtoN2O*kgtoGg,IF('Net zero activities &amp; levers'!$C$14="On",Constants!$H65*'Net zero Activity data'!BC7*Constants!$H83*EF!$H208*MMVolatEF*NtoN2O*kgtoGg,"ERROR"))</f>
        <v>3.4256455497882901E-4</v>
      </c>
      <c r="AK1187" s="94">
        <f>IF('Net zero activities &amp; levers'!$C$14="Off",Constants!$H65*'Activity data'!BD7*Constants!$H83*EF!$H208*MMVolatEF*NtoN2O*kgtoGg,IF('Net zero activities &amp; levers'!$C$14="On",Constants!$H65*'Net zero Activity data'!BD7*Constants!$H83*EF!$H208*MMVolatEF*NtoN2O*kgtoGg,"ERROR"))</f>
        <v>3.4618525238704095E-4</v>
      </c>
      <c r="AL1187" s="94">
        <f>IF('Net zero activities &amp; levers'!$C$14="Off",Constants!$H65*'Activity data'!BE7*Constants!$H83*EF!$H208*MMVolatEF*NtoN2O*kgtoGg,IF('Net zero activities &amp; levers'!$C$14="On",Constants!$H65*'Net zero Activity data'!BE7*Constants!$H83*EF!$H208*MMVolatEF*NtoN2O*kgtoGg,"ERROR"))</f>
        <v>3.5002517740900785E-4</v>
      </c>
      <c r="AM1187" s="94">
        <f>IF('Net zero activities &amp; levers'!$C$14="Off",Constants!$H65*'Activity data'!BF7*Constants!$H83*EF!$H208*MMVolatEF*NtoN2O*kgtoGg,IF('Net zero activities &amp; levers'!$C$14="On",Constants!$H65*'Net zero Activity data'!BF7*Constants!$H83*EF!$H208*MMVolatEF*NtoN2O*kgtoGg,"ERROR"))</f>
        <v>3.539203018788781E-4</v>
      </c>
      <c r="AN1187" s="94">
        <f>IF('Net zero activities &amp; levers'!$C$14="Off",Constants!$H65*'Activity data'!BG7*Constants!$H83*EF!$H208*MMVolatEF*NtoN2O*kgtoGg,IF('Net zero activities &amp; levers'!$C$14="On",Constants!$H65*'Net zero Activity data'!BG7*Constants!$H83*EF!$H208*MMVolatEF*NtoN2O*kgtoGg,"ERROR"))</f>
        <v>3.5822498821704474E-4</v>
      </c>
      <c r="AO1187" s="94">
        <f>IF('Net zero activities &amp; levers'!$C$14="Off",Constants!$H65*'Activity data'!BH7*Constants!$H83*EF!$H208*MMVolatEF*NtoN2O*kgtoGg,IF('Net zero activities &amp; levers'!$C$14="On",Constants!$H65*'Net zero Activity data'!BH7*Constants!$H83*EF!$H208*MMVolatEF*NtoN2O*kgtoGg,"ERROR"))</f>
        <v>3.6238264608048877E-4</v>
      </c>
      <c r="AP1187" s="94">
        <f>IF('Net zero activities &amp; levers'!$C$14="Off",Constants!$H65*'Activity data'!BI7*Constants!$H83*EF!$H208*MMVolatEF*NtoN2O*kgtoGg,IF('Net zero activities &amp; levers'!$C$14="On",Constants!$H65*'Net zero Activity data'!BI7*Constants!$H83*EF!$H208*MMVolatEF*NtoN2O*kgtoGg,"ERROR"))</f>
        <v>3.6663914137567152E-4</v>
      </c>
      <c r="AQ1187" s="94">
        <f>IF('Net zero activities &amp; levers'!$C$14="Off",Constants!$H65*'Activity data'!BJ7*Constants!$H83*EF!$H208*MMVolatEF*NtoN2O*kgtoGg,IF('Net zero activities &amp; levers'!$C$14="On",Constants!$H65*'Net zero Activity data'!BJ7*Constants!$H83*EF!$H208*MMVolatEF*NtoN2O*kgtoGg,"ERROR"))</f>
        <v>3.7105901395587245E-4</v>
      </c>
      <c r="AR1187" s="94">
        <f>IF('Net zero activities &amp; levers'!$C$14="Off",Constants!$H65*'Activity data'!BK7*Constants!$H83*EF!$H208*MMVolatEF*NtoN2O*kgtoGg,IF('Net zero activities &amp; levers'!$C$14="On",Constants!$H65*'Net zero Activity data'!BK7*Constants!$H83*EF!$H208*MMVolatEF*NtoN2O*kgtoGg,"ERROR"))</f>
        <v>3.756675321858498E-4</v>
      </c>
      <c r="AS1187" s="94">
        <f>IF('Net zero activities &amp; levers'!$C$14="Off",Constants!$H65*'Activity data'!BL7*Constants!$H83*EF!$H208*MMVolatEF*NtoN2O*kgtoGg,IF('Net zero activities &amp; levers'!$C$14="On",Constants!$H65*'Net zero Activity data'!BL7*Constants!$H83*EF!$H208*MMVolatEF*NtoN2O*kgtoGg,"ERROR"))</f>
        <v>3.8079908293137994E-4</v>
      </c>
      <c r="AT1187" s="94">
        <f>IF('Net zero activities &amp; levers'!$C$14="Off",Constants!$H65*'Activity data'!BM7*Constants!$H83*EF!$H208*MMVolatEF*NtoN2O*kgtoGg,IF('Net zero activities &amp; levers'!$C$14="On",Constants!$H65*'Net zero Activity data'!BM7*Constants!$H83*EF!$H208*MMVolatEF*NtoN2O*kgtoGg,"ERROR"))</f>
        <v>3.8430874442372815E-4</v>
      </c>
      <c r="AU1187" s="94">
        <f>IF('Net zero activities &amp; levers'!$C$14="Off",Constants!$H65*'Activity data'!BN7*Constants!$H83*EF!$H208*MMVolatEF*NtoN2O*kgtoGg,IF('Net zero activities &amp; levers'!$C$14="On",Constants!$H65*'Net zero Activity data'!BN7*Constants!$H83*EF!$H208*MMVolatEF*NtoN2O*kgtoGg,"ERROR"))</f>
        <v>3.877376882389691E-4</v>
      </c>
      <c r="AV1187" s="94">
        <f>IF('Net zero activities &amp; levers'!$C$14="Off",Constants!$H65*'Activity data'!BO7*Constants!$H83*EF!$H208*MMVolatEF*NtoN2O*kgtoGg,IF('Net zero activities &amp; levers'!$C$14="On",Constants!$H65*'Net zero Activity data'!BO7*Constants!$H83*EF!$H208*MMVolatEF*NtoN2O*kgtoGg,"ERROR"))</f>
        <v>3.9126379592057032E-4</v>
      </c>
      <c r="AW1187" s="94">
        <f>IF('Net zero activities &amp; levers'!$C$14="Off",Constants!$H65*'Activity data'!BP7*Constants!$H83*EF!$H208*MMVolatEF*NtoN2O*kgtoGg,IF('Net zero activities &amp; levers'!$C$14="On",Constants!$H65*'Net zero Activity data'!BP7*Constants!$H83*EF!$H208*MMVolatEF*NtoN2O*kgtoGg,"ERROR"))</f>
        <v>3.9481180320164583E-4</v>
      </c>
      <c r="AY1187" s="79"/>
    </row>
    <row r="1188" spans="1:51" x14ac:dyDescent="0.2">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3.2323215352203891E-3</v>
      </c>
      <c r="L1188" s="94">
        <f>IF('Net zero activities &amp; levers'!$C$14="Off",Constants!$H66*'Activity data'!AE8*Constants!$H84*EF!$H209*MMVolatEF*NtoN2O*kgtoGg,IF('Net zero activities &amp; levers'!$C$14="On",Constants!$H66*'Net zero Activity data'!AE8*Constants!$H84*EF!$H209*MMVolatEF*NtoN2O*kgtoGg,"ERROR"))</f>
        <v>3.2042886428129457E-3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3.0890682378804132E-3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2.561902690551985E-3</v>
      </c>
      <c r="T1188" s="94">
        <f>IF('Net zero activities &amp; levers'!$C$14="Off",Constants!$H66*'Activity data'!AM8*Constants!$H84*EF!$H209*MMVolatEF*NtoN2O*kgtoGg,IF('Net zero activities &amp; levers'!$C$14="On",Constants!$H66*'Net zero Activity data'!AM8*Constants!$H84*EF!$H209*MMVolatEF*NtoN2O*kgtoGg,"ERROR"))</f>
        <v>2.6109067650953812E-3</v>
      </c>
      <c r="U1188" s="94">
        <f>IF('Net zero activities &amp; levers'!$C$14="Off",Constants!$H66*'Activity data'!AN8*Constants!$H84*EF!$H209*MMVolatEF*NtoN2O*kgtoGg,IF('Net zero activities &amp; levers'!$C$14="On",Constants!$H66*'Net zero Activity data'!AN8*Constants!$H84*EF!$H209*MMVolatEF*NtoN2O*kgtoGg,"ERROR"))</f>
        <v>2.6371073705861066E-3</v>
      </c>
      <c r="V1188" s="94">
        <f>IF('Net zero activities &amp; levers'!$C$14="Off",Constants!$H66*'Activity data'!AO8*Constants!$H84*EF!$H209*MMVolatEF*NtoN2O*kgtoGg,IF('Net zero activities &amp; levers'!$C$14="On",Constants!$H66*'Net zero Activity data'!AO8*Constants!$H84*EF!$H209*MMVolatEF*NtoN2O*kgtoGg,"ERROR"))</f>
        <v>2.6572763543899086E-3</v>
      </c>
      <c r="W1188" s="94">
        <f>IF('Net zero activities &amp; levers'!$C$14="Off",Constants!$H66*'Activity data'!AP8*Constants!$H84*EF!$H209*MMVolatEF*NtoN2O*kgtoGg,IF('Net zero activities &amp; levers'!$C$14="On",Constants!$H66*'Net zero Activity data'!AP8*Constants!$H84*EF!$H209*MMVolatEF*NtoN2O*kgtoGg,"ERROR"))</f>
        <v>2.6864577406949136E-3</v>
      </c>
      <c r="X1188" s="94">
        <f>IF('Net zero activities &amp; levers'!$C$14="Off",Constants!$H66*'Activity data'!AQ8*Constants!$H84*EF!$H209*MMVolatEF*NtoN2O*kgtoGg,IF('Net zero activities &amp; levers'!$C$14="On",Constants!$H66*'Net zero Activity data'!AQ8*Constants!$H84*EF!$H209*MMVolatEF*NtoN2O*kgtoGg,"ERROR"))</f>
        <v>2.7101399939897432E-3</v>
      </c>
      <c r="Y1188" s="94">
        <f>IF('Net zero activities &amp; levers'!$C$14="Off",Constants!$H66*'Activity data'!AR8*Constants!$H84*EF!$H209*MMVolatEF*NtoN2O*kgtoGg,IF('Net zero activities &amp; levers'!$C$14="On",Constants!$H66*'Net zero Activity data'!AR8*Constants!$H84*EF!$H209*MMVolatEF*NtoN2O*kgtoGg,"ERROR"))</f>
        <v>2.7254068910752506E-3</v>
      </c>
      <c r="Z1188" s="94">
        <f>IF('Net zero activities &amp; levers'!$C$14="Off",Constants!$H66*'Activity data'!AS8*Constants!$H84*EF!$H209*MMVolatEF*NtoN2O*kgtoGg,IF('Net zero activities &amp; levers'!$C$14="On",Constants!$H66*'Net zero Activity data'!AS8*Constants!$H84*EF!$H209*MMVolatEF*NtoN2O*kgtoGg,"ERROR"))</f>
        <v>2.7372910281189241E-3</v>
      </c>
      <c r="AA1188" s="94">
        <f>IF('Net zero activities &amp; levers'!$C$14="Off",Constants!$H66*'Activity data'!AT8*Constants!$H84*EF!$H209*MMVolatEF*NtoN2O*kgtoGg,IF('Net zero activities &amp; levers'!$C$14="On",Constants!$H66*'Net zero Activity data'!AT8*Constants!$H84*EF!$H209*MMVolatEF*NtoN2O*kgtoGg,"ERROR"))</f>
        <v>2.7446565965779596E-3</v>
      </c>
      <c r="AB1188" s="94">
        <f>IF('Net zero activities &amp; levers'!$C$14="Off",Constants!$H66*'Activity data'!AU8*Constants!$H84*EF!$H209*MMVolatEF*NtoN2O*kgtoGg,IF('Net zero activities &amp; levers'!$C$14="On",Constants!$H66*'Net zero Activity data'!AU8*Constants!$H84*EF!$H209*MMVolatEF*NtoN2O*kgtoGg,"ERROR"))</f>
        <v>2.766461574169799E-3</v>
      </c>
      <c r="AC1188" s="94">
        <f>IF('Net zero activities &amp; levers'!$C$14="Off",Constants!$H66*'Activity data'!AV8*Constants!$H84*EF!$H209*MMVolatEF*NtoN2O*kgtoGg,IF('Net zero activities &amp; levers'!$C$14="On",Constants!$H66*'Net zero Activity data'!AV8*Constants!$H84*EF!$H209*MMVolatEF*NtoN2O*kgtoGg,"ERROR"))</f>
        <v>2.7860807889478114E-3</v>
      </c>
      <c r="AD1188" s="94">
        <f>IF('Net zero activities &amp; levers'!$C$14="Off",Constants!$H66*'Activity data'!AW8*Constants!$H84*EF!$H209*MMVolatEF*NtoN2O*kgtoGg,IF('Net zero activities &amp; levers'!$C$14="On",Constants!$H66*'Net zero Activity data'!AW8*Constants!$H84*EF!$H209*MMVolatEF*NtoN2O*kgtoGg,"ERROR"))</f>
        <v>2.7870926745375917E-3</v>
      </c>
      <c r="AE1188" s="94">
        <f>IF('Net zero activities &amp; levers'!$C$14="Off",Constants!$H66*'Activity data'!AX8*Constants!$H84*EF!$H209*MMVolatEF*NtoN2O*kgtoGg,IF('Net zero activities &amp; levers'!$C$14="On",Constants!$H66*'Net zero Activity data'!AX8*Constants!$H84*EF!$H209*MMVolatEF*NtoN2O*kgtoGg,"ERROR"))</f>
        <v>2.8002357420559331E-3</v>
      </c>
      <c r="AF1188" s="94">
        <f>IF('Net zero activities &amp; levers'!$C$14="Off",Constants!$H66*'Activity data'!AY8*Constants!$H84*EF!$H209*MMVolatEF*NtoN2O*kgtoGg,IF('Net zero activities &amp; levers'!$C$14="On",Constants!$H66*'Net zero Activity data'!AY8*Constants!$H84*EF!$H209*MMVolatEF*NtoN2O*kgtoGg,"ERROR"))</f>
        <v>2.8176157227712195E-3</v>
      </c>
      <c r="AG1188" s="94">
        <f>IF('Net zero activities &amp; levers'!$C$14="Off",Constants!$H66*'Activity data'!AZ8*Constants!$H84*EF!$H209*MMVolatEF*NtoN2O*kgtoGg,IF('Net zero activities &amp; levers'!$C$14="On",Constants!$H66*'Net zero Activity data'!AZ8*Constants!$H84*EF!$H209*MMVolatEF*NtoN2O*kgtoGg,"ERROR"))</f>
        <v>2.8467949657152583E-3</v>
      </c>
      <c r="AH1188" s="94">
        <f>IF('Net zero activities &amp; levers'!$C$14="Off",Constants!$H66*'Activity data'!BA8*Constants!$H84*EF!$H209*MMVolatEF*NtoN2O*kgtoGg,IF('Net zero activities &amp; levers'!$C$14="On",Constants!$H66*'Net zero Activity data'!BA8*Constants!$H84*EF!$H209*MMVolatEF*NtoN2O*kgtoGg,"ERROR"))</f>
        <v>2.8514553566539535E-3</v>
      </c>
      <c r="AI1188" s="94">
        <f>IF('Net zero activities &amp; levers'!$C$14="Off",Constants!$H66*'Activity data'!BB8*Constants!$H84*EF!$H209*MMVolatEF*NtoN2O*kgtoGg,IF('Net zero activities &amp; levers'!$C$14="On",Constants!$H66*'Net zero Activity data'!BB8*Constants!$H84*EF!$H209*MMVolatEF*NtoN2O*kgtoGg,"ERROR"))</f>
        <v>2.8509661505713695E-3</v>
      </c>
      <c r="AJ1188" s="94">
        <f>IF('Net zero activities &amp; levers'!$C$14="Off",Constants!$H66*'Activity data'!BC8*Constants!$H84*EF!$H209*MMVolatEF*NtoN2O*kgtoGg,IF('Net zero activities &amp; levers'!$C$14="On",Constants!$H66*'Net zero Activity data'!BC8*Constants!$H84*EF!$H209*MMVolatEF*NtoN2O*kgtoGg,"ERROR"))</f>
        <v>2.8552472952040066E-3</v>
      </c>
      <c r="AK1188" s="94">
        <f>IF('Net zero activities &amp; levers'!$C$14="Off",Constants!$H66*'Activity data'!BD8*Constants!$H84*EF!$H209*MMVolatEF*NtoN2O*kgtoGg,IF('Net zero activities &amp; levers'!$C$14="On",Constants!$H66*'Net zero Activity data'!BD8*Constants!$H84*EF!$H209*MMVolatEF*NtoN2O*kgtoGg,"ERROR"))</f>
        <v>2.8544571157094324E-3</v>
      </c>
      <c r="AL1188" s="94">
        <f>IF('Net zero activities &amp; levers'!$C$14="Off",Constants!$H66*'Activity data'!BE8*Constants!$H84*EF!$H209*MMVolatEF*NtoN2O*kgtoGg,IF('Net zero activities &amp; levers'!$C$14="On",Constants!$H66*'Net zero Activity data'!BE8*Constants!$H84*EF!$H209*MMVolatEF*NtoN2O*kgtoGg,"ERROR"))</f>
        <v>2.8550616993206577E-3</v>
      </c>
      <c r="AM1188" s="94">
        <f>IF('Net zero activities &amp; levers'!$C$14="Off",Constants!$H66*'Activity data'!BF8*Constants!$H84*EF!$H209*MMVolatEF*NtoN2O*kgtoGg,IF('Net zero activities &amp; levers'!$C$14="On",Constants!$H66*'Net zero Activity data'!BF8*Constants!$H84*EF!$H209*MMVolatEF*NtoN2O*kgtoGg,"ERROR"))</f>
        <v>2.8536896120201398E-3</v>
      </c>
      <c r="AN1188" s="94">
        <f>IF('Net zero activities &amp; levers'!$C$14="Off",Constants!$H66*'Activity data'!BG8*Constants!$H84*EF!$H209*MMVolatEF*NtoN2O*kgtoGg,IF('Net zero activities &amp; levers'!$C$14="On",Constants!$H66*'Net zero Activity data'!BG8*Constants!$H84*EF!$H209*MMVolatEF*NtoN2O*kgtoGg,"ERROR"))</f>
        <v>2.8741715259670993E-3</v>
      </c>
      <c r="AO1188" s="94">
        <f>IF('Net zero activities &amp; levers'!$C$14="Off",Constants!$H66*'Activity data'!BH8*Constants!$H84*EF!$H209*MMVolatEF*NtoN2O*kgtoGg,IF('Net zero activities &amp; levers'!$C$14="On",Constants!$H66*'Net zero Activity data'!BH8*Constants!$H84*EF!$H209*MMVolatEF*NtoN2O*kgtoGg,"ERROR"))</f>
        <v>2.8891552087920934E-3</v>
      </c>
      <c r="AP1188" s="94">
        <f>IF('Net zero activities &amp; levers'!$C$14="Off",Constants!$H66*'Activity data'!BI8*Constants!$H84*EF!$H209*MMVolatEF*NtoN2O*kgtoGg,IF('Net zero activities &amp; levers'!$C$14="On",Constants!$H66*'Net zero Activity data'!BI8*Constants!$H84*EF!$H209*MMVolatEF*NtoN2O*kgtoGg,"ERROR"))</f>
        <v>2.9032743711579932E-3</v>
      </c>
      <c r="AQ1188" s="94">
        <f>IF('Net zero activities &amp; levers'!$C$14="Off",Constants!$H66*'Activity data'!BJ8*Constants!$H84*EF!$H209*MMVolatEF*NtoN2O*kgtoGg,IF('Net zero activities &amp; levers'!$C$14="On",Constants!$H66*'Net zero Activity data'!BJ8*Constants!$H84*EF!$H209*MMVolatEF*NtoN2O*kgtoGg,"ERROR"))</f>
        <v>2.9176093020266492E-3</v>
      </c>
      <c r="AR1188" s="94">
        <f>IF('Net zero activities &amp; levers'!$C$14="Off",Constants!$H66*'Activity data'!BK8*Constants!$H84*EF!$H209*MMVolatEF*NtoN2O*kgtoGg,IF('Net zero activities &amp; levers'!$C$14="On",Constants!$H66*'Net zero Activity data'!BK8*Constants!$H84*EF!$H209*MMVolatEF*NtoN2O*kgtoGg,"ERROR"))</f>
        <v>2.9324708677435766E-3</v>
      </c>
      <c r="AS1188" s="94">
        <f>IF('Net zero activities &amp; levers'!$C$14="Off",Constants!$H66*'Activity data'!BL8*Constants!$H84*EF!$H209*MMVolatEF*NtoN2O*kgtoGg,IF('Net zero activities &amp; levers'!$C$14="On",Constants!$H66*'Net zero Activity data'!BL8*Constants!$H84*EF!$H209*MMVolatEF*NtoN2O*kgtoGg,"ERROR"))</f>
        <v>2.955760646257155E-3</v>
      </c>
      <c r="AT1188" s="94">
        <f>IF('Net zero activities &amp; levers'!$C$14="Off",Constants!$H66*'Activity data'!BM8*Constants!$H84*EF!$H209*MMVolatEF*NtoN2O*kgtoGg,IF('Net zero activities &amp; levers'!$C$14="On",Constants!$H66*'Net zero Activity data'!BM8*Constants!$H84*EF!$H209*MMVolatEF*NtoN2O*kgtoGg,"ERROR"))</f>
        <v>2.949200862307677E-3</v>
      </c>
      <c r="AU1188" s="94">
        <f>IF('Net zero activities &amp; levers'!$C$14="Off",Constants!$H66*'Activity data'!BN8*Constants!$H84*EF!$H209*MMVolatEF*NtoN2O*kgtoGg,IF('Net zero activities &amp; levers'!$C$14="On",Constants!$H66*'Net zero Activity data'!BN8*Constants!$H84*EF!$H209*MMVolatEF*NtoN2O*kgtoGg,"ERROR"))</f>
        <v>2.9393657295562411E-3</v>
      </c>
      <c r="AV1188" s="94">
        <f>IF('Net zero activities &amp; levers'!$C$14="Off",Constants!$H66*'Activity data'!BO8*Constants!$H84*EF!$H209*MMVolatEF*NtoN2O*kgtoGg,IF('Net zero activities &amp; levers'!$C$14="On",Constants!$H66*'Net zero Activity data'!BO8*Constants!$H84*EF!$H209*MMVolatEF*NtoN2O*kgtoGg,"ERROR"))</f>
        <v>2.9291791996267137E-3</v>
      </c>
      <c r="AW1188" s="94">
        <f>IF('Net zero activities &amp; levers'!$C$14="Off",Constants!$H66*'Activity data'!BP8*Constants!$H84*EF!$H209*MMVolatEF*NtoN2O*kgtoGg,IF('Net zero activities &amp; levers'!$C$14="On",Constants!$H66*'Net zero Activity data'!BP8*Constants!$H84*EF!$H209*MMVolatEF*NtoN2O*kgtoGg,"ERROR"))</f>
        <v>2.9174224191291709E-3</v>
      </c>
      <c r="AY1188" s="79"/>
    </row>
    <row r="1189" spans="1:51" x14ac:dyDescent="0.2">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1.6090517274103575E-2</v>
      </c>
      <c r="L1189" s="94">
        <f>IF('Net zero activities &amp; levers'!$C$14="Off",Constants!$H67*'Activity data'!AE9*Constants!$H85*EF!$H210*MMVolatEF*NtoN2O*kgtoGg,IF('Net zero activities &amp; levers'!$C$14="On",Constants!$H67*'Net zero Activity data'!AE9*Constants!$H85*EF!$H210*MMVolatEF*NtoN2O*kgtoGg,"ERROR"))</f>
        <v>1.5950969356419611E-2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1.5377401443792467E-2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1.2753167977791692E-2</v>
      </c>
      <c r="T1189" s="94">
        <f>IF('Net zero activities &amp; levers'!$C$14="Off",Constants!$H67*'Activity data'!AM9*Constants!$H85*EF!$H210*MMVolatEF*NtoN2O*kgtoGg,IF('Net zero activities &amp; levers'!$C$14="On",Constants!$H67*'Net zero Activity data'!AM9*Constants!$H85*EF!$H210*MMVolatEF*NtoN2O*kgtoGg,"ERROR"))</f>
        <v>1.2997110574266151E-2</v>
      </c>
      <c r="U1189" s="94">
        <f>IF('Net zero activities &amp; levers'!$C$14="Off",Constants!$H67*'Activity data'!AN9*Constants!$H85*EF!$H210*MMVolatEF*NtoN2O*kgtoGg,IF('Net zero activities &amp; levers'!$C$14="On",Constants!$H67*'Net zero Activity data'!AN9*Constants!$H85*EF!$H210*MMVolatEF*NtoN2O*kgtoGg,"ERROR"))</f>
        <v>1.312753735596061E-2</v>
      </c>
      <c r="V1189" s="94">
        <f>IF('Net zero activities &amp; levers'!$C$14="Off",Constants!$H67*'Activity data'!AO9*Constants!$H85*EF!$H210*MMVolatEF*NtoN2O*kgtoGg,IF('Net zero activities &amp; levers'!$C$14="On",Constants!$H67*'Net zero Activity data'!AO9*Constants!$H85*EF!$H210*MMVolatEF*NtoN2O*kgtoGg,"ERROR"))</f>
        <v>1.3227938686323331E-2</v>
      </c>
      <c r="W1189" s="94">
        <f>IF('Net zero activities &amp; levers'!$C$14="Off",Constants!$H67*'Activity data'!AP9*Constants!$H85*EF!$H210*MMVolatEF*NtoN2O*kgtoGg,IF('Net zero activities &amp; levers'!$C$14="On",Constants!$H67*'Net zero Activity data'!AP9*Constants!$H85*EF!$H210*MMVolatEF*NtoN2O*kgtoGg,"ERROR"))</f>
        <v>1.337320381397436E-2</v>
      </c>
      <c r="X1189" s="94">
        <f>IF('Net zero activities &amp; levers'!$C$14="Off",Constants!$H67*'Activity data'!AQ9*Constants!$H85*EF!$H210*MMVolatEF*NtoN2O*kgtoGg,IF('Net zero activities &amp; levers'!$C$14="On",Constants!$H67*'Net zero Activity data'!AQ9*Constants!$H85*EF!$H210*MMVolatEF*NtoN2O*kgtoGg,"ERROR"))</f>
        <v>1.349109422233195E-2</v>
      </c>
      <c r="Y1189" s="94">
        <f>IF('Net zero activities &amp; levers'!$C$14="Off",Constants!$H67*'Activity data'!AR9*Constants!$H85*EF!$H210*MMVolatEF*NtoN2O*kgtoGg,IF('Net zero activities &amp; levers'!$C$14="On",Constants!$H67*'Net zero Activity data'!AR9*Constants!$H85*EF!$H210*MMVolatEF*NtoN2O*kgtoGg,"ERROR"))</f>
        <v>1.3567092933660515E-2</v>
      </c>
      <c r="Z1189" s="94">
        <f>IF('Net zero activities &amp; levers'!$C$14="Off",Constants!$H67*'Activity data'!AS9*Constants!$H85*EF!$H210*MMVolatEF*NtoN2O*kgtoGg,IF('Net zero activities &amp; levers'!$C$14="On",Constants!$H67*'Net zero Activity data'!AS9*Constants!$H85*EF!$H210*MMVolatEF*NtoN2O*kgtoGg,"ERROR"))</f>
        <v>1.3626252243866949E-2</v>
      </c>
      <c r="AA1189" s="94">
        <f>IF('Net zero activities &amp; levers'!$C$14="Off",Constants!$H67*'Activity data'!AT9*Constants!$H85*EF!$H210*MMVolatEF*NtoN2O*kgtoGg,IF('Net zero activities &amp; levers'!$C$14="On",Constants!$H67*'Net zero Activity data'!AT9*Constants!$H85*EF!$H210*MMVolatEF*NtoN2O*kgtoGg,"ERROR"))</f>
        <v>1.3662918090761304E-2</v>
      </c>
      <c r="AB1189" s="94">
        <f>IF('Net zero activities &amp; levers'!$C$14="Off",Constants!$H67*'Activity data'!AU9*Constants!$H85*EF!$H210*MMVolatEF*NtoN2O*kgtoGg,IF('Net zero activities &amp; levers'!$C$14="On",Constants!$H67*'Net zero Activity data'!AU9*Constants!$H85*EF!$H210*MMVolatEF*NtoN2O*kgtoGg,"ERROR"))</f>
        <v>1.3771463408663595E-2</v>
      </c>
      <c r="AC1189" s="94">
        <f>IF('Net zero activities &amp; levers'!$C$14="Off",Constants!$H67*'Activity data'!AV9*Constants!$H85*EF!$H210*MMVolatEF*NtoN2O*kgtoGg,IF('Net zero activities &amp; levers'!$C$14="On",Constants!$H67*'Net zero Activity data'!AV9*Constants!$H85*EF!$H210*MMVolatEF*NtoN2O*kgtoGg,"ERROR"))</f>
        <v>1.3869127985299977E-2</v>
      </c>
      <c r="AD1189" s="94">
        <f>IF('Net zero activities &amp; levers'!$C$14="Off",Constants!$H67*'Activity data'!AW9*Constants!$H85*EF!$H210*MMVolatEF*NtoN2O*kgtoGg,IF('Net zero activities &amp; levers'!$C$14="On",Constants!$H67*'Net zero Activity data'!AW9*Constants!$H85*EF!$H210*MMVolatEF*NtoN2O*kgtoGg,"ERROR"))</f>
        <v>1.3874165158237254E-2</v>
      </c>
      <c r="AE1189" s="94">
        <f>IF('Net zero activities &amp; levers'!$C$14="Off",Constants!$H67*'Activity data'!AX9*Constants!$H85*EF!$H210*MMVolatEF*NtoN2O*kgtoGg,IF('Net zero activities &amp; levers'!$C$14="On",Constants!$H67*'Net zero Activity data'!AX9*Constants!$H85*EF!$H210*MMVolatEF*NtoN2O*kgtoGg,"ERROR"))</f>
        <v>1.3939591432397862E-2</v>
      </c>
      <c r="AF1189" s="94">
        <f>IF('Net zero activities &amp; levers'!$C$14="Off",Constants!$H67*'Activity data'!AY9*Constants!$H85*EF!$H210*MMVolatEF*NtoN2O*kgtoGg,IF('Net zero activities &amp; levers'!$C$14="On",Constants!$H67*'Net zero Activity data'!AY9*Constants!$H85*EF!$H210*MMVolatEF*NtoN2O*kgtoGg,"ERROR"))</f>
        <v>1.4026109087549346E-2</v>
      </c>
      <c r="AG1189" s="94">
        <f>IF('Net zero activities &amp; levers'!$C$14="Off",Constants!$H67*'Activity data'!AZ9*Constants!$H85*EF!$H210*MMVolatEF*NtoN2O*kgtoGg,IF('Net zero activities &amp; levers'!$C$14="On",Constants!$H67*'Net zero Activity data'!AZ9*Constants!$H85*EF!$H210*MMVolatEF*NtoN2O*kgtoGg,"ERROR"))</f>
        <v>1.4171363545535784E-2</v>
      </c>
      <c r="AH1189" s="94">
        <f>IF('Net zero activities &amp; levers'!$C$14="Off",Constants!$H67*'Activity data'!BA9*Constants!$H85*EF!$H210*MMVolatEF*NtoN2O*kgtoGg,IF('Net zero activities &amp; levers'!$C$14="On",Constants!$H67*'Net zero Activity data'!BA9*Constants!$H85*EF!$H210*MMVolatEF*NtoN2O*kgtoGg,"ERROR"))</f>
        <v>1.4194563001433364E-2</v>
      </c>
      <c r="AI1189" s="94">
        <f>IF('Net zero activities &amp; levers'!$C$14="Off",Constants!$H67*'Activity data'!BB9*Constants!$H85*EF!$H210*MMVolatEF*NtoN2O*kgtoGg,IF('Net zero activities &amp; levers'!$C$14="On",Constants!$H67*'Net zero Activity data'!BB9*Constants!$H85*EF!$H210*MMVolatEF*NtoN2O*kgtoGg,"ERROR"))</f>
        <v>1.4192127730425623E-2</v>
      </c>
      <c r="AJ1189" s="94">
        <f>IF('Net zero activities &amp; levers'!$C$14="Off",Constants!$H67*'Activity data'!BC9*Constants!$H85*EF!$H210*MMVolatEF*NtoN2O*kgtoGg,IF('Net zero activities &amp; levers'!$C$14="On",Constants!$H67*'Net zero Activity data'!BC9*Constants!$H85*EF!$H210*MMVolatEF*NtoN2O*kgtoGg,"ERROR"))</f>
        <v>1.4213439295786241E-2</v>
      </c>
      <c r="AK1189" s="94">
        <f>IF('Net zero activities &amp; levers'!$C$14="Off",Constants!$H67*'Activity data'!BD9*Constants!$H85*EF!$H210*MMVolatEF*NtoN2O*kgtoGg,IF('Net zero activities &amp; levers'!$C$14="On",Constants!$H67*'Net zero Activity data'!BD9*Constants!$H85*EF!$H210*MMVolatEF*NtoN2O*kgtoGg,"ERROR"))</f>
        <v>1.4209505777208791E-2</v>
      </c>
      <c r="AL1189" s="94">
        <f>IF('Net zero activities &amp; levers'!$C$14="Off",Constants!$H67*'Activity data'!BE9*Constants!$H85*EF!$H210*MMVolatEF*NtoN2O*kgtoGg,IF('Net zero activities &amp; levers'!$C$14="On",Constants!$H67*'Net zero Activity data'!BE9*Constants!$H85*EF!$H210*MMVolatEF*NtoN2O*kgtoGg,"ERROR"))</f>
        <v>1.4212515398291981E-2</v>
      </c>
      <c r="AM1189" s="94">
        <f>IF('Net zero activities &amp; levers'!$C$14="Off",Constants!$H67*'Activity data'!BF9*Constants!$H85*EF!$H210*MMVolatEF*NtoN2O*kgtoGg,IF('Net zero activities &amp; levers'!$C$14="On",Constants!$H67*'Net zero Activity data'!BF9*Constants!$H85*EF!$H210*MMVolatEF*NtoN2O*kgtoGg,"ERROR"))</f>
        <v>1.4205685138935052E-2</v>
      </c>
      <c r="AN1189" s="94">
        <f>IF('Net zero activities &amp; levers'!$C$14="Off",Constants!$H67*'Activity data'!BG9*Constants!$H85*EF!$H210*MMVolatEF*NtoN2O*kgtoGg,IF('Net zero activities &amp; levers'!$C$14="On",Constants!$H67*'Net zero Activity data'!BG9*Constants!$H85*EF!$H210*MMVolatEF*NtoN2O*kgtoGg,"ERROR"))</f>
        <v>1.4307644237551697E-2</v>
      </c>
      <c r="AO1189" s="94">
        <f>IF('Net zero activities &amp; levers'!$C$14="Off",Constants!$H67*'Activity data'!BH9*Constants!$H85*EF!$H210*MMVolatEF*NtoN2O*kgtoGg,IF('Net zero activities &amp; levers'!$C$14="On",Constants!$H67*'Net zero Activity data'!BH9*Constants!$H85*EF!$H210*MMVolatEF*NtoN2O*kgtoGg,"ERROR"))</f>
        <v>1.4382233106480177E-2</v>
      </c>
      <c r="AP1189" s="94">
        <f>IF('Net zero activities &amp; levers'!$C$14="Off",Constants!$H67*'Activity data'!BI9*Constants!$H85*EF!$H210*MMVolatEF*NtoN2O*kgtoGg,IF('Net zero activities &amp; levers'!$C$14="On",Constants!$H67*'Net zero Activity data'!BI9*Constants!$H85*EF!$H210*MMVolatEF*NtoN2O*kgtoGg,"ERROR"))</f>
        <v>1.4452518387034392E-2</v>
      </c>
      <c r="AQ1189" s="94">
        <f>IF('Net zero activities &amp; levers'!$C$14="Off",Constants!$H67*'Activity data'!BJ9*Constants!$H85*EF!$H210*MMVolatEF*NtoN2O*kgtoGg,IF('Net zero activities &amp; levers'!$C$14="On",Constants!$H67*'Net zero Activity data'!BJ9*Constants!$H85*EF!$H210*MMVolatEF*NtoN2O*kgtoGg,"ERROR"))</f>
        <v>1.4523877764575229E-2</v>
      </c>
      <c r="AR1189" s="94">
        <f>IF('Net zero activities &amp; levers'!$C$14="Off",Constants!$H67*'Activity data'!BK9*Constants!$H85*EF!$H210*MMVolatEF*NtoN2O*kgtoGg,IF('Net zero activities &amp; levers'!$C$14="On",Constants!$H67*'Net zero Activity data'!BK9*Constants!$H85*EF!$H210*MMVolatEF*NtoN2O*kgtoGg,"ERROR"))</f>
        <v>1.4597858733758781E-2</v>
      </c>
      <c r="AS1189" s="94">
        <f>IF('Net zero activities &amp; levers'!$C$14="Off",Constants!$H67*'Activity data'!BL9*Constants!$H85*EF!$H210*MMVolatEF*NtoN2O*kgtoGg,IF('Net zero activities &amp; levers'!$C$14="On",Constants!$H67*'Net zero Activity data'!BL9*Constants!$H85*EF!$H210*MMVolatEF*NtoN2O*kgtoGg,"ERROR"))</f>
        <v>1.4713795400145288E-2</v>
      </c>
      <c r="AT1189" s="94">
        <f>IF('Net zero activities &amp; levers'!$C$14="Off",Constants!$H67*'Activity data'!BM9*Constants!$H85*EF!$H210*MMVolatEF*NtoN2O*kgtoGg,IF('Net zero activities &amp; levers'!$C$14="On",Constants!$H67*'Net zero Activity data'!BM9*Constants!$H85*EF!$H210*MMVolatEF*NtoN2O*kgtoGg,"ERROR"))</f>
        <v>1.4681140753692774E-2</v>
      </c>
      <c r="AU1189" s="94">
        <f>IF('Net zero activities &amp; levers'!$C$14="Off",Constants!$H67*'Activity data'!BN9*Constants!$H85*EF!$H210*MMVolatEF*NtoN2O*kgtoGg,IF('Net zero activities &amp; levers'!$C$14="On",Constants!$H67*'Net zero Activity data'!BN9*Constants!$H85*EF!$H210*MMVolatEF*NtoN2O*kgtoGg,"ERROR"))</f>
        <v>1.4632181399957167E-2</v>
      </c>
      <c r="AV1189" s="94">
        <f>IF('Net zero activities &amp; levers'!$C$14="Off",Constants!$H67*'Activity data'!BO9*Constants!$H85*EF!$H210*MMVolatEF*NtoN2O*kgtoGg,IF('Net zero activities &amp; levers'!$C$14="On",Constants!$H67*'Net zero Activity data'!BO9*Constants!$H85*EF!$H210*MMVolatEF*NtoN2O*kgtoGg,"ERROR"))</f>
        <v>1.4581472788821714E-2</v>
      </c>
      <c r="AW1189" s="94">
        <f>IF('Net zero activities &amp; levers'!$C$14="Off",Constants!$H67*'Activity data'!BP9*Constants!$H85*EF!$H210*MMVolatEF*NtoN2O*kgtoGg,IF('Net zero activities &amp; levers'!$C$14="On",Constants!$H67*'Net zero Activity data'!BP9*Constants!$H85*EF!$H210*MMVolatEF*NtoN2O*kgtoGg,"ERROR"))</f>
        <v>1.4522947460316408E-2</v>
      </c>
      <c r="AY1189" s="79"/>
    </row>
    <row r="1190" spans="1:51" x14ac:dyDescent="0.2">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0.16370016056893644</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0.17840915017095665</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0.17354626936315642</v>
      </c>
      <c r="T1190" s="94">
        <f>IF('Net zero activities &amp; levers'!$C$14="Off",Constants!$H68*'Activity data'!AM10*Constants!$H86*EF!$H211*MMVolatEF*NtoN2O*kgtoGg,IF('Net zero activities &amp; levers'!$C$14="On",Constants!$H68*'Net zero Activity data'!AM10*Constants!$H86*EF!$H211*MMVolatEF*NtoN2O*kgtoGg,"ERROR"))</f>
        <v>0.18112703744691877</v>
      </c>
      <c r="U1190" s="94">
        <f>IF('Net zero activities &amp; levers'!$C$14="Off",Constants!$H68*'Activity data'!AN10*Constants!$H86*EF!$H211*MMVolatEF*NtoN2O*kgtoGg,IF('Net zero activities &amp; levers'!$C$14="On",Constants!$H68*'Net zero Activity data'!AN10*Constants!$H86*EF!$H211*MMVolatEF*NtoN2O*kgtoGg,"ERROR"))</f>
        <v>0.18729176246517146</v>
      </c>
      <c r="V1190" s="94">
        <f>IF('Net zero activities &amp; levers'!$C$14="Off",Constants!$H68*'Activity data'!AO10*Constants!$H86*EF!$H211*MMVolatEF*NtoN2O*kgtoGg,IF('Net zero activities &amp; levers'!$C$14="On",Constants!$H68*'Net zero Activity data'!AO10*Constants!$H86*EF!$H211*MMVolatEF*NtoN2O*kgtoGg,"ERROR"))</f>
        <v>0.19315163846975197</v>
      </c>
      <c r="W1190" s="94">
        <f>IF('Net zero activities &amp; levers'!$C$14="Off",Constants!$H68*'Activity data'!AP10*Constants!$H86*EF!$H211*MMVolatEF*NtoN2O*kgtoGg,IF('Net zero activities &amp; levers'!$C$14="On",Constants!$H68*'Net zero Activity data'!AP10*Constants!$H86*EF!$H211*MMVolatEF*NtoN2O*kgtoGg,"ERROR"))</f>
        <v>0.1997999174777515</v>
      </c>
      <c r="X1190" s="94">
        <f>IF('Net zero activities &amp; levers'!$C$14="Off",Constants!$H68*'Activity data'!AQ10*Constants!$H86*EF!$H211*MMVolatEF*NtoN2O*kgtoGg,IF('Net zero activities &amp; levers'!$C$14="On",Constants!$H68*'Net zero Activity data'!AQ10*Constants!$H86*EF!$H211*MMVolatEF*NtoN2O*kgtoGg,"ERROR"))</f>
        <v>0.20618321754826516</v>
      </c>
      <c r="Y1190" s="94">
        <f>IF('Net zero activities &amp; levers'!$C$14="Off",Constants!$H68*'Activity data'!AR10*Constants!$H86*EF!$H211*MMVolatEF*NtoN2O*kgtoGg,IF('Net zero activities &amp; levers'!$C$14="On",Constants!$H68*'Net zero Activity data'!AR10*Constants!$H86*EF!$H211*MMVolatEF*NtoN2O*kgtoGg,"ERROR"))</f>
        <v>0.21205125968323466</v>
      </c>
      <c r="Z1190" s="94">
        <f>IF('Net zero activities &amp; levers'!$C$14="Off",Constants!$H68*'Activity data'!AS10*Constants!$H86*EF!$H211*MMVolatEF*NtoN2O*kgtoGg,IF('Net zero activities &amp; levers'!$C$14="On",Constants!$H68*'Net zero Activity data'!AS10*Constants!$H86*EF!$H211*MMVolatEF*NtoN2O*kgtoGg,"ERROR"))</f>
        <v>0.21776504311044109</v>
      </c>
      <c r="AA1190" s="94">
        <f>IF('Net zero activities &amp; levers'!$C$14="Off",Constants!$H68*'Activity data'!AT10*Constants!$H86*EF!$H211*MMVolatEF*NtoN2O*kgtoGg,IF('Net zero activities &amp; levers'!$C$14="On",Constants!$H68*'Net zero Activity data'!AT10*Constants!$H86*EF!$H211*MMVolatEF*NtoN2O*kgtoGg,"ERROR"))</f>
        <v>0.22321845446592189</v>
      </c>
      <c r="AB1190" s="94">
        <f>IF('Net zero activities &amp; levers'!$C$14="Off",Constants!$H68*'Activity data'!AU10*Constants!$H86*EF!$H211*MMVolatEF*NtoN2O*kgtoGg,IF('Net zero activities &amp; levers'!$C$14="On",Constants!$H68*'Net zero Activity data'!AU10*Constants!$H86*EF!$H211*MMVolatEF*NtoN2O*kgtoGg,"ERROR"))</f>
        <v>0.22996706841629874</v>
      </c>
      <c r="AC1190" s="94">
        <f>IF('Net zero activities &amp; levers'!$C$14="Off",Constants!$H68*'Activity data'!AV10*Constants!$H86*EF!$H211*MMVolatEF*NtoN2O*kgtoGg,IF('Net zero activities &amp; levers'!$C$14="On",Constants!$H68*'Net zero Activity data'!AV10*Constants!$H86*EF!$H211*MMVolatEF*NtoN2O*kgtoGg,"ERROR"))</f>
        <v>0.23668130693108949</v>
      </c>
      <c r="AD1190" s="94">
        <f>IF('Net zero activities &amp; levers'!$C$14="Off",Constants!$H68*'Activity data'!AW10*Constants!$H86*EF!$H211*MMVolatEF*NtoN2O*kgtoGg,IF('Net zero activities &amp; levers'!$C$14="On",Constants!$H68*'Net zero Activity data'!AW10*Constants!$H86*EF!$H211*MMVolatEF*NtoN2O*kgtoGg,"ERROR"))</f>
        <v>0.24461911204797512</v>
      </c>
      <c r="AE1190" s="94">
        <f>IF('Net zero activities &amp; levers'!$C$14="Off",Constants!$H68*'Activity data'!AX10*Constants!$H86*EF!$H211*MMVolatEF*NtoN2O*kgtoGg,IF('Net zero activities &amp; levers'!$C$14="On",Constants!$H68*'Net zero Activity data'!AX10*Constants!$H86*EF!$H211*MMVolatEF*NtoN2O*kgtoGg,"ERROR"))</f>
        <v>0.25393877237777696</v>
      </c>
      <c r="AF1190" s="94">
        <f>IF('Net zero activities &amp; levers'!$C$14="Off",Constants!$H68*'Activity data'!AY10*Constants!$H86*EF!$H211*MMVolatEF*NtoN2O*kgtoGg,IF('Net zero activities &amp; levers'!$C$14="On",Constants!$H68*'Net zero Activity data'!AY10*Constants!$H86*EF!$H211*MMVolatEF*NtoN2O*kgtoGg,"ERROR"))</f>
        <v>0.26402636464996099</v>
      </c>
      <c r="AG1190" s="94">
        <f>IF('Net zero activities &amp; levers'!$C$14="Off",Constants!$H68*'Activity data'!AZ10*Constants!$H86*EF!$H211*MMVolatEF*NtoN2O*kgtoGg,IF('Net zero activities &amp; levers'!$C$14="On",Constants!$H68*'Net zero Activity data'!AZ10*Constants!$H86*EF!$H211*MMVolatEF*NtoN2O*kgtoGg,"ERROR"))</f>
        <v>0.27567496604841074</v>
      </c>
      <c r="AH1190" s="94">
        <f>IF('Net zero activities &amp; levers'!$C$14="Off",Constants!$H68*'Activity data'!BA10*Constants!$H86*EF!$H211*MMVolatEF*NtoN2O*kgtoGg,IF('Net zero activities &amp; levers'!$C$14="On",Constants!$H68*'Net zero Activity data'!BA10*Constants!$H86*EF!$H211*MMVolatEF*NtoN2O*kgtoGg,"ERROR"))</f>
        <v>0.28538857228327053</v>
      </c>
      <c r="AI1190" s="94">
        <f>IF('Net zero activities &amp; levers'!$C$14="Off",Constants!$H68*'Activity data'!BB10*Constants!$H86*EF!$H211*MMVolatEF*NtoN2O*kgtoGg,IF('Net zero activities &amp; levers'!$C$14="On",Constants!$H68*'Net zero Activity data'!BB10*Constants!$H86*EF!$H211*MMVolatEF*NtoN2O*kgtoGg,"ERROR"))</f>
        <v>0.29495307266242238</v>
      </c>
      <c r="AJ1190" s="94">
        <f>IF('Net zero activities &amp; levers'!$C$14="Off",Constants!$H68*'Activity data'!BC10*Constants!$H86*EF!$H211*MMVolatEF*NtoN2O*kgtoGg,IF('Net zero activities &amp; levers'!$C$14="On",Constants!$H68*'Net zero Activity data'!BC10*Constants!$H86*EF!$H211*MMVolatEF*NtoN2O*kgtoGg,"ERROR"))</f>
        <v>0.3053980286161922</v>
      </c>
      <c r="AK1190" s="94">
        <f>IF('Net zero activities &amp; levers'!$C$14="Off",Constants!$H68*'Activity data'!BD10*Constants!$H86*EF!$H211*MMVolatEF*NtoN2O*kgtoGg,IF('Net zero activities &amp; levers'!$C$14="On",Constants!$H68*'Net zero Activity data'!BD10*Constants!$H86*EF!$H211*MMVolatEF*NtoN2O*kgtoGg,"ERROR"))</f>
        <v>0.3157092357133186</v>
      </c>
      <c r="AL1190" s="94">
        <f>IF('Net zero activities &amp; levers'!$C$14="Off",Constants!$H68*'Activity data'!BE10*Constants!$H86*EF!$H211*MMVolatEF*NtoN2O*kgtoGg,IF('Net zero activities &amp; levers'!$C$14="On",Constants!$H68*'Net zero Activity data'!BE10*Constants!$H86*EF!$H211*MMVolatEF*NtoN2O*kgtoGg,"ERROR"))</f>
        <v>0.32659469477462816</v>
      </c>
      <c r="AM1190" s="94">
        <f>IF('Net zero activities &amp; levers'!$C$14="Off",Constants!$H68*'Activity data'!BF10*Constants!$H86*EF!$H211*MMVolatEF*NtoN2O*kgtoGg,IF('Net zero activities &amp; levers'!$C$14="On",Constants!$H68*'Net zero Activity data'!BF10*Constants!$H86*EF!$H211*MMVolatEF*NtoN2O*kgtoGg,"ERROR"))</f>
        <v>0.33769759276940581</v>
      </c>
      <c r="AN1190" s="94">
        <f>IF('Net zero activities &amp; levers'!$C$14="Off",Constants!$H68*'Activity data'!BG10*Constants!$H86*EF!$H211*MMVolatEF*NtoN2O*kgtoGg,IF('Net zero activities &amp; levers'!$C$14="On",Constants!$H68*'Net zero Activity data'!BG10*Constants!$H86*EF!$H211*MMVolatEF*NtoN2O*kgtoGg,"ERROR"))</f>
        <v>0.34971796912079089</v>
      </c>
      <c r="AO1190" s="94">
        <f>IF('Net zero activities &amp; levers'!$C$14="Off",Constants!$H68*'Activity data'!BH10*Constants!$H86*EF!$H211*MMVolatEF*NtoN2O*kgtoGg,IF('Net zero activities &amp; levers'!$C$14="On",Constants!$H68*'Net zero Activity data'!BH10*Constants!$H86*EF!$H211*MMVolatEF*NtoN2O*kgtoGg,"ERROR"))</f>
        <v>0.36149422928557057</v>
      </c>
      <c r="AP1190" s="94">
        <f>IF('Net zero activities &amp; levers'!$C$14="Off",Constants!$H68*'Activity data'!BI10*Constants!$H86*EF!$H211*MMVolatEF*NtoN2O*kgtoGg,IF('Net zero activities &amp; levers'!$C$14="On",Constants!$H68*'Net zero Activity data'!BI10*Constants!$H86*EF!$H211*MMVolatEF*NtoN2O*kgtoGg,"ERROR"))</f>
        <v>0.3735858155993782</v>
      </c>
      <c r="AQ1190" s="94">
        <f>IF('Net zero activities &amp; levers'!$C$14="Off",Constants!$H68*'Activity data'!BJ10*Constants!$H86*EF!$H211*MMVolatEF*NtoN2O*kgtoGg,IF('Net zero activities &amp; levers'!$C$14="On",Constants!$H68*'Net zero Activity data'!BJ10*Constants!$H86*EF!$H211*MMVolatEF*NtoN2O*kgtoGg,"ERROR"))</f>
        <v>0.38614747590772142</v>
      </c>
      <c r="AR1190" s="94">
        <f>IF('Net zero activities &amp; levers'!$C$14="Off",Constants!$H68*'Activity data'!BK10*Constants!$H86*EF!$H211*MMVolatEF*NtoN2O*kgtoGg,IF('Net zero activities &amp; levers'!$C$14="On",Constants!$H68*'Net zero Activity data'!BK10*Constants!$H86*EF!$H211*MMVolatEF*NtoN2O*kgtoGg,"ERROR"))</f>
        <v>0.3992463303443215</v>
      </c>
      <c r="AS1190" s="94">
        <f>IF('Net zero activities &amp; levers'!$C$14="Off",Constants!$H68*'Activity data'!BL10*Constants!$H86*EF!$H211*MMVolatEF*NtoN2O*kgtoGg,IF('Net zero activities &amp; levers'!$C$14="On",Constants!$H68*'Net zero Activity data'!BL10*Constants!$H86*EF!$H211*MMVolatEF*NtoN2O*kgtoGg,"ERROR"))</f>
        <v>0.41401924594323458</v>
      </c>
      <c r="AT1190" s="94">
        <f>IF('Net zero activities &amp; levers'!$C$14="Off",Constants!$H68*'Activity data'!BM10*Constants!$H86*EF!$H211*MMVolatEF*NtoN2O*kgtoGg,IF('Net zero activities &amp; levers'!$C$14="On",Constants!$H68*'Net zero Activity data'!BM10*Constants!$H86*EF!$H211*MMVolatEF*NtoN2O*kgtoGg,"ERROR"))</f>
        <v>0.42507748495703629</v>
      </c>
      <c r="AU1190" s="94">
        <f>IF('Net zero activities &amp; levers'!$C$14="Off",Constants!$H68*'Activity data'!BN10*Constants!$H86*EF!$H211*MMVolatEF*NtoN2O*kgtoGg,IF('Net zero activities &amp; levers'!$C$14="On",Constants!$H68*'Net zero Activity data'!BN10*Constants!$H86*EF!$H211*MMVolatEF*NtoN2O*kgtoGg,"ERROR"))</f>
        <v>0.43601753921735037</v>
      </c>
      <c r="AV1190" s="94">
        <f>IF('Net zero activities &amp; levers'!$C$14="Off",Constants!$H68*'Activity data'!BO10*Constants!$H86*EF!$H211*MMVolatEF*NtoN2O*kgtoGg,IF('Net zero activities &amp; levers'!$C$14="On",Constants!$H68*'Net zero Activity data'!BO10*Constants!$H86*EF!$H211*MMVolatEF*NtoN2O*kgtoGg,"ERROR"))</f>
        <v>0.44726275396189152</v>
      </c>
      <c r="AW1190" s="94">
        <f>IF('Net zero activities &amp; levers'!$C$14="Off",Constants!$H68*'Activity data'!BP10*Constants!$H86*EF!$H211*MMVolatEF*NtoN2O*kgtoGg,IF('Net zero activities &amp; levers'!$C$14="On",Constants!$H68*'Net zero Activity data'!BP10*Constants!$H86*EF!$H211*MMVolatEF*NtoN2O*kgtoGg,"ERROR"))</f>
        <v>0.45863622701416706</v>
      </c>
      <c r="AY1190" s="79"/>
    </row>
    <row r="1191" spans="1:51" x14ac:dyDescent="0.2">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1.195503235691774E-4</v>
      </c>
      <c r="T1191" s="94">
        <f>IF('Net zero activities &amp; levers'!$C$14="Off",Constants!$H69*'Activity data'!AM11*Constants!$H87*EF!$H212*MMVolatEF*NtoN2O*kgtoGg,IF('Net zero activities &amp; levers'!$C$14="On",Constants!$H69*'Net zero Activity data'!AM11*Constants!$H87*EF!$H212*MMVolatEF*NtoN2O*kgtoGg,"ERROR"))</f>
        <v>1.1973238900774034E-4</v>
      </c>
      <c r="U1191" s="94">
        <f>IF('Net zero activities &amp; levers'!$C$14="Off",Constants!$H69*'Activity data'!AN11*Constants!$H87*EF!$H212*MMVolatEF*NtoN2O*kgtoGg,IF('Net zero activities &amp; levers'!$C$14="On",Constants!$H69*'Net zero Activity data'!AN11*Constants!$H87*EF!$H212*MMVolatEF*NtoN2O*kgtoGg,"ERROR"))</f>
        <v>1.1993816652481025E-4</v>
      </c>
      <c r="V1191" s="94">
        <f>IF('Net zero activities &amp; levers'!$C$14="Off",Constants!$H69*'Activity data'!AO11*Constants!$H87*EF!$H212*MMVolatEF*NtoN2O*kgtoGg,IF('Net zero activities &amp; levers'!$C$14="On",Constants!$H69*'Net zero Activity data'!AO11*Constants!$H87*EF!$H212*MMVolatEF*NtoN2O*kgtoGg,"ERROR"))</f>
        <v>1.2017030175701969E-4</v>
      </c>
      <c r="W1191" s="94">
        <f>IF('Net zero activities &amp; levers'!$C$14="Off",Constants!$H69*'Activity data'!AP11*Constants!$H87*EF!$H212*MMVolatEF*NtoN2O*kgtoGg,IF('Net zero activities &amp; levers'!$C$14="On",Constants!$H69*'Net zero Activity data'!AP11*Constants!$H87*EF!$H212*MMVolatEF*NtoN2O*kgtoGg,"ERROR"))</f>
        <v>1.2043143682964787E-4</v>
      </c>
      <c r="X1191" s="94">
        <f>IF('Net zero activities &amp; levers'!$C$14="Off",Constants!$H69*'Activity data'!AQ11*Constants!$H87*EF!$H212*MMVolatEF*NtoN2O*kgtoGg,IF('Net zero activities &amp; levers'!$C$14="On",Constants!$H69*'Net zero Activity data'!AQ11*Constants!$H87*EF!$H212*MMVolatEF*NtoN2O*kgtoGg,"ERROR"))</f>
        <v>1.2071612652319093E-4</v>
      </c>
      <c r="Y1191" s="94">
        <f>IF('Net zero activities &amp; levers'!$C$14="Off",Constants!$H69*'Activity data'!AR11*Constants!$H87*EF!$H212*MMVolatEF*NtoN2O*kgtoGg,IF('Net zero activities &amp; levers'!$C$14="On",Constants!$H69*'Net zero Activity data'!AR11*Constants!$H87*EF!$H212*MMVolatEF*NtoN2O*kgtoGg,"ERROR"))</f>
        <v>1.2088927246048491E-4</v>
      </c>
      <c r="Z1191" s="94">
        <f>IF('Net zero activities &amp; levers'!$C$14="Off",Constants!$H69*'Activity data'!AS11*Constants!$H87*EF!$H212*MMVolatEF*NtoN2O*kgtoGg,IF('Net zero activities &amp; levers'!$C$14="On",Constants!$H69*'Net zero Activity data'!AS11*Constants!$H87*EF!$H212*MMVolatEF*NtoN2O*kgtoGg,"ERROR"))</f>
        <v>1.2108266651499932E-4</v>
      </c>
      <c r="AA1191" s="94">
        <f>IF('Net zero activities &amp; levers'!$C$14="Off",Constants!$H69*'Activity data'!AT11*Constants!$H87*EF!$H212*MMVolatEF*NtoN2O*kgtoGg,IF('Net zero activities &amp; levers'!$C$14="On",Constants!$H69*'Net zero Activity data'!AT11*Constants!$H87*EF!$H212*MMVolatEF*NtoN2O*kgtoGg,"ERROR"))</f>
        <v>1.2129489002398719E-4</v>
      </c>
      <c r="AB1191" s="94">
        <f>IF('Net zero activities &amp; levers'!$C$14="Off",Constants!$H69*'Activity data'!AU11*Constants!$H87*EF!$H212*MMVolatEF*NtoN2O*kgtoGg,IF('Net zero activities &amp; levers'!$C$14="On",Constants!$H69*'Net zero Activity data'!AU11*Constants!$H87*EF!$H212*MMVolatEF*NtoN2O*kgtoGg,"ERROR"))</f>
        <v>1.2153074787723059E-4</v>
      </c>
      <c r="AC1191" s="94">
        <f>IF('Net zero activities &amp; levers'!$C$14="Off",Constants!$H69*'Activity data'!AV11*Constants!$H87*EF!$H212*MMVolatEF*NtoN2O*kgtoGg,IF('Net zero activities &amp; levers'!$C$14="On",Constants!$H69*'Net zero Activity data'!AV11*Constants!$H87*EF!$H212*MMVolatEF*NtoN2O*kgtoGg,"ERROR"))</f>
        <v>1.2178444503760319E-4</v>
      </c>
      <c r="AD1191" s="94">
        <f>IF('Net zero activities &amp; levers'!$C$14="Off",Constants!$H69*'Activity data'!AW11*Constants!$H87*EF!$H212*MMVolatEF*NtoN2O*kgtoGg,IF('Net zero activities &amp; levers'!$C$14="On",Constants!$H69*'Net zero Activity data'!AW11*Constants!$H87*EF!$H212*MMVolatEF*NtoN2O*kgtoGg,"ERROR"))</f>
        <v>1.2195021859922819E-4</v>
      </c>
      <c r="AE1191" s="94">
        <f>IF('Net zero activities &amp; levers'!$C$14="Off",Constants!$H69*'Activity data'!AX11*Constants!$H87*EF!$H212*MMVolatEF*NtoN2O*kgtoGg,IF('Net zero activities &amp; levers'!$C$14="On",Constants!$H69*'Net zero Activity data'!AX11*Constants!$H87*EF!$H212*MMVolatEF*NtoN2O*kgtoGg,"ERROR"))</f>
        <v>1.2213630016303642E-4</v>
      </c>
      <c r="AF1191" s="94">
        <f>IF('Net zero activities &amp; levers'!$C$14="Off",Constants!$H69*'Activity data'!AY11*Constants!$H87*EF!$H212*MMVolatEF*NtoN2O*kgtoGg,IF('Net zero activities &amp; levers'!$C$14="On",Constants!$H69*'Net zero Activity data'!AY11*Constants!$H87*EF!$H212*MMVolatEF*NtoN2O*kgtoGg,"ERROR"))</f>
        <v>1.2233971704233787E-4</v>
      </c>
      <c r="AG1191" s="94">
        <f>IF('Net zero activities &amp; levers'!$C$14="Off",Constants!$H69*'Activity data'!AZ11*Constants!$H87*EF!$H212*MMVolatEF*NtoN2O*kgtoGg,IF('Net zero activities &amp; levers'!$C$14="On",Constants!$H69*'Net zero Activity data'!AZ11*Constants!$H87*EF!$H212*MMVolatEF*NtoN2O*kgtoGg,"ERROR"))</f>
        <v>1.2256258176640642E-4</v>
      </c>
      <c r="AH1191" s="94">
        <f>IF('Net zero activities &amp; levers'!$C$14="Off",Constants!$H69*'Activity data'!BA11*Constants!$H87*EF!$H212*MMVolatEF*NtoN2O*kgtoGg,IF('Net zero activities &amp; levers'!$C$14="On",Constants!$H69*'Net zero Activity data'!BA11*Constants!$H87*EF!$H212*MMVolatEF*NtoN2O*kgtoGg,"ERROR"))</f>
        <v>1.2279204268449652E-4</v>
      </c>
      <c r="AI1191" s="94">
        <f>IF('Net zero activities &amp; levers'!$C$14="Off",Constants!$H69*'Activity data'!BB11*Constants!$H87*EF!$H212*MMVolatEF*NtoN2O*kgtoGg,IF('Net zero activities &amp; levers'!$C$14="On",Constants!$H69*'Net zero Activity data'!BB11*Constants!$H87*EF!$H212*MMVolatEF*NtoN2O*kgtoGg,"ERROR"))</f>
        <v>1.2293267358180957E-4</v>
      </c>
      <c r="AJ1191" s="94">
        <f>IF('Net zero activities &amp; levers'!$C$14="Off",Constants!$H69*'Activity data'!BC11*Constants!$H87*EF!$H212*MMVolatEF*NtoN2O*kgtoGg,IF('Net zero activities &amp; levers'!$C$14="On",Constants!$H69*'Net zero Activity data'!BC11*Constants!$H87*EF!$H212*MMVolatEF*NtoN2O*kgtoGg,"ERROR"))</f>
        <v>1.230880284078129E-4</v>
      </c>
      <c r="AK1191" s="94">
        <f>IF('Net zero activities &amp; levers'!$C$14="Off",Constants!$H69*'Activity data'!BD11*Constants!$H87*EF!$H212*MMVolatEF*NtoN2O*kgtoGg,IF('Net zero activities &amp; levers'!$C$14="On",Constants!$H69*'Net zero Activity data'!BD11*Constants!$H87*EF!$H212*MMVolatEF*NtoN2O*kgtoGg,"ERROR"))</f>
        <v>1.2325414703713089E-4</v>
      </c>
      <c r="AL1191" s="94">
        <f>IF('Net zero activities &amp; levers'!$C$14="Off",Constants!$H69*'Activity data'!BE11*Constants!$H87*EF!$H212*MMVolatEF*NtoN2O*kgtoGg,IF('Net zero activities &amp; levers'!$C$14="On",Constants!$H69*'Net zero Activity data'!BE11*Constants!$H87*EF!$H212*MMVolatEF*NtoN2O*kgtoGg,"ERROR"))</f>
        <v>1.2343300581478905E-4</v>
      </c>
      <c r="AM1191" s="94">
        <f>IF('Net zero activities &amp; levers'!$C$14="Off",Constants!$H69*'Activity data'!BF11*Constants!$H87*EF!$H212*MMVolatEF*NtoN2O*kgtoGg,IF('Net zero activities &amp; levers'!$C$14="On",Constants!$H69*'Net zero Activity data'!BF11*Constants!$H87*EF!$H212*MMVolatEF*NtoN2O*kgtoGg,"ERROR"))</f>
        <v>1.2362298848343737E-4</v>
      </c>
      <c r="AN1191" s="94">
        <f>IF('Net zero activities &amp; levers'!$C$14="Off",Constants!$H69*'Activity data'!BG11*Constants!$H87*EF!$H212*MMVolatEF*NtoN2O*kgtoGg,IF('Net zero activities &amp; levers'!$C$14="On",Constants!$H69*'Net zero Activity data'!BG11*Constants!$H87*EF!$H212*MMVolatEF*NtoN2O*kgtoGg,"ERROR"))</f>
        <v>1.2373316293630814E-4</v>
      </c>
      <c r="AO1191" s="94">
        <f>IF('Net zero activities &amp; levers'!$C$14="Off",Constants!$H69*'Activity data'!BH11*Constants!$H87*EF!$H212*MMVolatEF*NtoN2O*kgtoGg,IF('Net zero activities &amp; levers'!$C$14="On",Constants!$H69*'Net zero Activity data'!BH11*Constants!$H87*EF!$H212*MMVolatEF*NtoN2O*kgtoGg,"ERROR"))</f>
        <v>1.2385166980530415E-4</v>
      </c>
      <c r="AP1191" s="94">
        <f>IF('Net zero activities &amp; levers'!$C$14="Off",Constants!$H69*'Activity data'!BI11*Constants!$H87*EF!$H212*MMVolatEF*NtoN2O*kgtoGg,IF('Net zero activities &amp; levers'!$C$14="On",Constants!$H69*'Net zero Activity data'!BI11*Constants!$H87*EF!$H212*MMVolatEF*NtoN2O*kgtoGg,"ERROR"))</f>
        <v>1.2398002361906419E-4</v>
      </c>
      <c r="AQ1191" s="94">
        <f>IF('Net zero activities &amp; levers'!$C$14="Off",Constants!$H69*'Activity data'!BJ11*Constants!$H87*EF!$H212*MMVolatEF*NtoN2O*kgtoGg,IF('Net zero activities &amp; levers'!$C$14="On",Constants!$H69*'Net zero Activity data'!BJ11*Constants!$H87*EF!$H212*MMVolatEF*NtoN2O*kgtoGg,"ERROR"))</f>
        <v>1.2411840156820918E-4</v>
      </c>
      <c r="AR1191" s="94">
        <f>IF('Net zero activities &amp; levers'!$C$14="Off",Constants!$H69*'Activity data'!BK11*Constants!$H87*EF!$H212*MMVolatEF*NtoN2O*kgtoGg,IF('Net zero activities &amp; levers'!$C$14="On",Constants!$H69*'Net zero Activity data'!BK11*Constants!$H87*EF!$H212*MMVolatEF*NtoN2O*kgtoGg,"ERROR"))</f>
        <v>1.2426670691930035E-4</v>
      </c>
      <c r="AS1191" s="94">
        <f>IF('Net zero activities &amp; levers'!$C$14="Off",Constants!$H69*'Activity data'!BL11*Constants!$H87*EF!$H212*MMVolatEF*NtoN2O*kgtoGg,IF('Net zero activities &amp; levers'!$C$14="On",Constants!$H69*'Net zero Activity data'!BL11*Constants!$H87*EF!$H212*MMVolatEF*NtoN2O*kgtoGg,"ERROR"))</f>
        <v>1.2433302167931155E-4</v>
      </c>
      <c r="AT1191" s="94">
        <f>IF('Net zero activities &amp; levers'!$C$14="Off",Constants!$H69*'Activity data'!BM11*Constants!$H87*EF!$H212*MMVolatEF*NtoN2O*kgtoGg,IF('Net zero activities &amp; levers'!$C$14="On",Constants!$H69*'Net zero Activity data'!BM11*Constants!$H87*EF!$H212*MMVolatEF*NtoN2O*kgtoGg,"ERROR"))</f>
        <v>1.2439474489368146E-4</v>
      </c>
      <c r="AU1191" s="94">
        <f>IF('Net zero activities &amp; levers'!$C$14="Off",Constants!$H69*'Activity data'!BN11*Constants!$H87*EF!$H212*MMVolatEF*NtoN2O*kgtoGg,IF('Net zero activities &amp; levers'!$C$14="On",Constants!$H69*'Net zero Activity data'!BN11*Constants!$H87*EF!$H212*MMVolatEF*NtoN2O*kgtoGg,"ERROR"))</f>
        <v>1.2446317135013558E-4</v>
      </c>
      <c r="AV1191" s="94">
        <f>IF('Net zero activities &amp; levers'!$C$14="Off",Constants!$H69*'Activity data'!BO11*Constants!$H87*EF!$H212*MMVolatEF*NtoN2O*kgtoGg,IF('Net zero activities &amp; levers'!$C$14="On",Constants!$H69*'Net zero Activity data'!BO11*Constants!$H87*EF!$H212*MMVolatEF*NtoN2O*kgtoGg,"ERROR"))</f>
        <v>1.2453939785824996E-4</v>
      </c>
      <c r="AW1191" s="94">
        <f>IF('Net zero activities &amp; levers'!$C$14="Off",Constants!$H69*'Activity data'!BP11*Constants!$H87*EF!$H212*MMVolatEF*NtoN2O*kgtoGg,IF('Net zero activities &amp; levers'!$C$14="On",Constants!$H69*'Net zero Activity data'!BP11*Constants!$H87*EF!$H212*MMVolatEF*NtoN2O*kgtoGg,"ERROR"))</f>
        <v>1.24622639719568E-4</v>
      </c>
      <c r="AY1191" s="79"/>
    </row>
    <row r="1192" spans="1:51" x14ac:dyDescent="0.2">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8.2041591156770978E-4</v>
      </c>
      <c r="T1192" s="94">
        <f>IF('Net zero activities &amp; levers'!$C$14="Off",Constants!$H70*'Activity data'!AM12*Constants!$H88*EF!$H213*MMVolatEF*NtoN2O*kgtoGg,IF('Net zero activities &amp; levers'!$C$14="On",Constants!$H70*'Net zero Activity data'!AM12*Constants!$H88*EF!$H213*MMVolatEF*NtoN2O*kgtoGg,"ERROR"))</f>
        <v>8.216653384055813E-4</v>
      </c>
      <c r="U1192" s="94">
        <f>IF('Net zero activities &amp; levers'!$C$14="Off",Constants!$H70*'Activity data'!AN12*Constants!$H88*EF!$H213*MMVolatEF*NtoN2O*kgtoGg,IF('Net zero activities &amp; levers'!$C$14="On",Constants!$H70*'Net zero Activity data'!AN12*Constants!$H88*EF!$H213*MMVolatEF*NtoN2O*kgtoGg,"ERROR"))</f>
        <v>8.2307748974241456E-4</v>
      </c>
      <c r="V1192" s="94">
        <f>IF('Net zero activities &amp; levers'!$C$14="Off",Constants!$H70*'Activity data'!AO12*Constants!$H88*EF!$H213*MMVolatEF*NtoN2O*kgtoGg,IF('Net zero activities &amp; levers'!$C$14="On",Constants!$H70*'Net zero Activity data'!AO12*Constants!$H88*EF!$H213*MMVolatEF*NtoN2O*kgtoGg,"ERROR"))</f>
        <v>8.246705212997898E-4</v>
      </c>
      <c r="W1192" s="94">
        <f>IF('Net zero activities &amp; levers'!$C$14="Off",Constants!$H70*'Activity data'!AP12*Constants!$H88*EF!$H213*MMVolatEF*NtoN2O*kgtoGg,IF('Net zero activities &amp; levers'!$C$14="On",Constants!$H70*'Net zero Activity data'!AP12*Constants!$H88*EF!$H213*MMVolatEF*NtoN2O*kgtoGg,"ERROR"))</f>
        <v>8.2646256470257108E-4</v>
      </c>
      <c r="X1192" s="94">
        <f>IF('Net zero activities &amp; levers'!$C$14="Off",Constants!$H70*'Activity data'!AQ12*Constants!$H88*EF!$H213*MMVolatEF*NtoN2O*kgtoGg,IF('Net zero activities &amp; levers'!$C$14="On",Constants!$H70*'Net zero Activity data'!AQ12*Constants!$H88*EF!$H213*MMVolatEF*NtoN2O*kgtoGg,"ERROR"))</f>
        <v>8.284162520491963E-4</v>
      </c>
      <c r="Y1192" s="94">
        <f>IF('Net zero activities &amp; levers'!$C$14="Off",Constants!$H70*'Activity data'!AR12*Constants!$H88*EF!$H213*MMVolatEF*NtoN2O*kgtoGg,IF('Net zero activities &amp; levers'!$C$14="On",Constants!$H70*'Net zero Activity data'!AR12*Constants!$H88*EF!$H213*MMVolatEF*NtoN2O*kgtoGg,"ERROR"))</f>
        <v>8.2960446867411488E-4</v>
      </c>
      <c r="Z1192" s="94">
        <f>IF('Net zero activities &amp; levers'!$C$14="Off",Constants!$H70*'Activity data'!AS12*Constants!$H88*EF!$H213*MMVolatEF*NtoN2O*kgtoGg,IF('Net zero activities &amp; levers'!$C$14="On",Constants!$H70*'Net zero Activity data'!AS12*Constants!$H88*EF!$H213*MMVolatEF*NtoN2O*kgtoGg,"ERROR"))</f>
        <v>8.3093163831104511E-4</v>
      </c>
      <c r="AA1192" s="94">
        <f>IF('Net zero activities &amp; levers'!$C$14="Off",Constants!$H70*'Activity data'!AT12*Constants!$H88*EF!$H213*MMVolatEF*NtoN2O*kgtoGg,IF('Net zero activities &amp; levers'!$C$14="On",Constants!$H70*'Net zero Activity data'!AT12*Constants!$H88*EF!$H213*MMVolatEF*NtoN2O*kgtoGg,"ERROR"))</f>
        <v>8.323880253653359E-4</v>
      </c>
      <c r="AB1192" s="94">
        <f>IF('Net zero activities &amp; levers'!$C$14="Off",Constants!$H70*'Activity data'!AU12*Constants!$H88*EF!$H213*MMVolatEF*NtoN2O*kgtoGg,IF('Net zero activities &amp; levers'!$C$14="On",Constants!$H70*'Net zero Activity data'!AU12*Constants!$H88*EF!$H213*MMVolatEF*NtoN2O*kgtoGg,"ERROR"))</f>
        <v>8.3400660346610628E-4</v>
      </c>
      <c r="AC1192" s="94">
        <f>IF('Net zero activities &amp; levers'!$C$14="Off",Constants!$H70*'Activity data'!AV12*Constants!$H88*EF!$H213*MMVolatEF*NtoN2O*kgtoGg,IF('Net zero activities &amp; levers'!$C$14="On",Constants!$H70*'Net zero Activity data'!AV12*Constants!$H88*EF!$H213*MMVolatEF*NtoN2O*kgtoGg,"ERROR"))</f>
        <v>8.3574760408304538E-4</v>
      </c>
      <c r="AD1192" s="94">
        <f>IF('Net zero activities &amp; levers'!$C$14="Off",Constants!$H70*'Activity data'!AW12*Constants!$H88*EF!$H213*MMVolatEF*NtoN2O*kgtoGg,IF('Net zero activities &amp; levers'!$C$14="On",Constants!$H70*'Net zero Activity data'!AW12*Constants!$H88*EF!$H213*MMVolatEF*NtoN2O*kgtoGg,"ERROR"))</f>
        <v>8.3688522766794265E-4</v>
      </c>
      <c r="AE1192" s="94">
        <f>IF('Net zero activities &amp; levers'!$C$14="Off",Constants!$H70*'Activity data'!AX12*Constants!$H88*EF!$H213*MMVolatEF*NtoN2O*kgtoGg,IF('Net zero activities &amp; levers'!$C$14="On",Constants!$H70*'Net zero Activity data'!AX12*Constants!$H88*EF!$H213*MMVolatEF*NtoN2O*kgtoGg,"ERROR"))</f>
        <v>8.3816221522631858E-4</v>
      </c>
      <c r="AF1192" s="94">
        <f>IF('Net zero activities &amp; levers'!$C$14="Off",Constants!$H70*'Activity data'!AY12*Constants!$H88*EF!$H213*MMVolatEF*NtoN2O*kgtoGg,IF('Net zero activities &amp; levers'!$C$14="On",Constants!$H70*'Net zero Activity data'!AY12*Constants!$H88*EF!$H213*MMVolatEF*NtoN2O*kgtoGg,"ERROR"))</f>
        <v>8.3955816665060555E-4</v>
      </c>
      <c r="AG1192" s="94">
        <f>IF('Net zero activities &amp; levers'!$C$14="Off",Constants!$H70*'Activity data'!AZ12*Constants!$H88*EF!$H213*MMVolatEF*NtoN2O*kgtoGg,IF('Net zero activities &amp; levers'!$C$14="On",Constants!$H70*'Net zero Activity data'!AZ12*Constants!$H88*EF!$H213*MMVolatEF*NtoN2O*kgtoGg,"ERROR"))</f>
        <v>8.4108757920503671E-4</v>
      </c>
      <c r="AH1192" s="94">
        <f>IF('Net zero activities &amp; levers'!$C$14="Off",Constants!$H70*'Activity data'!BA12*Constants!$H88*EF!$H213*MMVolatEF*NtoN2O*kgtoGg,IF('Net zero activities &amp; levers'!$C$14="On",Constants!$H70*'Net zero Activity data'!BA12*Constants!$H88*EF!$H213*MMVolatEF*NtoN2O*kgtoGg,"ERROR"))</f>
        <v>8.4266225824114254E-4</v>
      </c>
      <c r="AI1192" s="94">
        <f>IF('Net zero activities &amp; levers'!$C$14="Off",Constants!$H70*'Activity data'!BB12*Constants!$H88*EF!$H213*MMVolatEF*NtoN2O*kgtoGg,IF('Net zero activities &amp; levers'!$C$14="On",Constants!$H70*'Net zero Activity data'!BB12*Constants!$H88*EF!$H213*MMVolatEF*NtoN2O*kgtoGg,"ERROR"))</f>
        <v>8.436273399102601E-4</v>
      </c>
      <c r="AJ1192" s="94">
        <f>IF('Net zero activities &amp; levers'!$C$14="Off",Constants!$H70*'Activity data'!BC12*Constants!$H88*EF!$H213*MMVolatEF*NtoN2O*kgtoGg,IF('Net zero activities &amp; levers'!$C$14="On",Constants!$H70*'Net zero Activity data'!BC12*Constants!$H88*EF!$H213*MMVolatEF*NtoN2O*kgtoGg,"ERROR"))</f>
        <v>8.4469346476368369E-4</v>
      </c>
      <c r="AK1192" s="94">
        <f>IF('Net zero activities &amp; levers'!$C$14="Off",Constants!$H70*'Activity data'!BD12*Constants!$H88*EF!$H213*MMVolatEF*NtoN2O*kgtoGg,IF('Net zero activities &amp; levers'!$C$14="On",Constants!$H70*'Net zero Activity data'!BD12*Constants!$H88*EF!$H213*MMVolatEF*NtoN2O*kgtoGg,"ERROR"))</f>
        <v>8.4583345638086619E-4</v>
      </c>
      <c r="AL1192" s="94">
        <f>IF('Net zero activities &amp; levers'!$C$14="Off",Constants!$H70*'Activity data'!BE12*Constants!$H88*EF!$H213*MMVolatEF*NtoN2O*kgtoGg,IF('Net zero activities &amp; levers'!$C$14="On",Constants!$H70*'Net zero Activity data'!BE12*Constants!$H88*EF!$H213*MMVolatEF*NtoN2O*kgtoGg,"ERROR"))</f>
        <v>8.4706087745956699E-4</v>
      </c>
      <c r="AM1192" s="94">
        <f>IF('Net zero activities &amp; levers'!$C$14="Off",Constants!$H70*'Activity data'!BF12*Constants!$H88*EF!$H213*MMVolatEF*NtoN2O*kgtoGg,IF('Net zero activities &amp; levers'!$C$14="On",Constants!$H70*'Net zero Activity data'!BF12*Constants!$H88*EF!$H213*MMVolatEF*NtoN2O*kgtoGg,"ERROR"))</f>
        <v>8.483646364091695E-4</v>
      </c>
      <c r="AN1192" s="94">
        <f>IF('Net zero activities &amp; levers'!$C$14="Off",Constants!$H70*'Activity data'!BG12*Constants!$H88*EF!$H213*MMVolatEF*NtoN2O*kgtoGg,IF('Net zero activities &amp; levers'!$C$14="On",Constants!$H70*'Net zero Activity data'!BG12*Constants!$H88*EF!$H213*MMVolatEF*NtoN2O*kgtoGg,"ERROR"))</f>
        <v>8.4912071026564152E-4</v>
      </c>
      <c r="AO1192" s="94">
        <f>IF('Net zero activities &amp; levers'!$C$14="Off",Constants!$H70*'Activity data'!BH12*Constants!$H88*EF!$H213*MMVolatEF*NtoN2O*kgtoGg,IF('Net zero activities &amp; levers'!$C$14="On",Constants!$H70*'Net zero Activity data'!BH12*Constants!$H88*EF!$H213*MMVolatEF*NtoN2O*kgtoGg,"ERROR"))</f>
        <v>8.4993396545434991E-4</v>
      </c>
      <c r="AP1192" s="94">
        <f>IF('Net zero activities &amp; levers'!$C$14="Off",Constants!$H70*'Activity data'!BI12*Constants!$H88*EF!$H213*MMVolatEF*NtoN2O*kgtoGg,IF('Net zero activities &amp; levers'!$C$14="On",Constants!$H70*'Net zero Activity data'!BI12*Constants!$H88*EF!$H213*MMVolatEF*NtoN2O*kgtoGg,"ERROR"))</f>
        <v>8.5081479545108508E-4</v>
      </c>
      <c r="AQ1192" s="94">
        <f>IF('Net zero activities &amp; levers'!$C$14="Off",Constants!$H70*'Activity data'!BJ12*Constants!$H88*EF!$H213*MMVolatEF*NtoN2O*kgtoGg,IF('Net zero activities &amp; levers'!$C$14="On",Constants!$H70*'Net zero Activity data'!BJ12*Constants!$H88*EF!$H213*MMVolatEF*NtoN2O*kgtoGg,"ERROR"))</f>
        <v>8.5176441622917501E-4</v>
      </c>
      <c r="AR1192" s="94">
        <f>IF('Net zero activities &amp; levers'!$C$14="Off",Constants!$H70*'Activity data'!BK12*Constants!$H88*EF!$H213*MMVolatEF*NtoN2O*kgtoGg,IF('Net zero activities &amp; levers'!$C$14="On",Constants!$H70*'Net zero Activity data'!BK12*Constants!$H88*EF!$H213*MMVolatEF*NtoN2O*kgtoGg,"ERROR"))</f>
        <v>8.5278216395392656E-4</v>
      </c>
      <c r="AS1192" s="94">
        <f>IF('Net zero activities &amp; levers'!$C$14="Off",Constants!$H70*'Activity data'!BL12*Constants!$H88*EF!$H213*MMVolatEF*NtoN2O*kgtoGg,IF('Net zero activities &amp; levers'!$C$14="On",Constants!$H70*'Net zero Activity data'!BL12*Constants!$H88*EF!$H213*MMVolatEF*NtoN2O*kgtoGg,"ERROR"))</f>
        <v>8.5323725000188266E-4</v>
      </c>
      <c r="AT1192" s="94">
        <f>IF('Net zero activities &amp; levers'!$C$14="Off",Constants!$H70*'Activity data'!BM12*Constants!$H88*EF!$H213*MMVolatEF*NtoN2O*kgtoGg,IF('Net zero activities &amp; levers'!$C$14="On",Constants!$H70*'Net zero Activity data'!BM12*Constants!$H88*EF!$H213*MMVolatEF*NtoN2O*kgtoGg,"ERROR"))</f>
        <v>8.5366082649812602E-4</v>
      </c>
      <c r="AU1192" s="94">
        <f>IF('Net zero activities &amp; levers'!$C$14="Off",Constants!$H70*'Activity data'!BN12*Constants!$H88*EF!$H213*MMVolatEF*NtoN2O*kgtoGg,IF('Net zero activities &amp; levers'!$C$14="On",Constants!$H70*'Net zero Activity data'!BN12*Constants!$H88*EF!$H213*MMVolatEF*NtoN2O*kgtoGg,"ERROR"))</f>
        <v>8.5413040409500023E-4</v>
      </c>
      <c r="AV1192" s="94">
        <f>IF('Net zero activities &amp; levers'!$C$14="Off",Constants!$H70*'Activity data'!BO12*Constants!$H88*EF!$H213*MMVolatEF*NtoN2O*kgtoGg,IF('Net zero activities &amp; levers'!$C$14="On",Constants!$H70*'Net zero Activity data'!BO12*Constants!$H88*EF!$H213*MMVolatEF*NtoN2O*kgtoGg,"ERROR"))</f>
        <v>8.546535096648827E-4</v>
      </c>
      <c r="AW1192" s="94">
        <f>IF('Net zero activities &amp; levers'!$C$14="Off",Constants!$H70*'Activity data'!BP12*Constants!$H88*EF!$H213*MMVolatEF*NtoN2O*kgtoGg,IF('Net zero activities &amp; levers'!$C$14="On",Constants!$H70*'Net zero Activity data'!BP12*Constants!$H88*EF!$H213*MMVolatEF*NtoN2O*kgtoGg,"ERROR"))</f>
        <v>8.5522475820269445E-4</v>
      </c>
      <c r="AY1192" s="79"/>
    </row>
    <row r="1193" spans="1:51" x14ac:dyDescent="0.2">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1.4486129996083081E-5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1.4639017833045651E-5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1.4890706011157255E-5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1.5078679643027028E-5</v>
      </c>
      <c r="T1193" s="94">
        <f>IF('Net zero activities &amp; levers'!$C$14="Off",Constants!$H71*'Activity data'!AM13*Constants!$H89*EF!$H214*MMVolatEF*NtoN2O*kgtoGg,IF('Net zero activities &amp; levers'!$C$14="On",Constants!$H71*'Net zero Activity data'!AM13*Constants!$H89*EF!$H214*MMVolatEF*NtoN2O*kgtoGg,"ERROR"))</f>
        <v>1.5122495296339113E-5</v>
      </c>
      <c r="U1193" s="94">
        <f>IF('Net zero activities &amp; levers'!$C$14="Off",Constants!$H71*'Activity data'!AN13*Constants!$H89*EF!$H214*MMVolatEF*NtoN2O*kgtoGg,IF('Net zero activities &amp; levers'!$C$14="On",Constants!$H71*'Net zero Activity data'!AN13*Constants!$H89*EF!$H214*MMVolatEF*NtoN2O*kgtoGg,"ERROR"))</f>
        <v>1.516958973789732E-5</v>
      </c>
      <c r="V1193" s="94">
        <f>IF('Net zero activities &amp; levers'!$C$14="Off",Constants!$H71*'Activity data'!AO13*Constants!$H89*EF!$H214*MMVolatEF*NtoN2O*kgtoGg,IF('Net zero activities &amp; levers'!$C$14="On",Constants!$H71*'Net zero Activity data'!AO13*Constants!$H89*EF!$H214*MMVolatEF*NtoN2O*kgtoGg,"ERROR"))</f>
        <v>1.5220538890996556E-5</v>
      </c>
      <c r="W1193" s="94">
        <f>IF('Net zero activities &amp; levers'!$C$14="Off",Constants!$H71*'Activity data'!AP13*Constants!$H89*EF!$H214*MMVolatEF*NtoN2O*kgtoGg,IF('Net zero activities &amp; levers'!$C$14="On",Constants!$H71*'Net zero Activity data'!AP13*Constants!$H89*EF!$H214*MMVolatEF*NtoN2O*kgtoGg,"ERROR"))</f>
        <v>1.5275902163367261E-5</v>
      </c>
      <c r="X1193" s="94">
        <f>IF('Net zero activities &amp; levers'!$C$14="Off",Constants!$H71*'Activity data'!AQ13*Constants!$H89*EF!$H214*MMVolatEF*NtoN2O*kgtoGg,IF('Net zero activities &amp; levers'!$C$14="On",Constants!$H71*'Net zero Activity data'!AQ13*Constants!$H89*EF!$H214*MMVolatEF*NtoN2O*kgtoGg,"ERROR"))</f>
        <v>1.5334694454120534E-5</v>
      </c>
      <c r="Y1193" s="94">
        <f>IF('Net zero activities &amp; levers'!$C$14="Off",Constants!$H71*'Activity data'!AR13*Constants!$H89*EF!$H214*MMVolatEF*NtoN2O*kgtoGg,IF('Net zero activities &amp; levers'!$C$14="On",Constants!$H71*'Net zero Activity data'!AR13*Constants!$H89*EF!$H214*MMVolatEF*NtoN2O*kgtoGg,"ERROR"))</f>
        <v>1.5371448915304841E-5</v>
      </c>
      <c r="Z1193" s="94">
        <f>IF('Net zero activities &amp; levers'!$C$14="Off",Constants!$H71*'Activity data'!AS13*Constants!$H89*EF!$H214*MMVolatEF*NtoN2O*kgtoGg,IF('Net zero activities &amp; levers'!$C$14="On",Constants!$H71*'Net zero Activity data'!AS13*Constants!$H89*EF!$H214*MMVolatEF*NtoN2O*kgtoGg,"ERROR"))</f>
        <v>1.5411207509365297E-5</v>
      </c>
      <c r="AA1193" s="94">
        <f>IF('Net zero activities &amp; levers'!$C$14="Off",Constants!$H71*'Activity data'!AT13*Constants!$H89*EF!$H214*MMVolatEF*NtoN2O*kgtoGg,IF('Net zero activities &amp; levers'!$C$14="On",Constants!$H71*'Net zero Activity data'!AT13*Constants!$H89*EF!$H214*MMVolatEF*NtoN2O*kgtoGg,"ERROR"))</f>
        <v>1.5453736398701918E-5</v>
      </c>
      <c r="AB1193" s="94">
        <f>IF('Net zero activities &amp; levers'!$C$14="Off",Constants!$H71*'Activity data'!AU13*Constants!$H89*EF!$H214*MMVolatEF*NtoN2O*kgtoGg,IF('Net zero activities &amp; levers'!$C$14="On",Constants!$H71*'Net zero Activity data'!AU13*Constants!$H89*EF!$H214*MMVolatEF*NtoN2O*kgtoGg,"ERROR"))</f>
        <v>1.5499966763922933E-5</v>
      </c>
      <c r="AC1193" s="94">
        <f>IF('Net zero activities &amp; levers'!$C$14="Off",Constants!$H71*'Activity data'!AV13*Constants!$H89*EF!$H214*MMVolatEF*NtoN2O*kgtoGg,IF('Net zero activities &amp; levers'!$C$14="On",Constants!$H71*'Net zero Activity data'!AV13*Constants!$H89*EF!$H214*MMVolatEF*NtoN2O*kgtoGg,"ERROR"))</f>
        <v>1.5548833641447303E-5</v>
      </c>
      <c r="AD1193" s="94">
        <f>IF('Net zero activities &amp; levers'!$C$14="Off",Constants!$H71*'Activity data'!AW13*Constants!$H89*EF!$H214*MMVolatEF*NtoN2O*kgtoGg,IF('Net zero activities &amp; levers'!$C$14="On",Constants!$H71*'Net zero Activity data'!AW13*Constants!$H89*EF!$H214*MMVolatEF*NtoN2O*kgtoGg,"ERROR"))</f>
        <v>1.5580602349578564E-5</v>
      </c>
      <c r="AE1193" s="94">
        <f>IF('Net zero activities &amp; levers'!$C$14="Off",Constants!$H71*'Activity data'!AX13*Constants!$H89*EF!$H214*MMVolatEF*NtoN2O*kgtoGg,IF('Net zero activities &amp; levers'!$C$14="On",Constants!$H71*'Net zero Activity data'!AX13*Constants!$H89*EF!$H214*MMVolatEF*NtoN2O*kgtoGg,"ERROR"))</f>
        <v>1.5615591404277508E-5</v>
      </c>
      <c r="AF1193" s="94">
        <f>IF('Net zero activities &amp; levers'!$C$14="Off",Constants!$H71*'Activity data'!AY13*Constants!$H89*EF!$H214*MMVolatEF*NtoN2O*kgtoGg,IF('Net zero activities &amp; levers'!$C$14="On",Constants!$H71*'Net zero Activity data'!AY13*Constants!$H89*EF!$H214*MMVolatEF*NtoN2O*kgtoGg,"ERROR"))</f>
        <v>1.5653259744642323E-5</v>
      </c>
      <c r="AG1193" s="94">
        <f>IF('Net zero activities &amp; levers'!$C$14="Off",Constants!$H71*'Activity data'!AZ13*Constants!$H89*EF!$H214*MMVolatEF*NtoN2O*kgtoGg,IF('Net zero activities &amp; levers'!$C$14="On",Constants!$H71*'Net zero Activity data'!AZ13*Constants!$H89*EF!$H214*MMVolatEF*NtoN2O*kgtoGg,"ERROR"))</f>
        <v>1.5694012741398928E-5</v>
      </c>
      <c r="AH1193" s="94">
        <f>IF('Net zero activities &amp; levers'!$C$14="Off",Constants!$H71*'Activity data'!BA13*Constants!$H89*EF!$H214*MMVolatEF*NtoN2O*kgtoGg,IF('Net zero activities &amp; levers'!$C$14="On",Constants!$H71*'Net zero Activity data'!BA13*Constants!$H89*EF!$H214*MMVolatEF*NtoN2O*kgtoGg,"ERROR"))</f>
        <v>1.5735477279761714E-5</v>
      </c>
      <c r="AI1193" s="94">
        <f>IF('Net zero activities &amp; levers'!$C$14="Off",Constants!$H71*'Activity data'!BB13*Constants!$H89*EF!$H214*MMVolatEF*NtoN2O*kgtoGg,IF('Net zero activities &amp; levers'!$C$14="On",Constants!$H71*'Net zero Activity data'!BB13*Constants!$H89*EF!$H214*MMVolatEF*NtoN2O*kgtoGg,"ERROR"))</f>
        <v>1.5760021720349279E-5</v>
      </c>
      <c r="AJ1193" s="94">
        <f>IF('Net zero activities &amp; levers'!$C$14="Off",Constants!$H71*'Activity data'!BC13*Constants!$H89*EF!$H214*MMVolatEF*NtoN2O*kgtoGg,IF('Net zero activities &amp; levers'!$C$14="On",Constants!$H71*'Net zero Activity data'!BC13*Constants!$H89*EF!$H214*MMVolatEF*NtoN2O*kgtoGg,"ERROR"))</f>
        <v>1.5786883711006113E-5</v>
      </c>
      <c r="AK1193" s="94">
        <f>IF('Net zero activities &amp; levers'!$C$14="Off",Constants!$H71*'Activity data'!BD13*Constants!$H89*EF!$H214*MMVolatEF*NtoN2O*kgtoGg,IF('Net zero activities &amp; levers'!$C$14="On",Constants!$H71*'Net zero Activity data'!BD13*Constants!$H89*EF!$H214*MMVolatEF*NtoN2O*kgtoGg,"ERROR"))</f>
        <v>1.5815340273420816E-5</v>
      </c>
      <c r="AL1193" s="94">
        <f>IF('Net zero activities &amp; levers'!$C$14="Off",Constants!$H71*'Activity data'!BE13*Constants!$H89*EF!$H214*MMVolatEF*NtoN2O*kgtoGg,IF('Net zero activities &amp; levers'!$C$14="On",Constants!$H71*'Net zero Activity data'!BE13*Constants!$H89*EF!$H214*MMVolatEF*NtoN2O*kgtoGg,"ERROR"))</f>
        <v>1.5845764593107772E-5</v>
      </c>
      <c r="AM1193" s="94">
        <f>IF('Net zero activities &amp; levers'!$C$14="Off",Constants!$H71*'Activity data'!BF13*Constants!$H89*EF!$H214*MMVolatEF*NtoN2O*kgtoGg,IF('Net zero activities &amp; levers'!$C$14="On",Constants!$H71*'Net zero Activity data'!BF13*Constants!$H89*EF!$H214*MMVolatEF*NtoN2O*kgtoGg,"ERROR"))</f>
        <v>1.5877866318833775E-5</v>
      </c>
      <c r="AN1193" s="94">
        <f>IF('Net zero activities &amp; levers'!$C$14="Off",Constants!$H71*'Activity data'!BG13*Constants!$H89*EF!$H214*MMVolatEF*NtoN2O*kgtoGg,IF('Net zero activities &amp; levers'!$C$14="On",Constants!$H71*'Net zero Activity data'!BG13*Constants!$H89*EF!$H214*MMVolatEF*NtoN2O*kgtoGg,"ERROR"))</f>
        <v>1.5894983838021428E-5</v>
      </c>
      <c r="AO1193" s="94">
        <f>IF('Net zero activities &amp; levers'!$C$14="Off",Constants!$H71*'Activity data'!BH13*Constants!$H89*EF!$H214*MMVolatEF*NtoN2O*kgtoGg,IF('Net zero activities &amp; levers'!$C$14="On",Constants!$H71*'Net zero Activity data'!BH13*Constants!$H89*EF!$H214*MMVolatEF*NtoN2O*kgtoGg,"ERROR"))</f>
        <v>1.5913339031971955E-5</v>
      </c>
      <c r="AP1193" s="94">
        <f>IF('Net zero activities &amp; levers'!$C$14="Off",Constants!$H71*'Activity data'!BI13*Constants!$H89*EF!$H214*MMVolatEF*NtoN2O*kgtoGg,IF('Net zero activities &amp; levers'!$C$14="On",Constants!$H71*'Net zero Activity data'!BI13*Constants!$H89*EF!$H214*MMVolatEF*NtoN2O*kgtoGg,"ERROR"))</f>
        <v>1.593321505910849E-5</v>
      </c>
      <c r="AQ1193" s="94">
        <f>IF('Net zero activities &amp; levers'!$C$14="Off",Constants!$H71*'Activity data'!BJ13*Constants!$H89*EF!$H214*MMVolatEF*NtoN2O*kgtoGg,IF('Net zero activities &amp; levers'!$C$14="On",Constants!$H71*'Net zero Activity data'!BJ13*Constants!$H89*EF!$H214*MMVolatEF*NtoN2O*kgtoGg,"ERROR"))</f>
        <v>1.5954648527995344E-5</v>
      </c>
      <c r="AR1193" s="94">
        <f>IF('Net zero activities &amp; levers'!$C$14="Off",Constants!$H71*'Activity data'!BK13*Constants!$H89*EF!$H214*MMVolatEF*NtoN2O*kgtoGg,IF('Net zero activities &amp; levers'!$C$14="On",Constants!$H71*'Net zero Activity data'!BK13*Constants!$H89*EF!$H214*MMVolatEF*NtoN2O*kgtoGg,"ERROR"))</f>
        <v>1.5977625288303394E-5</v>
      </c>
      <c r="AS1193" s="94">
        <f>IF('Net zero activities &amp; levers'!$C$14="Off",Constants!$H71*'Activity data'!BL13*Constants!$H89*EF!$H214*MMVolatEF*NtoN2O*kgtoGg,IF('Net zero activities &amp; levers'!$C$14="On",Constants!$H71*'Net zero Activity data'!BL13*Constants!$H89*EF!$H214*MMVolatEF*NtoN2O*kgtoGg,"ERROR"))</f>
        <v>1.5985441440203981E-5</v>
      </c>
      <c r="AT1193" s="94">
        <f>IF('Net zero activities &amp; levers'!$C$14="Off",Constants!$H71*'Activity data'!BM13*Constants!$H89*EF!$H214*MMVolatEF*NtoN2O*kgtoGg,IF('Net zero activities &amp; levers'!$C$14="On",Constants!$H71*'Net zero Activity data'!BM13*Constants!$H89*EF!$H214*MMVolatEF*NtoN2O*kgtoGg,"ERROR"))</f>
        <v>1.5992226212116376E-5</v>
      </c>
      <c r="AU1193" s="94">
        <f>IF('Net zero activities &amp; levers'!$C$14="Off",Constants!$H71*'Activity data'!BN13*Constants!$H89*EF!$H214*MMVolatEF*NtoN2O*kgtoGg,IF('Net zero activities &amp; levers'!$C$14="On",Constants!$H71*'Net zero Activity data'!BN13*Constants!$H89*EF!$H214*MMVolatEF*NtoN2O*kgtoGg,"ERROR"))</f>
        <v>1.6000039436891757E-5</v>
      </c>
      <c r="AV1193" s="94">
        <f>IF('Net zero activities &amp; levers'!$C$14="Off",Constants!$H71*'Activity data'!BO13*Constants!$H89*EF!$H214*MMVolatEF*NtoN2O*kgtoGg,IF('Net zero activities &amp; levers'!$C$14="On",Constants!$H71*'Net zero Activity data'!BO13*Constants!$H89*EF!$H214*MMVolatEF*NtoN2O*kgtoGg,"ERROR"))</f>
        <v>1.6009082551352237E-5</v>
      </c>
      <c r="AW1193" s="94">
        <f>IF('Net zero activities &amp; levers'!$C$14="Off",Constants!$H71*'Activity data'!BP13*Constants!$H89*EF!$H214*MMVolatEF*NtoN2O*kgtoGg,IF('Net zero activities &amp; levers'!$C$14="On",Constants!$H71*'Net zero Activity data'!BP13*Constants!$H89*EF!$H214*MMVolatEF*NtoN2O*kgtoGg,"ERROR"))</f>
        <v>1.6019215529788255E-5</v>
      </c>
      <c r="AY1193" s="79"/>
    </row>
    <row r="1194" spans="1:51" x14ac:dyDescent="0.2">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1.4738364076719785E-3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1.4893914013429299E-3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1.5149984613639165E-3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1.5341231262956069E-3</v>
      </c>
      <c r="T1194" s="94">
        <f>IF('Net zero activities &amp; levers'!$C$14="Off",Constants!$H72*'Activity data'!AM14*Constants!$H90*EF!$H215*MMVolatEF*NtoN2O*kgtoGg,IF('Net zero activities &amp; levers'!$C$14="On",Constants!$H72*'Net zero Activity data'!AM14*Constants!$H90*EF!$H215*MMVolatEF*NtoN2O*kgtoGg,"ERROR"))</f>
        <v>1.5385809839218152E-3</v>
      </c>
      <c r="U1194" s="94">
        <f>IF('Net zero activities &amp; levers'!$C$14="Off",Constants!$H72*'Activity data'!AN14*Constants!$H90*EF!$H215*MMVolatEF*NtoN2O*kgtoGg,IF('Net zero activities &amp; levers'!$C$14="On",Constants!$H72*'Net zero Activity data'!AN14*Constants!$H90*EF!$H215*MMVolatEF*NtoN2O*kgtoGg,"ERROR"))</f>
        <v>1.5433724294346084E-3</v>
      </c>
      <c r="V1194" s="94">
        <f>IF('Net zero activities &amp; levers'!$C$14="Off",Constants!$H72*'Activity data'!AO14*Constants!$H90*EF!$H215*MMVolatEF*NtoN2O*kgtoGg,IF('Net zero activities &amp; levers'!$C$14="On",Constants!$H72*'Net zero Activity data'!AO14*Constants!$H90*EF!$H215*MMVolatEF*NtoN2O*kgtoGg,"ERROR"))</f>
        <v>1.5485560579674195E-3</v>
      </c>
      <c r="W1194" s="94">
        <f>IF('Net zero activities &amp; levers'!$C$14="Off",Constants!$H72*'Activity data'!AP14*Constants!$H90*EF!$H215*MMVolatEF*NtoN2O*kgtoGg,IF('Net zero activities &amp; levers'!$C$14="On",Constants!$H72*'Net zero Activity data'!AP14*Constants!$H90*EF!$H215*MMVolatEF*NtoN2O*kgtoGg,"ERROR"))</f>
        <v>1.5541887843401544E-3</v>
      </c>
      <c r="X1194" s="94">
        <f>IF('Net zero activities &amp; levers'!$C$14="Off",Constants!$H72*'Activity data'!AQ14*Constants!$H90*EF!$H215*MMVolatEF*NtoN2O*kgtoGg,IF('Net zero activities &amp; levers'!$C$14="On",Constants!$H72*'Net zero Activity data'!AQ14*Constants!$H90*EF!$H215*MMVolatEF*NtoN2O*kgtoGg,"ERROR"))</f>
        <v>1.5601703831954754E-3</v>
      </c>
      <c r="Y1194" s="94">
        <f>IF('Net zero activities &amp; levers'!$C$14="Off",Constants!$H72*'Activity data'!AR14*Constants!$H90*EF!$H215*MMVolatEF*NtoN2O*kgtoGg,IF('Net zero activities &amp; levers'!$C$14="On",Constants!$H72*'Net zero Activity data'!AR14*Constants!$H90*EF!$H215*MMVolatEF*NtoN2O*kgtoGg,"ERROR"))</f>
        <v>1.5639098265839071E-3</v>
      </c>
      <c r="Z1194" s="94">
        <f>IF('Net zero activities &amp; levers'!$C$14="Off",Constants!$H72*'Activity data'!AS14*Constants!$H90*EF!$H215*MMVolatEF*NtoN2O*kgtoGg,IF('Net zero activities &amp; levers'!$C$14="On",Constants!$H72*'Net zero Activity data'!AS14*Constants!$H90*EF!$H215*MMVolatEF*NtoN2O*kgtoGg,"ERROR"))</f>
        <v>1.5679549140889886E-3</v>
      </c>
      <c r="AA1194" s="94">
        <f>IF('Net zero activities &amp; levers'!$C$14="Off",Constants!$H72*'Activity data'!AT14*Constants!$H90*EF!$H215*MMVolatEF*NtoN2O*kgtoGg,IF('Net zero activities &amp; levers'!$C$14="On",Constants!$H72*'Net zero Activity data'!AT14*Constants!$H90*EF!$H215*MMVolatEF*NtoN2O*kgtoGg,"ERROR"))</f>
        <v>1.5722818547901358E-3</v>
      </c>
      <c r="AB1194" s="94">
        <f>IF('Net zero activities &amp; levers'!$C$14="Off",Constants!$H72*'Activity data'!AU14*Constants!$H90*EF!$H215*MMVolatEF*NtoN2O*kgtoGg,IF('Net zero activities &amp; levers'!$C$14="On",Constants!$H72*'Net zero Activity data'!AU14*Constants!$H90*EF!$H215*MMVolatEF*NtoN2O*kgtoGg,"ERROR"))</f>
        <v>1.5769853881300361E-3</v>
      </c>
      <c r="AC1194" s="94">
        <f>IF('Net zero activities &amp; levers'!$C$14="Off",Constants!$H72*'Activity data'!AV14*Constants!$H90*EF!$H215*MMVolatEF*NtoN2O*kgtoGg,IF('Net zero activities &amp; levers'!$C$14="On",Constants!$H72*'Net zero Activity data'!AV14*Constants!$H90*EF!$H215*MMVolatEF*NtoN2O*kgtoGg,"ERROR"))</f>
        <v>1.5819571634243445E-3</v>
      </c>
      <c r="AD1194" s="94">
        <f>IF('Net zero activities &amp; levers'!$C$14="Off",Constants!$H72*'Activity data'!AW14*Constants!$H90*EF!$H215*MMVolatEF*NtoN2O*kgtoGg,IF('Net zero activities &amp; levers'!$C$14="On",Constants!$H72*'Net zero Activity data'!AW14*Constants!$H90*EF!$H215*MMVolatEF*NtoN2O*kgtoGg,"ERROR"))</f>
        <v>1.5851893502596976E-3</v>
      </c>
      <c r="AE1194" s="94">
        <f>IF('Net zero activities &amp; levers'!$C$14="Off",Constants!$H72*'Activity data'!AX14*Constants!$H90*EF!$H215*MMVolatEF*NtoN2O*kgtoGg,IF('Net zero activities &amp; levers'!$C$14="On",Constants!$H72*'Net zero Activity data'!AX14*Constants!$H90*EF!$H215*MMVolatEF*NtoN2O*kgtoGg,"ERROR"))</f>
        <v>1.5887491790545015E-3</v>
      </c>
      <c r="AF1194" s="94">
        <f>IF('Net zero activities &amp; levers'!$C$14="Off",Constants!$H72*'Activity data'!AY14*Constants!$H90*EF!$H215*MMVolatEF*NtoN2O*kgtoGg,IF('Net zero activities &amp; levers'!$C$14="On",Constants!$H72*'Net zero Activity data'!AY14*Constants!$H90*EF!$H215*MMVolatEF*NtoN2O*kgtoGg,"ERROR"))</f>
        <v>1.5925816016174124E-3</v>
      </c>
      <c r="AG1194" s="94">
        <f>IF('Net zero activities &amp; levers'!$C$14="Off",Constants!$H72*'Activity data'!AZ14*Constants!$H90*EF!$H215*MMVolatEF*NtoN2O*kgtoGg,IF('Net zero activities &amp; levers'!$C$14="On",Constants!$H72*'Net zero Activity data'!AZ14*Constants!$H90*EF!$H215*MMVolatEF*NtoN2O*kgtoGg,"ERROR"))</f>
        <v>1.5967278608569652E-3</v>
      </c>
      <c r="AH1194" s="94">
        <f>IF('Net zero activities &amp; levers'!$C$14="Off",Constants!$H72*'Activity data'!BA14*Constants!$H90*EF!$H215*MMVolatEF*NtoN2O*kgtoGg,IF('Net zero activities &amp; levers'!$C$14="On",Constants!$H72*'Net zero Activity data'!BA14*Constants!$H90*EF!$H215*MMVolatEF*NtoN2O*kgtoGg,"ERROR"))</f>
        <v>1.6009465132011667E-3</v>
      </c>
      <c r="AI1194" s="94">
        <f>IF('Net zero activities &amp; levers'!$C$14="Off",Constants!$H72*'Activity data'!BB14*Constants!$H90*EF!$H215*MMVolatEF*NtoN2O*kgtoGg,IF('Net zero activities &amp; levers'!$C$14="On",Constants!$H72*'Net zero Activity data'!BB14*Constants!$H90*EF!$H215*MMVolatEF*NtoN2O*kgtoGg,"ERROR"))</f>
        <v>1.6034436943084516E-3</v>
      </c>
      <c r="AJ1194" s="94">
        <f>IF('Net zero activities &amp; levers'!$C$14="Off",Constants!$H72*'Activity data'!BC14*Constants!$H90*EF!$H215*MMVolatEF*NtoN2O*kgtoGg,IF('Net zero activities &amp; levers'!$C$14="On",Constants!$H72*'Net zero Activity data'!BC14*Constants!$H90*EF!$H215*MMVolatEF*NtoN2O*kgtoGg,"ERROR"))</f>
        <v>1.6061766657662043E-3</v>
      </c>
      <c r="AK1194" s="94">
        <f>IF('Net zero activities &amp; levers'!$C$14="Off",Constants!$H72*'Activity data'!BD14*Constants!$H90*EF!$H215*MMVolatEF*NtoN2O*kgtoGg,IF('Net zero activities &amp; levers'!$C$14="On",Constants!$H72*'Net zero Activity data'!BD14*Constants!$H90*EF!$H215*MMVolatEF*NtoN2O*kgtoGg,"ERROR"))</f>
        <v>1.6090718708855376E-3</v>
      </c>
      <c r="AL1194" s="94">
        <f>IF('Net zero activities &amp; levers'!$C$14="Off",Constants!$H72*'Activity data'!BE14*Constants!$H90*EF!$H215*MMVolatEF*NtoN2O*kgtoGg,IF('Net zero activities &amp; levers'!$C$14="On",Constants!$H72*'Net zero Activity data'!BE14*Constants!$H90*EF!$H215*MMVolatEF*NtoN2O*kgtoGg,"ERROR"))</f>
        <v>1.6121672780125896E-3</v>
      </c>
      <c r="AM1194" s="94">
        <f>IF('Net zero activities &amp; levers'!$C$14="Off",Constants!$H72*'Activity data'!BF14*Constants!$H90*EF!$H215*MMVolatEF*NtoN2O*kgtoGg,IF('Net zero activities &amp; levers'!$C$14="On",Constants!$H72*'Net zero Activity data'!BF14*Constants!$H90*EF!$H215*MMVolatEF*NtoN2O*kgtoGg,"ERROR"))</f>
        <v>1.6154333464612968E-3</v>
      </c>
      <c r="AN1194" s="94">
        <f>IF('Net zero activities &amp; levers'!$C$14="Off",Constants!$H72*'Activity data'!BG14*Constants!$H90*EF!$H215*MMVolatEF*NtoN2O*kgtoGg,IF('Net zero activities &amp; levers'!$C$14="On",Constants!$H72*'Net zero Activity data'!BG14*Constants!$H90*EF!$H215*MMVolatEF*NtoN2O*kgtoGg,"ERROR"))</f>
        <v>1.6171749035917807E-3</v>
      </c>
      <c r="AO1194" s="94">
        <f>IF('Net zero activities &amp; levers'!$C$14="Off",Constants!$H72*'Activity data'!BH14*Constants!$H90*EF!$H215*MMVolatEF*NtoN2O*kgtoGg,IF('Net zero activities &amp; levers'!$C$14="On",Constants!$H72*'Net zero Activity data'!BH14*Constants!$H90*EF!$H215*MMVolatEF*NtoN2O*kgtoGg,"ERROR"))</f>
        <v>1.6190423832513916E-3</v>
      </c>
      <c r="AP1194" s="94">
        <f>IF('Net zero activities &amp; levers'!$C$14="Off",Constants!$H72*'Activity data'!BI14*Constants!$H90*EF!$H215*MMVolatEF*NtoN2O*kgtoGg,IF('Net zero activities &amp; levers'!$C$14="On",Constants!$H72*'Net zero Activity data'!BI14*Constants!$H90*EF!$H215*MMVolatEF*NtoN2O*kgtoGg,"ERROR"))</f>
        <v>1.6210645943209887E-3</v>
      </c>
      <c r="AQ1194" s="94">
        <f>IF('Net zero activities &amp; levers'!$C$14="Off",Constants!$H72*'Activity data'!BJ14*Constants!$H90*EF!$H215*MMVolatEF*NtoN2O*kgtoGg,IF('Net zero activities &amp; levers'!$C$14="On",Constants!$H72*'Net zero Activity data'!BJ14*Constants!$H90*EF!$H215*MMVolatEF*NtoN2O*kgtoGg,"ERROR"))</f>
        <v>1.6232452614002358E-3</v>
      </c>
      <c r="AR1194" s="94">
        <f>IF('Net zero activities &amp; levers'!$C$14="Off",Constants!$H72*'Activity data'!BK14*Constants!$H90*EF!$H215*MMVolatEF*NtoN2O*kgtoGg,IF('Net zero activities &amp; levers'!$C$14="On",Constants!$H72*'Net zero Activity data'!BK14*Constants!$H90*EF!$H215*MMVolatEF*NtoN2O*kgtoGg,"ERROR"))</f>
        <v>1.6255829448175118E-3</v>
      </c>
      <c r="AS1194" s="94">
        <f>IF('Net zero activities &amp; levers'!$C$14="Off",Constants!$H72*'Activity data'!BL14*Constants!$H90*EF!$H215*MMVolatEF*NtoN2O*kgtoGg,IF('Net zero activities &amp; levers'!$C$14="On",Constants!$H72*'Net zero Activity data'!BL14*Constants!$H90*EF!$H215*MMVolatEF*NtoN2O*kgtoGg,"ERROR"))</f>
        <v>1.6263781695767885E-3</v>
      </c>
      <c r="AT1194" s="94">
        <f>IF('Net zero activities &amp; levers'!$C$14="Off",Constants!$H72*'Activity data'!BM14*Constants!$H90*EF!$H215*MMVolatEF*NtoN2O*kgtoGg,IF('Net zero activities &amp; levers'!$C$14="On",Constants!$H72*'Net zero Activity data'!BM14*Constants!$H90*EF!$H215*MMVolatEF*NtoN2O*kgtoGg,"ERROR"))</f>
        <v>1.6270684604871241E-3</v>
      </c>
      <c r="AU1194" s="94">
        <f>IF('Net zero activities &amp; levers'!$C$14="Off",Constants!$H72*'Activity data'!BN14*Constants!$H90*EF!$H215*MMVolatEF*NtoN2O*kgtoGg,IF('Net zero activities &amp; levers'!$C$14="On",Constants!$H72*'Net zero Activity data'!BN14*Constants!$H90*EF!$H215*MMVolatEF*NtoN2O*kgtoGg,"ERROR"))</f>
        <v>1.6278633874371373E-3</v>
      </c>
      <c r="AV1194" s="94">
        <f>IF('Net zero activities &amp; levers'!$C$14="Off",Constants!$H72*'Activity data'!BO14*Constants!$H90*EF!$H215*MMVolatEF*NtoN2O*kgtoGg,IF('Net zero activities &amp; levers'!$C$14="On",Constants!$H72*'Net zero Activity data'!BO14*Constants!$H90*EF!$H215*MMVolatEF*NtoN2O*kgtoGg,"ERROR"))</f>
        <v>1.6287834448530387E-3</v>
      </c>
      <c r="AW1194" s="94">
        <f>IF('Net zero activities &amp; levers'!$C$14="Off",Constants!$H72*'Activity data'!BP14*Constants!$H90*EF!$H215*MMVolatEF*NtoN2O*kgtoGg,IF('Net zero activities &amp; levers'!$C$14="On",Constants!$H72*'Net zero Activity data'!BP14*Constants!$H90*EF!$H215*MMVolatEF*NtoN2O*kgtoGg,"ERROR"))</f>
        <v>1.6298143863495728E-3</v>
      </c>
      <c r="AY1194" s="79"/>
    </row>
    <row r="1195" spans="1:51" x14ac:dyDescent="0.2">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2">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2">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0.13004550543955873</v>
      </c>
      <c r="M1197" s="94">
        <f>IF('Net zero activities &amp; levers'!$C$14="Off",Constants!$H75*'Activity data'!AF17*Constants!$H93*EF!$H218*MMVolatEF*NtoN2O*kgtoGg,IF('Net zero activities &amp; levers'!$C$14="On",Constants!$H75*'Net zero Activity data'!AF17*Constants!$H93*EF!$H218*MMVolatEF*NtoN2O*kgtoGg,"ERROR"))</f>
        <v>0.13010384136507713</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0.12695857121838477</v>
      </c>
      <c r="P1197" s="94">
        <f>IF('Net zero activities &amp; levers'!$C$14="Off",Constants!$H75*'Activity data'!AI17*Constants!$H93*EF!$H218*MMVolatEF*NtoN2O*kgtoGg,IF('Net zero activities &amp; levers'!$C$14="On",Constants!$H75*'Net zero Activity data'!AI17*Constants!$H93*EF!$H218*MMVolatEF*NtoN2O*kgtoGg,"ERROR"))</f>
        <v>0.12428257569245395</v>
      </c>
      <c r="Q1197" s="94">
        <f>IF('Net zero activities &amp; levers'!$C$14="Off",Constants!$H75*'Activity data'!AJ17*Constants!$H93*EF!$H218*MMVolatEF*NtoN2O*kgtoGg,IF('Net zero activities &amp; levers'!$C$14="On",Constants!$H75*'Net zero Activity data'!AJ17*Constants!$H93*EF!$H218*MMVolatEF*NtoN2O*kgtoGg,"ERROR"))</f>
        <v>0.12233950618032065</v>
      </c>
      <c r="R1197" s="94">
        <f>IF('Net zero activities &amp; levers'!$C$14="Off",Constants!$H75*'Activity data'!AK17*Constants!$H93*EF!$H218*MMVolatEF*NtoN2O*kgtoGg,IF('Net zero activities &amp; levers'!$C$14="On",Constants!$H75*'Net zero Activity data'!AK17*Constants!$H93*EF!$H218*MMVolatEF*NtoN2O*kgtoGg,"ERROR"))</f>
        <v>0.12056837226162823</v>
      </c>
      <c r="S1197" s="94">
        <f>IF('Net zero activities &amp; levers'!$C$14="Off",Constants!$H75*'Activity data'!AL17*Constants!$H93*EF!$H218*MMVolatEF*NtoN2O*kgtoGg,IF('Net zero activities &amp; levers'!$C$14="On",Constants!$H75*'Net zero Activity data'!AL17*Constants!$H93*EF!$H218*MMVolatEF*NtoN2O*kgtoGg,"ERROR"))</f>
        <v>0.10742568641023791</v>
      </c>
      <c r="T1197" s="94">
        <f>IF('Net zero activities &amp; levers'!$C$14="Off",Constants!$H75*'Activity data'!AM17*Constants!$H93*EF!$H218*MMVolatEF*NtoN2O*kgtoGg,IF('Net zero activities &amp; levers'!$C$14="On",Constants!$H75*'Net zero Activity data'!AM17*Constants!$H93*EF!$H218*MMVolatEF*NtoN2O*kgtoGg,"ERROR"))</f>
        <v>0.1091029492210569</v>
      </c>
      <c r="U1197" s="94">
        <f>IF('Net zero activities &amp; levers'!$C$14="Off",Constants!$H75*'Activity data'!AN17*Constants!$H93*EF!$H218*MMVolatEF*NtoN2O*kgtoGg,IF('Net zero activities &amp; levers'!$C$14="On",Constants!$H75*'Net zero Activity data'!AN17*Constants!$H93*EF!$H218*MMVolatEF*NtoN2O*kgtoGg,"ERROR"))</f>
        <v>0.1098152981393777</v>
      </c>
      <c r="V1197" s="94">
        <f>IF('Net zero activities &amp; levers'!$C$14="Off",Constants!$H75*'Activity data'!AO17*Constants!$H93*EF!$H218*MMVolatEF*NtoN2O*kgtoGg,IF('Net zero activities &amp; levers'!$C$14="On",Constants!$H75*'Net zero Activity data'!AO17*Constants!$H93*EF!$H218*MMVolatEF*NtoN2O*kgtoGg,"ERROR"))</f>
        <v>0.11028443328369632</v>
      </c>
      <c r="W1197" s="94">
        <f>IF('Net zero activities &amp; levers'!$C$14="Off",Constants!$H75*'Activity data'!AP17*Constants!$H93*EF!$H218*MMVolatEF*NtoN2O*kgtoGg,IF('Net zero activities &amp; levers'!$C$14="On",Constants!$H75*'Net zero Activity data'!AP17*Constants!$H93*EF!$H218*MMVolatEF*NtoN2O*kgtoGg,"ERROR"))</f>
        <v>0.11115311990923482</v>
      </c>
      <c r="X1197" s="94">
        <f>IF('Net zero activities &amp; levers'!$C$14="Off",Constants!$H75*'Activity data'!AQ17*Constants!$H93*EF!$H218*MMVolatEF*NtoN2O*kgtoGg,IF('Net zero activities &amp; levers'!$C$14="On",Constants!$H75*'Net zero Activity data'!AQ17*Constants!$H93*EF!$H218*MMVolatEF*NtoN2O*kgtoGg,"ERROR"))</f>
        <v>0.11180012354863146</v>
      </c>
      <c r="Y1197" s="94">
        <f>IF('Net zero activities &amp; levers'!$C$14="Off",Constants!$H75*'Activity data'!AR17*Constants!$H93*EF!$H218*MMVolatEF*NtoN2O*kgtoGg,IF('Net zero activities &amp; levers'!$C$14="On",Constants!$H75*'Net zero Activity data'!AR17*Constants!$H93*EF!$H218*MMVolatEF*NtoN2O*kgtoGg,"ERROR"))</f>
        <v>0.11213950095917391</v>
      </c>
      <c r="Z1197" s="94">
        <f>IF('Net zero activities &amp; levers'!$C$14="Off",Constants!$H75*'Activity data'!AS17*Constants!$H93*EF!$H218*MMVolatEF*NtoN2O*kgtoGg,IF('Net zero activities &amp; levers'!$C$14="On",Constants!$H75*'Net zero Activity data'!AS17*Constants!$H93*EF!$H218*MMVolatEF*NtoN2O*kgtoGg,"ERROR"))</f>
        <v>0.11234743559515332</v>
      </c>
      <c r="AA1197" s="94">
        <f>IF('Net zero activities &amp; levers'!$C$14="Off",Constants!$H75*'Activity data'!AT17*Constants!$H93*EF!$H218*MMVolatEF*NtoN2O*kgtoGg,IF('Net zero activities &amp; levers'!$C$14="On",Constants!$H75*'Net zero Activity data'!AT17*Constants!$H93*EF!$H218*MMVolatEF*NtoN2O*kgtoGg,"ERROR"))</f>
        <v>0.11237564219545433</v>
      </c>
      <c r="AB1197" s="94">
        <f>IF('Net zero activities &amp; levers'!$C$14="Off",Constants!$H75*'Activity data'!AU17*Constants!$H93*EF!$H218*MMVolatEF*NtoN2O*kgtoGg,IF('Net zero activities &amp; levers'!$C$14="On",Constants!$H75*'Net zero Activity data'!AU17*Constants!$H93*EF!$H218*MMVolatEF*NtoN2O*kgtoGg,"ERROR"))</f>
        <v>0.1130282053559263</v>
      </c>
      <c r="AC1197" s="94">
        <f>IF('Net zero activities &amp; levers'!$C$14="Off",Constants!$H75*'Activity data'!AV17*Constants!$H93*EF!$H218*MMVolatEF*NtoN2O*kgtoGg,IF('Net zero activities &amp; levers'!$C$14="On",Constants!$H75*'Net zero Activity data'!AV17*Constants!$H93*EF!$H218*MMVolatEF*NtoN2O*kgtoGg,"ERROR"))</f>
        <v>0.11359821524900583</v>
      </c>
      <c r="AD1197" s="94">
        <f>IF('Net zero activities &amp; levers'!$C$14="Off",Constants!$H75*'Activity data'!AW17*Constants!$H93*EF!$H218*MMVolatEF*NtoN2O*kgtoGg,IF('Net zero activities &amp; levers'!$C$14="On",Constants!$H75*'Net zero Activity data'!AW17*Constants!$H93*EF!$H218*MMVolatEF*NtoN2O*kgtoGg,"ERROR"))</f>
        <v>0.11441835566605747</v>
      </c>
      <c r="AE1197" s="94">
        <f>IF('Net zero activities &amp; levers'!$C$14="Off",Constants!$H75*'Activity data'!AX17*Constants!$H93*EF!$H218*MMVolatEF*NtoN2O*kgtoGg,IF('Net zero activities &amp; levers'!$C$14="On",Constants!$H75*'Net zero Activity data'!AX17*Constants!$H93*EF!$H218*MMVolatEF*NtoN2O*kgtoGg,"ERROR"))</f>
        <v>0.11580372782809943</v>
      </c>
      <c r="AF1197" s="94">
        <f>IF('Net zero activities &amp; levers'!$C$14="Off",Constants!$H75*'Activity data'!AY17*Constants!$H93*EF!$H218*MMVolatEF*NtoN2O*kgtoGg,IF('Net zero activities &amp; levers'!$C$14="On",Constants!$H75*'Net zero Activity data'!AY17*Constants!$H93*EF!$H218*MMVolatEF*NtoN2O*kgtoGg,"ERROR"))</f>
        <v>0.11742607569995514</v>
      </c>
      <c r="AG1197" s="94">
        <f>IF('Net zero activities &amp; levers'!$C$14="Off",Constants!$H75*'Activity data'!AZ17*Constants!$H93*EF!$H218*MMVolatEF*NtoN2O*kgtoGg,IF('Net zero activities &amp; levers'!$C$14="On",Constants!$H75*'Net zero Activity data'!AZ17*Constants!$H93*EF!$H218*MMVolatEF*NtoN2O*kgtoGg,"ERROR"))</f>
        <v>0.11962260335271972</v>
      </c>
      <c r="AH1197" s="94">
        <f>IF('Net zero activities &amp; levers'!$C$14="Off",Constants!$H75*'Activity data'!BA17*Constants!$H93*EF!$H218*MMVolatEF*NtoN2O*kgtoGg,IF('Net zero activities &amp; levers'!$C$14="On",Constants!$H75*'Net zero Activity data'!BA17*Constants!$H93*EF!$H218*MMVolatEF*NtoN2O*kgtoGg,"ERROR"))</f>
        <v>0.12080838440395283</v>
      </c>
      <c r="AI1197" s="94">
        <f>IF('Net zero activities &amp; levers'!$C$14="Off",Constants!$H75*'Activity data'!BB17*Constants!$H93*EF!$H218*MMVolatEF*NtoN2O*kgtoGg,IF('Net zero activities &amp; levers'!$C$14="On",Constants!$H75*'Net zero Activity data'!BB17*Constants!$H93*EF!$H218*MMVolatEF*NtoN2O*kgtoGg,"ERROR"))</f>
        <v>0.12184404408189208</v>
      </c>
      <c r="AJ1197" s="94">
        <f>IF('Net zero activities &amp; levers'!$C$14="Off",Constants!$H75*'Activity data'!BC17*Constants!$H93*EF!$H218*MMVolatEF*NtoN2O*kgtoGg,IF('Net zero activities &amp; levers'!$C$14="On",Constants!$H75*'Net zero Activity data'!BC17*Constants!$H93*EF!$H218*MMVolatEF*NtoN2O*kgtoGg,"ERROR"))</f>
        <v>0.12314557152083414</v>
      </c>
      <c r="AK1197" s="94">
        <f>IF('Net zero activities &amp; levers'!$C$14="Off",Constants!$H75*'Activity data'!BD17*Constants!$H93*EF!$H218*MMVolatEF*NtoN2O*kgtoGg,IF('Net zero activities &amp; levers'!$C$14="On",Constants!$H75*'Net zero Activity data'!BD17*Constants!$H93*EF!$H218*MMVolatEF*NtoN2O*kgtoGg,"ERROR"))</f>
        <v>0.12427557755093979</v>
      </c>
      <c r="AL1197" s="94">
        <f>IF('Net zero activities &amp; levers'!$C$14="Off",Constants!$H75*'Activity data'!BE17*Constants!$H93*EF!$H218*MMVolatEF*NtoN2O*kgtoGg,IF('Net zero activities &amp; levers'!$C$14="On",Constants!$H75*'Net zero Activity data'!BE17*Constants!$H93*EF!$H218*MMVolatEF*NtoN2O*kgtoGg,"ERROR"))</f>
        <v>0.1255259175330139</v>
      </c>
      <c r="AM1197" s="94">
        <f>IF('Net zero activities &amp; levers'!$C$14="Off",Constants!$H75*'Activity data'!BF17*Constants!$H93*EF!$H218*MMVolatEF*NtoN2O*kgtoGg,IF('Net zero activities &amp; levers'!$C$14="On",Constants!$H75*'Net zero Activity data'!BF17*Constants!$H93*EF!$H218*MMVolatEF*NtoN2O*kgtoGg,"ERROR"))</f>
        <v>0.12674552603750175</v>
      </c>
      <c r="AN1197" s="94">
        <f>IF('Net zero activities &amp; levers'!$C$14="Off",Constants!$H75*'Activity data'!BG17*Constants!$H93*EF!$H218*MMVolatEF*NtoN2O*kgtoGg,IF('Net zero activities &amp; levers'!$C$14="On",Constants!$H75*'Net zero Activity data'!BG17*Constants!$H93*EF!$H218*MMVolatEF*NtoN2O*kgtoGg,"ERROR"))</f>
        <v>0.12838752833674963</v>
      </c>
      <c r="AO1197" s="94">
        <f>IF('Net zero activities &amp; levers'!$C$14="Off",Constants!$H75*'Activity data'!BH17*Constants!$H93*EF!$H218*MMVolatEF*NtoN2O*kgtoGg,IF('Net zero activities &amp; levers'!$C$14="On",Constants!$H75*'Net zero Activity data'!BH17*Constants!$H93*EF!$H218*MMVolatEF*NtoN2O*kgtoGg,"ERROR"))</f>
        <v>0.12981338825169941</v>
      </c>
      <c r="AP1197" s="94">
        <f>IF('Net zero activities &amp; levers'!$C$14="Off",Constants!$H75*'Activity data'!BI17*Constants!$H93*EF!$H218*MMVolatEF*NtoN2O*kgtoGg,IF('Net zero activities &amp; levers'!$C$14="On",Constants!$H75*'Net zero Activity data'!BI17*Constants!$H93*EF!$H218*MMVolatEF*NtoN2O*kgtoGg,"ERROR"))</f>
        <v>0.13123798099286382</v>
      </c>
      <c r="AQ1197" s="94">
        <f>IF('Net zero activities &amp; levers'!$C$14="Off",Constants!$H75*'Activity data'!BJ17*Constants!$H93*EF!$H218*MMVolatEF*NtoN2O*kgtoGg,IF('Net zero activities &amp; levers'!$C$14="On",Constants!$H75*'Net zero Activity data'!BJ17*Constants!$H93*EF!$H218*MMVolatEF*NtoN2O*kgtoGg,"ERROR"))</f>
        <v>0.13271316927423235</v>
      </c>
      <c r="AR1197" s="94">
        <f>IF('Net zero activities &amp; levers'!$C$14="Off",Constants!$H75*'Activity data'!BK17*Constants!$H93*EF!$H218*MMVolatEF*NtoN2O*kgtoGg,IF('Net zero activities &amp; levers'!$C$14="On",Constants!$H75*'Net zero Activity data'!BK17*Constants!$H93*EF!$H218*MMVolatEF*NtoN2O*kgtoGg,"ERROR"))</f>
        <v>0.13425553565091783</v>
      </c>
      <c r="AS1197" s="94">
        <f>IF('Net zero activities &amp; levers'!$C$14="Off",Constants!$H75*'Activity data'!BL17*Constants!$H93*EF!$H218*MMVolatEF*NtoN2O*kgtoGg,IF('Net zero activities &amp; levers'!$C$14="On",Constants!$H75*'Net zero Activity data'!BL17*Constants!$H93*EF!$H218*MMVolatEF*NtoN2O*kgtoGg,"ERROR"))</f>
        <v>0.1362655431555625</v>
      </c>
      <c r="AT1197" s="94">
        <f>IF('Net zero activities &amp; levers'!$C$14="Off",Constants!$H75*'Activity data'!BM17*Constants!$H93*EF!$H218*MMVolatEF*NtoN2O*kgtoGg,IF('Net zero activities &amp; levers'!$C$14="On",Constants!$H75*'Net zero Activity data'!BM17*Constants!$H93*EF!$H218*MMVolatEF*NtoN2O*kgtoGg,"ERROR"))</f>
        <v>0.1368880254632967</v>
      </c>
      <c r="AU1197" s="94">
        <f>IF('Net zero activities &amp; levers'!$C$14="Off",Constants!$H75*'Activity data'!BN17*Constants!$H93*EF!$H218*MMVolatEF*NtoN2O*kgtoGg,IF('Net zero activities &amp; levers'!$C$14="On",Constants!$H75*'Net zero Activity data'!BN17*Constants!$H93*EF!$H218*MMVolatEF*NtoN2O*kgtoGg,"ERROR"))</f>
        <v>0.13738521125796219</v>
      </c>
      <c r="AV1197" s="94">
        <f>IF('Net zero activities &amp; levers'!$C$14="Off",Constants!$H75*'Activity data'!BO17*Constants!$H93*EF!$H218*MMVolatEF*NtoN2O*kgtoGg,IF('Net zero activities &amp; levers'!$C$14="On",Constants!$H75*'Net zero Activity data'!BO17*Constants!$H93*EF!$H218*MMVolatEF*NtoN2O*kgtoGg,"ERROR"))</f>
        <v>0.13789795385940914</v>
      </c>
      <c r="AW1197" s="94">
        <f>IF('Net zero activities &amp; levers'!$C$14="Off",Constants!$H75*'Activity data'!BP17*Constants!$H93*EF!$H218*MMVolatEF*NtoN2O*kgtoGg,IF('Net zero activities &amp; levers'!$C$14="On",Constants!$H75*'Net zero Activity data'!BP17*Constants!$H93*EF!$H218*MMVolatEF*NtoN2O*kgtoGg,"ERROR"))</f>
        <v>0.13836722215964953</v>
      </c>
      <c r="AY1197" s="79"/>
    </row>
    <row r="1198" spans="1:51" x14ac:dyDescent="0.2">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1.2724633182830881E-2</v>
      </c>
      <c r="L1198" s="94">
        <f>IF('Net zero activities &amp; levers'!$C$14="Off",Constants!$H76*'Activity data'!AE18*Constants!$H94*EF!$H219*MMVolatEF*NtoN2O*kgtoGg,IF('Net zero activities &amp; levers'!$C$14="On",Constants!$H76*'Net zero Activity data'!AE18*Constants!$H94*EF!$H219*MMVolatEF*NtoN2O*kgtoGg,"ERROR"))</f>
        <v>1.2655466337890216E-2</v>
      </c>
      <c r="M1198" s="94">
        <f>IF('Net zero activities &amp; levers'!$C$14="Off",Constants!$H76*'Activity data'!AF18*Constants!$H94*EF!$H219*MMVolatEF*NtoN2O*kgtoGg,IF('Net zero activities &amp; levers'!$C$14="On",Constants!$H76*'Net zero Activity data'!AF18*Constants!$H94*EF!$H219*MMVolatEF*NtoN2O*kgtoGg,"ERROR"))</f>
        <v>1.266114333794641E-2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1.2355059245839619E-2</v>
      </c>
      <c r="P1198" s="94">
        <f>IF('Net zero activities &amp; levers'!$C$14="Off",Constants!$H76*'Activity data'!AI18*Constants!$H94*EF!$H219*MMVolatEF*NtoN2O*kgtoGg,IF('Net zero activities &amp; levers'!$C$14="On",Constants!$H76*'Net zero Activity data'!AI18*Constants!$H94*EF!$H219*MMVolatEF*NtoN2O*kgtoGg,"ERROR"))</f>
        <v>1.209464293091744E-2</v>
      </c>
      <c r="Q1198" s="94">
        <f>IF('Net zero activities &amp; levers'!$C$14="Off",Constants!$H76*'Activity data'!AJ18*Constants!$H94*EF!$H219*MMVolatEF*NtoN2O*kgtoGg,IF('Net zero activities &amp; levers'!$C$14="On",Constants!$H76*'Net zero Activity data'!AJ18*Constants!$H94*EF!$H219*MMVolatEF*NtoN2O*kgtoGg,"ERROR"))</f>
        <v>1.1905551806853851E-2</v>
      </c>
      <c r="R1198" s="94">
        <f>IF('Net zero activities &amp; levers'!$C$14="Off",Constants!$H76*'Activity data'!AK18*Constants!$H94*EF!$H219*MMVolatEF*NtoN2O*kgtoGg,IF('Net zero activities &amp; levers'!$C$14="On",Constants!$H76*'Net zero Activity data'!AK18*Constants!$H94*EF!$H219*MMVolatEF*NtoN2O*kgtoGg,"ERROR"))</f>
        <v>1.1733192711380727E-2</v>
      </c>
      <c r="S1198" s="94">
        <f>IF('Net zero activities &amp; levers'!$C$14="Off",Constants!$H76*'Activity data'!AL18*Constants!$H94*EF!$H219*MMVolatEF*NtoN2O*kgtoGg,IF('Net zero activities &amp; levers'!$C$14="On",Constants!$H76*'Net zero Activity data'!AL18*Constants!$H94*EF!$H219*MMVolatEF*NtoN2O*kgtoGg,"ERROR"))</f>
        <v>1.0454203346699911E-2</v>
      </c>
      <c r="T1198" s="94">
        <f>IF('Net zero activities &amp; levers'!$C$14="Off",Constants!$H76*'Activity data'!AM18*Constants!$H94*EF!$H219*MMVolatEF*NtoN2O*kgtoGg,IF('Net zero activities &amp; levers'!$C$14="On",Constants!$H76*'Net zero Activity data'!AM18*Constants!$H94*EF!$H219*MMVolatEF*NtoN2O*kgtoGg,"ERROR"))</f>
        <v>1.0617427311806347E-2</v>
      </c>
      <c r="U1198" s="94">
        <f>IF('Net zero activities &amp; levers'!$C$14="Off",Constants!$H76*'Activity data'!AN18*Constants!$H94*EF!$H219*MMVolatEF*NtoN2O*kgtoGg,IF('Net zero activities &amp; levers'!$C$14="On",Constants!$H76*'Net zero Activity data'!AN18*Constants!$H94*EF!$H219*MMVolatEF*NtoN2O*kgtoGg,"ERROR"))</f>
        <v>1.0686750028698176E-2</v>
      </c>
      <c r="V1198" s="94">
        <f>IF('Net zero activities &amp; levers'!$C$14="Off",Constants!$H76*'Activity data'!AO18*Constants!$H94*EF!$H219*MMVolatEF*NtoN2O*kgtoGg,IF('Net zero activities &amp; levers'!$C$14="On",Constants!$H76*'Net zero Activity data'!AO18*Constants!$H94*EF!$H219*MMVolatEF*NtoN2O*kgtoGg,"ERROR"))</f>
        <v>1.0732404232638389E-2</v>
      </c>
      <c r="W1198" s="94">
        <f>IF('Net zero activities &amp; levers'!$C$14="Off",Constants!$H76*'Activity data'!AP18*Constants!$H94*EF!$H219*MMVolatEF*NtoN2O*kgtoGg,IF('Net zero activities &amp; levers'!$C$14="On",Constants!$H76*'Net zero Activity data'!AP18*Constants!$H94*EF!$H219*MMVolatEF*NtoN2O*kgtoGg,"ERROR"))</f>
        <v>1.0816941059270873E-2</v>
      </c>
      <c r="X1198" s="94">
        <f>IF('Net zero activities &amp; levers'!$C$14="Off",Constants!$H76*'Activity data'!AQ18*Constants!$H94*EF!$H219*MMVolatEF*NtoN2O*kgtoGg,IF('Net zero activities &amp; levers'!$C$14="On",Constants!$H76*'Net zero Activity data'!AQ18*Constants!$H94*EF!$H219*MMVolatEF*NtoN2O*kgtoGg,"ERROR"))</f>
        <v>1.087990465613799E-2</v>
      </c>
      <c r="Y1198" s="94">
        <f>IF('Net zero activities &amp; levers'!$C$14="Off",Constants!$H76*'Activity data'!AR18*Constants!$H94*EF!$H219*MMVolatEF*NtoN2O*kgtoGg,IF('Net zero activities &amp; levers'!$C$14="On",Constants!$H76*'Net zero Activity data'!AR18*Constants!$H94*EF!$H219*MMVolatEF*NtoN2O*kgtoGg,"ERROR"))</f>
        <v>1.0912931398434408E-2</v>
      </c>
      <c r="Z1198" s="94">
        <f>IF('Net zero activities &amp; levers'!$C$14="Off",Constants!$H76*'Activity data'!AS18*Constants!$H94*EF!$H219*MMVolatEF*NtoN2O*kgtoGg,IF('Net zero activities &amp; levers'!$C$14="On",Constants!$H76*'Net zero Activity data'!AS18*Constants!$H94*EF!$H219*MMVolatEF*NtoN2O*kgtoGg,"ERROR"))</f>
        <v>1.0933166698202938E-2</v>
      </c>
      <c r="AA1198" s="94">
        <f>IF('Net zero activities &amp; levers'!$C$14="Off",Constants!$H76*'Activity data'!AT18*Constants!$H94*EF!$H219*MMVolatEF*NtoN2O*kgtoGg,IF('Net zero activities &amp; levers'!$C$14="On",Constants!$H76*'Net zero Activity data'!AT18*Constants!$H94*EF!$H219*MMVolatEF*NtoN2O*kgtoGg,"ERROR"))</f>
        <v>1.0935911642593046E-2</v>
      </c>
      <c r="AB1198" s="94">
        <f>IF('Net zero activities &amp; levers'!$C$14="Off",Constants!$H76*'Activity data'!AU18*Constants!$H94*EF!$H219*MMVolatEF*NtoN2O*kgtoGg,IF('Net zero activities &amp; levers'!$C$14="On",Constants!$H76*'Net zero Activity data'!AU18*Constants!$H94*EF!$H219*MMVolatEF*NtoN2O*kgtoGg,"ERROR"))</f>
        <v>1.0999416268014638E-2</v>
      </c>
      <c r="AC1198" s="94">
        <f>IF('Net zero activities &amp; levers'!$C$14="Off",Constants!$H76*'Activity data'!AV18*Constants!$H94*EF!$H219*MMVolatEF*NtoN2O*kgtoGg,IF('Net zero activities &amp; levers'!$C$14="On",Constants!$H76*'Net zero Activity data'!AV18*Constants!$H94*EF!$H219*MMVolatEF*NtoN2O*kgtoGg,"ERROR"))</f>
        <v>1.1054887166372485E-2</v>
      </c>
      <c r="AD1198" s="94">
        <f>IF('Net zero activities &amp; levers'!$C$14="Off",Constants!$H76*'Activity data'!AW18*Constants!$H94*EF!$H219*MMVolatEF*NtoN2O*kgtoGg,IF('Net zero activities &amp; levers'!$C$14="On",Constants!$H76*'Net zero Activity data'!AW18*Constants!$H94*EF!$H219*MMVolatEF*NtoN2O*kgtoGg,"ERROR"))</f>
        <v>1.1134699685884465E-2</v>
      </c>
      <c r="AE1198" s="94">
        <f>IF('Net zero activities &amp; levers'!$C$14="Off",Constants!$H76*'Activity data'!AX18*Constants!$H94*EF!$H219*MMVolatEF*NtoN2O*kgtoGg,IF('Net zero activities &amp; levers'!$C$14="On",Constants!$H76*'Net zero Activity data'!AX18*Constants!$H94*EF!$H219*MMVolatEF*NtoN2O*kgtoGg,"ERROR"))</f>
        <v>1.1269518115040561E-2</v>
      </c>
      <c r="AF1198" s="94">
        <f>IF('Net zero activities &amp; levers'!$C$14="Off",Constants!$H76*'Activity data'!AY18*Constants!$H94*EF!$H219*MMVolatEF*NtoN2O*kgtoGg,IF('Net zero activities &amp; levers'!$C$14="On",Constants!$H76*'Net zero Activity data'!AY18*Constants!$H94*EF!$H219*MMVolatEF*NtoN2O*kgtoGg,"ERROR"))</f>
        <v>1.1427397995711722E-2</v>
      </c>
      <c r="AG1198" s="94">
        <f>IF('Net zero activities &amp; levers'!$C$14="Off",Constants!$H76*'Activity data'!AZ18*Constants!$H94*EF!$H219*MMVolatEF*NtoN2O*kgtoGg,IF('Net zero activities &amp; levers'!$C$14="On",Constants!$H76*'Net zero Activity data'!AZ18*Constants!$H94*EF!$H219*MMVolatEF*NtoN2O*kgtoGg,"ERROR"))</f>
        <v>1.1641154570195772E-2</v>
      </c>
      <c r="AH1198" s="94">
        <f>IF('Net zero activities &amp; levers'!$C$14="Off",Constants!$H76*'Activity data'!BA18*Constants!$H94*EF!$H219*MMVolatEF*NtoN2O*kgtoGg,IF('Net zero activities &amp; levers'!$C$14="On",Constants!$H76*'Net zero Activity data'!BA18*Constants!$H94*EF!$H219*MMVolatEF*NtoN2O*kgtoGg,"ERROR"))</f>
        <v>1.1756549655379731E-2</v>
      </c>
      <c r="AI1198" s="94">
        <f>IF('Net zero activities &amp; levers'!$C$14="Off",Constants!$H76*'Activity data'!BB18*Constants!$H94*EF!$H219*MMVolatEF*NtoN2O*kgtoGg,IF('Net zero activities &amp; levers'!$C$14="On",Constants!$H76*'Net zero Activity data'!BB18*Constants!$H94*EF!$H219*MMVolatEF*NtoN2O*kgtoGg,"ERROR"))</f>
        <v>1.1857335577564188E-2</v>
      </c>
      <c r="AJ1198" s="94">
        <f>IF('Net zero activities &amp; levers'!$C$14="Off",Constants!$H76*'Activity data'!BC18*Constants!$H94*EF!$H219*MMVolatEF*NtoN2O*kgtoGg,IF('Net zero activities &amp; levers'!$C$14="On",Constants!$H76*'Net zero Activity data'!BC18*Constants!$H94*EF!$H219*MMVolatEF*NtoN2O*kgtoGg,"ERROR"))</f>
        <v>1.1983994600770704E-2</v>
      </c>
      <c r="AK1198" s="94">
        <f>IF('Net zero activities &amp; levers'!$C$14="Off",Constants!$H76*'Activity data'!BD18*Constants!$H94*EF!$H219*MMVolatEF*NtoN2O*kgtoGg,IF('Net zero activities &amp; levers'!$C$14="On",Constants!$H76*'Net zero Activity data'!BD18*Constants!$H94*EF!$H219*MMVolatEF*NtoN2O*kgtoGg,"ERROR"))</f>
        <v>1.209396190204173E-2</v>
      </c>
      <c r="AL1198" s="94">
        <f>IF('Net zero activities &amp; levers'!$C$14="Off",Constants!$H76*'Activity data'!BE18*Constants!$H94*EF!$H219*MMVolatEF*NtoN2O*kgtoGg,IF('Net zero activities &amp; levers'!$C$14="On",Constants!$H76*'Net zero Activity data'!BE18*Constants!$H94*EF!$H219*MMVolatEF*NtoN2O*kgtoGg,"ERROR"))</f>
        <v>1.2215639583254724E-2</v>
      </c>
      <c r="AM1198" s="94">
        <f>IF('Net zero activities &amp; levers'!$C$14="Off",Constants!$H76*'Activity data'!BF18*Constants!$H94*EF!$H219*MMVolatEF*NtoN2O*kgtoGg,IF('Net zero activities &amp; levers'!$C$14="On",Constants!$H76*'Net zero Activity data'!BF18*Constants!$H94*EF!$H219*MMVolatEF*NtoN2O*kgtoGg,"ERROR"))</f>
        <v>1.2334326609936505E-2</v>
      </c>
      <c r="AN1198" s="94">
        <f>IF('Net zero activities &amp; levers'!$C$14="Off",Constants!$H76*'Activity data'!BG18*Constants!$H94*EF!$H219*MMVolatEF*NtoN2O*kgtoGg,IF('Net zero activities &amp; levers'!$C$14="On",Constants!$H76*'Net zero Activity data'!BG18*Constants!$H94*EF!$H219*MMVolatEF*NtoN2O*kgtoGg,"ERROR"))</f>
        <v>1.2494119174505589E-2</v>
      </c>
      <c r="AO1198" s="94">
        <f>IF('Net zero activities &amp; levers'!$C$14="Off",Constants!$H76*'Activity data'!BH18*Constants!$H94*EF!$H219*MMVolatEF*NtoN2O*kgtoGg,IF('Net zero activities &amp; levers'!$C$14="On",Constants!$H76*'Net zero Activity data'!BH18*Constants!$H94*EF!$H219*MMVolatEF*NtoN2O*kgtoGg,"ERROR"))</f>
        <v>1.2632877696725955E-2</v>
      </c>
      <c r="AP1198" s="94">
        <f>IF('Net zero activities &amp; levers'!$C$14="Off",Constants!$H76*'Activity data'!BI18*Constants!$H94*EF!$H219*MMVolatEF*NtoN2O*kgtoGg,IF('Net zero activities &amp; levers'!$C$14="On",Constants!$H76*'Net zero Activity data'!BI18*Constants!$H94*EF!$H219*MMVolatEF*NtoN2O*kgtoGg,"ERROR"))</f>
        <v>1.2771512903072156E-2</v>
      </c>
      <c r="AQ1198" s="94">
        <f>IF('Net zero activities &amp; levers'!$C$14="Off",Constants!$H76*'Activity data'!BJ18*Constants!$H94*EF!$H219*MMVolatEF*NtoN2O*kgtoGg,IF('Net zero activities &amp; levers'!$C$14="On",Constants!$H76*'Net zero Activity data'!BJ18*Constants!$H94*EF!$H219*MMVolatEF*NtoN2O*kgtoGg,"ERROR"))</f>
        <v>1.2915071848641296E-2</v>
      </c>
      <c r="AR1198" s="94">
        <f>IF('Net zero activities &amp; levers'!$C$14="Off",Constants!$H76*'Activity data'!BK18*Constants!$H94*EF!$H219*MMVolatEF*NtoN2O*kgtoGg,IF('Net zero activities &amp; levers'!$C$14="On",Constants!$H76*'Net zero Activity data'!BK18*Constants!$H94*EF!$H219*MMVolatEF*NtoN2O*kgtoGg,"ERROR"))</f>
        <v>1.3065168276002324E-2</v>
      </c>
      <c r="AS1198" s="94">
        <f>IF('Net zero activities &amp; levers'!$C$14="Off",Constants!$H76*'Activity data'!BL18*Constants!$H94*EF!$H219*MMVolatEF*NtoN2O*kgtoGg,IF('Net zero activities &amp; levers'!$C$14="On",Constants!$H76*'Net zero Activity data'!BL18*Constants!$H94*EF!$H219*MMVolatEF*NtoN2O*kgtoGg,"ERROR"))</f>
        <v>1.3260773516090847E-2</v>
      </c>
      <c r="AT1198" s="94">
        <f>IF('Net zero activities &amp; levers'!$C$14="Off",Constants!$H76*'Activity data'!BM18*Constants!$H94*EF!$H219*MMVolatEF*NtoN2O*kgtoGg,IF('Net zero activities &amp; levers'!$C$14="On",Constants!$H76*'Net zero Activity data'!BM18*Constants!$H94*EF!$H219*MMVolatEF*NtoN2O*kgtoGg,"ERROR"))</f>
        <v>1.3321350802978501E-2</v>
      </c>
      <c r="AU1198" s="94">
        <f>IF('Net zero activities &amp; levers'!$C$14="Off",Constants!$H76*'Activity data'!BN18*Constants!$H94*EF!$H219*MMVolatEF*NtoN2O*kgtoGg,IF('Net zero activities &amp; levers'!$C$14="On",Constants!$H76*'Net zero Activity data'!BN18*Constants!$H94*EF!$H219*MMVolatEF*NtoN2O*kgtoGg,"ERROR"))</f>
        <v>1.3369734774933539E-2</v>
      </c>
      <c r="AV1198" s="94">
        <f>IF('Net zero activities &amp; levers'!$C$14="Off",Constants!$H76*'Activity data'!BO18*Constants!$H94*EF!$H219*MMVolatEF*NtoN2O*kgtoGg,IF('Net zero activities &amp; levers'!$C$14="On",Constants!$H76*'Net zero Activity data'!BO18*Constants!$H94*EF!$H219*MMVolatEF*NtoN2O*kgtoGg,"ERROR"))</f>
        <v>1.3419632668064721E-2</v>
      </c>
      <c r="AW1198" s="94">
        <f>IF('Net zero activities &amp; levers'!$C$14="Off",Constants!$H76*'Activity data'!BP18*Constants!$H94*EF!$H219*MMVolatEF*NtoN2O*kgtoGg,IF('Net zero activities &amp; levers'!$C$14="On",Constants!$H76*'Net zero Activity data'!BP18*Constants!$H94*EF!$H219*MMVolatEF*NtoN2O*kgtoGg,"ERROR"))</f>
        <v>1.3465299830163544E-2</v>
      </c>
      <c r="AY1198" s="79"/>
    </row>
    <row r="1199" spans="1:51" x14ac:dyDescent="0.2">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6.4453339767617107E-2</v>
      </c>
      <c r="L1199" s="94">
        <f>IF('Net zero activities &amp; levers'!$C$14="Off",Constants!$H77*'Activity data'!AE19*Constants!$H95*EF!$H220*MMVolatEF*NtoN2O*kgtoGg,IF('Net zero activities &amp; levers'!$C$14="On",Constants!$H77*'Net zero Activity data'!AE19*Constants!$H95*EF!$H220*MMVolatEF*NtoN2O*kgtoGg,"ERROR"))</f>
        <v>6.5763803942104557E-2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6.9415657765503513E-2</v>
      </c>
      <c r="P1199" s="94">
        <f>IF('Net zero activities &amp; levers'!$C$14="Off",Constants!$H77*'Activity data'!AI19*Constants!$H95*EF!$H220*MMVolatEF*NtoN2O*kgtoGg,IF('Net zero activities &amp; levers'!$C$14="On",Constants!$H77*'Net zero Activity data'!AI19*Constants!$H95*EF!$H220*MMVolatEF*NtoN2O*kgtoGg,"ERROR"))</f>
        <v>7.0122113289878343E-2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7.1969839340941838E-2</v>
      </c>
      <c r="S1199" s="94">
        <f>IF('Net zero activities &amp; levers'!$C$14="Off",Constants!$H77*'Activity data'!AL19*Constants!$H95*EF!$H220*MMVolatEF*NtoN2O*kgtoGg,IF('Net zero activities &amp; levers'!$C$14="On",Constants!$H77*'Net zero Activity data'!AL19*Constants!$H95*EF!$H220*MMVolatEF*NtoN2O*kgtoGg,"ERROR"))</f>
        <v>6.9091020117855437E-2</v>
      </c>
      <c r="T1199" s="94">
        <f>IF('Net zero activities &amp; levers'!$C$14="Off",Constants!$H77*'Activity data'!AM19*Constants!$H95*EF!$H220*MMVolatEF*NtoN2O*kgtoGg,IF('Net zero activities &amp; levers'!$C$14="On",Constants!$H77*'Net zero Activity data'!AM19*Constants!$H95*EF!$H220*MMVolatEF*NtoN2O*kgtoGg,"ERROR"))</f>
        <v>7.0923520025616846E-2</v>
      </c>
      <c r="U1199" s="94">
        <f>IF('Net zero activities &amp; levers'!$C$14="Off",Constants!$H77*'Activity data'!AN19*Constants!$H95*EF!$H220*MMVolatEF*NtoN2O*kgtoGg,IF('Net zero activities &amp; levers'!$C$14="On",Constants!$H77*'Net zero Activity data'!AN19*Constants!$H95*EF!$H220*MMVolatEF*NtoN2O*kgtoGg,"ERROR"))</f>
        <v>7.2452558917721649E-2</v>
      </c>
      <c r="V1199" s="94">
        <f>IF('Net zero activities &amp; levers'!$C$14="Off",Constants!$H77*'Activity data'!AO19*Constants!$H95*EF!$H220*MMVolatEF*NtoN2O*kgtoGg,IF('Net zero activities &amp; levers'!$C$14="On",Constants!$H77*'Net zero Activity data'!AO19*Constants!$H95*EF!$H220*MMVolatEF*NtoN2O*kgtoGg,"ERROR"))</f>
        <v>7.3914725789307509E-2</v>
      </c>
      <c r="W1199" s="94">
        <f>IF('Net zero activities &amp; levers'!$C$14="Off",Constants!$H77*'Activity data'!AP19*Constants!$H95*EF!$H220*MMVolatEF*NtoN2O*kgtoGg,IF('Net zero activities &amp; levers'!$C$14="On",Constants!$H77*'Net zero Activity data'!AP19*Constants!$H95*EF!$H220*MMVolatEF*NtoN2O*kgtoGg,"ERROR"))</f>
        <v>7.5540335927502686E-2</v>
      </c>
      <c r="X1199" s="94">
        <f>IF('Net zero activities &amp; levers'!$C$14="Off",Constants!$H77*'Activity data'!AQ19*Constants!$H95*EF!$H220*MMVolatEF*NtoN2O*kgtoGg,IF('Net zero activities &amp; levers'!$C$14="On",Constants!$H77*'Net zero Activity data'!AQ19*Constants!$H95*EF!$H220*MMVolatEF*NtoN2O*kgtoGg,"ERROR"))</f>
        <v>7.710742274610026E-2</v>
      </c>
      <c r="Y1199" s="94">
        <f>IF('Net zero activities &amp; levers'!$C$14="Off",Constants!$H77*'Activity data'!AR19*Constants!$H95*EF!$H220*MMVolatEF*NtoN2O*kgtoGg,IF('Net zero activities &amp; levers'!$C$14="On",Constants!$H77*'Net zero Activity data'!AR19*Constants!$H95*EF!$H220*MMVolatEF*NtoN2O*kgtoGg,"ERROR"))</f>
        <v>7.8514475152186416E-2</v>
      </c>
      <c r="Z1199" s="94">
        <f>IF('Net zero activities &amp; levers'!$C$14="Off",Constants!$H77*'Activity data'!AS19*Constants!$H95*EF!$H220*MMVolatEF*NtoN2O*kgtoGg,IF('Net zero activities &amp; levers'!$C$14="On",Constants!$H77*'Net zero Activity data'!AS19*Constants!$H95*EF!$H220*MMVolatEF*NtoN2O*kgtoGg,"ERROR"))</f>
        <v>7.9886368180485237E-2</v>
      </c>
      <c r="AA1199" s="94">
        <f>IF('Net zero activities &amp; levers'!$C$14="Off",Constants!$H77*'Activity data'!AT19*Constants!$H95*EF!$H220*MMVolatEF*NtoN2O*kgtoGg,IF('Net zero activities &amp; levers'!$C$14="On",Constants!$H77*'Net zero Activity data'!AT19*Constants!$H95*EF!$H220*MMVolatEF*NtoN2O*kgtoGg,"ERROR"))</f>
        <v>8.1201368710931643E-2</v>
      </c>
      <c r="AB1199" s="94">
        <f>IF('Net zero activities &amp; levers'!$C$14="Off",Constants!$H77*'Activity data'!AU19*Constants!$H95*EF!$H220*MMVolatEF*NtoN2O*kgtoGg,IF('Net zero activities &amp; levers'!$C$14="On",Constants!$H77*'Net zero Activity data'!AU19*Constants!$H95*EF!$H220*MMVolatEF*NtoN2O*kgtoGg,"ERROR"))</f>
        <v>8.2782551319957556E-2</v>
      </c>
      <c r="AC1199" s="94">
        <f>IF('Net zero activities &amp; levers'!$C$14="Off",Constants!$H77*'Activity data'!AV19*Constants!$H95*EF!$H220*MMVolatEF*NtoN2O*kgtoGg,IF('Net zero activities &amp; levers'!$C$14="On",Constants!$H77*'Net zero Activity data'!AV19*Constants!$H95*EF!$H220*MMVolatEF*NtoN2O*kgtoGg,"ERROR"))</f>
        <v>8.4352893309328145E-2</v>
      </c>
      <c r="AD1199" s="94">
        <f>IF('Net zero activities &amp; levers'!$C$14="Off",Constants!$H77*'Activity data'!AW19*Constants!$H95*EF!$H220*MMVolatEF*NtoN2O*kgtoGg,IF('Net zero activities &amp; levers'!$C$14="On",Constants!$H77*'Net zero Activity data'!AW19*Constants!$H95*EF!$H220*MMVolatEF*NtoN2O*kgtoGg,"ERROR"))</f>
        <v>8.5998825916539595E-2</v>
      </c>
      <c r="AE1199" s="94">
        <f>IF('Net zero activities &amp; levers'!$C$14="Off",Constants!$H77*'Activity data'!AX19*Constants!$H95*EF!$H220*MMVolatEF*NtoN2O*kgtoGg,IF('Net zero activities &amp; levers'!$C$14="On",Constants!$H77*'Net zero Activity data'!AX19*Constants!$H95*EF!$H220*MMVolatEF*NtoN2O*kgtoGg,"ERROR"))</f>
        <v>8.791554994164491E-2</v>
      </c>
      <c r="AF1199" s="94">
        <f>IF('Net zero activities &amp; levers'!$C$14="Off",Constants!$H77*'Activity data'!AY19*Constants!$H95*EF!$H220*MMVolatEF*NtoN2O*kgtoGg,IF('Net zero activities &amp; levers'!$C$14="On",Constants!$H77*'Net zero Activity data'!AY19*Constants!$H95*EF!$H220*MMVolatEF*NtoN2O*kgtoGg,"ERROR"))</f>
        <v>8.9973918009766785E-2</v>
      </c>
      <c r="AG1199" s="94">
        <f>IF('Net zero activities &amp; levers'!$C$14="Off",Constants!$H77*'Activity data'!AZ19*Constants!$H95*EF!$H220*MMVolatEF*NtoN2O*kgtoGg,IF('Net zero activities &amp; levers'!$C$14="On",Constants!$H77*'Net zero Activity data'!AZ19*Constants!$H95*EF!$H220*MMVolatEF*NtoN2O*kgtoGg,"ERROR"))</f>
        <v>9.2332462068458354E-2</v>
      </c>
      <c r="AH1199" s="94">
        <f>IF('Net zero activities &amp; levers'!$C$14="Off",Constants!$H77*'Activity data'!BA19*Constants!$H95*EF!$H220*MMVolatEF*NtoN2O*kgtoGg,IF('Net zero activities &amp; levers'!$C$14="On",Constants!$H77*'Net zero Activity data'!BA19*Constants!$H95*EF!$H220*MMVolatEF*NtoN2O*kgtoGg,"ERROR"))</f>
        <v>9.4282044413809288E-2</v>
      </c>
      <c r="AI1199" s="94">
        <f>IF('Net zero activities &amp; levers'!$C$14="Off",Constants!$H77*'Activity data'!BB19*Constants!$H95*EF!$H220*MMVolatEF*NtoN2O*kgtoGg,IF('Net zero activities &amp; levers'!$C$14="On",Constants!$H77*'Net zero Activity data'!BB19*Constants!$H95*EF!$H220*MMVolatEF*NtoN2O*kgtoGg,"ERROR"))</f>
        <v>9.6147404966029248E-2</v>
      </c>
      <c r="AJ1199" s="94">
        <f>IF('Net zero activities &amp; levers'!$C$14="Off",Constants!$H77*'Activity data'!BC19*Constants!$H95*EF!$H220*MMVolatEF*NtoN2O*kgtoGg,IF('Net zero activities &amp; levers'!$C$14="On",Constants!$H77*'Net zero Activity data'!BC19*Constants!$H95*EF!$H220*MMVolatEF*NtoN2O*kgtoGg,"ERROR"))</f>
        <v>9.8173701325843382E-2</v>
      </c>
      <c r="AK1199" s="94">
        <f>IF('Net zero activities &amp; levers'!$C$14="Off",Constants!$H77*'Activity data'!BD19*Constants!$H95*EF!$H220*MMVolatEF*NtoN2O*kgtoGg,IF('Net zero activities &amp; levers'!$C$14="On",Constants!$H77*'Net zero Activity data'!BD19*Constants!$H95*EF!$H220*MMVolatEF*NtoN2O*kgtoGg,"ERROR"))</f>
        <v>0.1001572245577764</v>
      </c>
      <c r="AL1199" s="94">
        <f>IF('Net zero activities &amp; levers'!$C$14="Off",Constants!$H77*'Activity data'!BE19*Constants!$H95*EF!$H220*MMVolatEF*NtoN2O*kgtoGg,IF('Net zero activities &amp; levers'!$C$14="On",Constants!$H77*'Net zero Activity data'!BE19*Constants!$H95*EF!$H220*MMVolatEF*NtoN2O*kgtoGg,"ERROR"))</f>
        <v>0.10223848995104871</v>
      </c>
      <c r="AM1199" s="94">
        <f>IF('Net zero activities &amp; levers'!$C$14="Off",Constants!$H77*'Activity data'!BF19*Constants!$H95*EF!$H220*MMVolatEF*NtoN2O*kgtoGg,IF('Net zero activities &amp; levers'!$C$14="On",Constants!$H77*'Net zero Activity data'!BF19*Constants!$H95*EF!$H220*MMVolatEF*NtoN2O*kgtoGg,"ERROR"))</f>
        <v>0.10434595485218236</v>
      </c>
      <c r="AN1199" s="94">
        <f>IF('Net zero activities &amp; levers'!$C$14="Off",Constants!$H77*'Activity data'!BG19*Constants!$H95*EF!$H220*MMVolatEF*NtoN2O*kgtoGg,IF('Net zero activities &amp; levers'!$C$14="On",Constants!$H77*'Net zero Activity data'!BG19*Constants!$H95*EF!$H220*MMVolatEF*NtoN2O*kgtoGg,"ERROR"))</f>
        <v>0.10666367827206967</v>
      </c>
      <c r="AO1199" s="94">
        <f>IF('Net zero activities &amp; levers'!$C$14="Off",Constants!$H77*'Activity data'!BH19*Constants!$H95*EF!$H220*MMVolatEF*NtoN2O*kgtoGg,IF('Net zero activities &amp; levers'!$C$14="On",Constants!$H77*'Net zero Activity data'!BH19*Constants!$H95*EF!$H220*MMVolatEF*NtoN2O*kgtoGg,"ERROR"))</f>
        <v>0.10891945161625204</v>
      </c>
      <c r="AP1199" s="94">
        <f>IF('Net zero activities &amp; levers'!$C$14="Off",Constants!$H77*'Activity data'!BI19*Constants!$H95*EF!$H220*MMVolatEF*NtoN2O*kgtoGg,IF('Net zero activities &amp; levers'!$C$14="On",Constants!$H77*'Net zero Activity data'!BI19*Constants!$H95*EF!$H220*MMVolatEF*NtoN2O*kgtoGg,"ERROR"))</f>
        <v>0.11122270700738313</v>
      </c>
      <c r="AQ1199" s="94">
        <f>IF('Net zero activities &amp; levers'!$C$14="Off",Constants!$H77*'Activity data'!BJ19*Constants!$H95*EF!$H220*MMVolatEF*NtoN2O*kgtoGg,IF('Net zero activities &amp; levers'!$C$14="On",Constants!$H77*'Net zero Activity data'!BJ19*Constants!$H95*EF!$H220*MMVolatEF*NtoN2O*kgtoGg,"ERROR"))</f>
        <v>0.11360290610560657</v>
      </c>
      <c r="AR1199" s="94">
        <f>IF('Net zero activities &amp; levers'!$C$14="Off",Constants!$H77*'Activity data'!BK19*Constants!$H95*EF!$H220*MMVolatEF*NtoN2O*kgtoGg,IF('Net zero activities &amp; levers'!$C$14="On",Constants!$H77*'Net zero Activity data'!BK19*Constants!$H95*EF!$H220*MMVolatEF*NtoN2O*kgtoGg,"ERROR"))</f>
        <v>0.11607217368997393</v>
      </c>
      <c r="AS1199" s="94">
        <f>IF('Net zero activities &amp; levers'!$C$14="Off",Constants!$H77*'Activity data'!BL19*Constants!$H95*EF!$H220*MMVolatEF*NtoN2O*kgtoGg,IF('Net zero activities &amp; levers'!$C$14="On",Constants!$H77*'Net zero Activity data'!BL19*Constants!$H95*EF!$H220*MMVolatEF*NtoN2O*kgtoGg,"ERROR"))</f>
        <v>0.11880939144121157</v>
      </c>
      <c r="AT1199" s="94">
        <f>IF('Net zero activities &amp; levers'!$C$14="Off",Constants!$H77*'Activity data'!BM19*Constants!$H95*EF!$H220*MMVolatEF*NtoN2O*kgtoGg,IF('Net zero activities &amp; levers'!$C$14="On",Constants!$H77*'Net zero Activity data'!BM19*Constants!$H95*EF!$H220*MMVolatEF*NtoN2O*kgtoGg,"ERROR"))</f>
        <v>0.12081746755875615</v>
      </c>
      <c r="AU1199" s="94">
        <f>IF('Net zero activities &amp; levers'!$C$14="Off",Constants!$H77*'Activity data'!BN19*Constants!$H95*EF!$H220*MMVolatEF*NtoN2O*kgtoGg,IF('Net zero activities &amp; levers'!$C$14="On",Constants!$H77*'Net zero Activity data'!BN19*Constants!$H95*EF!$H220*MMVolatEF*NtoN2O*kgtoGg,"ERROR"))</f>
        <v>0.12279062605907758</v>
      </c>
      <c r="AV1199" s="94">
        <f>IF('Net zero activities &amp; levers'!$C$14="Off",Constants!$H77*'Activity data'!BO19*Constants!$H95*EF!$H220*MMVolatEF*NtoN2O*kgtoGg,IF('Net zero activities &amp; levers'!$C$14="On",Constants!$H77*'Net zero Activity data'!BO19*Constants!$H95*EF!$H220*MMVolatEF*NtoN2O*kgtoGg,"ERROR"))</f>
        <v>0.12480975001742217</v>
      </c>
      <c r="AW1199" s="94">
        <f>IF('Net zero activities &amp; levers'!$C$14="Off",Constants!$H77*'Activity data'!BP19*Constants!$H95*EF!$H220*MMVolatEF*NtoN2O*kgtoGg,IF('Net zero activities &amp; levers'!$C$14="On",Constants!$H77*'Net zero Activity data'!BP19*Constants!$H95*EF!$H220*MMVolatEF*NtoN2O*kgtoGg,"ERROR"))</f>
        <v>0.1268408444448812</v>
      </c>
      <c r="AY1199" s="79"/>
    </row>
    <row r="1200" spans="1:51" x14ac:dyDescent="0.2">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0.31034319165291718</v>
      </c>
      <c r="L1200" s="94">
        <f>IF('Net zero activities &amp; levers'!$C$14="Off",Constants!$H78*'Activity data'!AE20*Constants!$H96*EF!$H221*MMVolatEF*NtoN2O*kgtoGg,IF('Net zero activities &amp; levers'!$C$14="On",Constants!$H78*'Net zero Activity data'!AE20*Constants!$H96*EF!$H221*MMVolatEF*NtoN2O*kgtoGg,"ERROR"))</f>
        <v>0.31442985679016988</v>
      </c>
      <c r="M1200" s="94">
        <f>IF('Net zero activities &amp; levers'!$C$14="Off",Constants!$H78*'Activity data'!AF20*Constants!$H96*EF!$H221*MMVolatEF*NtoN2O*kgtoGg,IF('Net zero activities &amp; levers'!$C$14="On",Constants!$H78*'Net zero Activity data'!AF20*Constants!$H96*EF!$H221*MMVolatEF*NtoN2O*kgtoGg,"ERROR"))</f>
        <v>0.32099421325528477</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0.31577785743754239</v>
      </c>
      <c r="R1200" s="94">
        <f>IF('Net zero activities &amp; levers'!$C$14="Off",Constants!$H78*'Activity data'!AK20*Constants!$H96*EF!$H221*MMVolatEF*NtoN2O*kgtoGg,IF('Net zero activities &amp; levers'!$C$14="On",Constants!$H78*'Net zero Activity data'!AK20*Constants!$H96*EF!$H221*MMVolatEF*NtoN2O*kgtoGg,"ERROR"))</f>
        <v>0.31441607582114922</v>
      </c>
      <c r="S1200" s="94">
        <f>IF('Net zero activities &amp; levers'!$C$14="Off",Constants!$H78*'Activity data'!AL20*Constants!$H96*EF!$H221*MMVolatEF*NtoN2O*kgtoGg,IF('Net zero activities &amp; levers'!$C$14="On",Constants!$H78*'Net zero Activity data'!AL20*Constants!$H96*EF!$H221*MMVolatEF*NtoN2O*kgtoGg,"ERROR"))</f>
        <v>0.26879192155029241</v>
      </c>
      <c r="T1200" s="94">
        <f>IF('Net zero activities &amp; levers'!$C$14="Off",Constants!$H78*'Activity data'!AM20*Constants!$H96*EF!$H221*MMVolatEF*NtoN2O*kgtoGg,IF('Net zero activities &amp; levers'!$C$14="On",Constants!$H78*'Net zero Activity data'!AM20*Constants!$H96*EF!$H221*MMVolatEF*NtoN2O*kgtoGg,"ERROR"))</f>
        <v>0.28063901740950847</v>
      </c>
      <c r="U1200" s="94">
        <f>IF('Net zero activities &amp; levers'!$C$14="Off",Constants!$H78*'Activity data'!AN20*Constants!$H96*EF!$H221*MMVolatEF*NtoN2O*kgtoGg,IF('Net zero activities &amp; levers'!$C$14="On",Constants!$H78*'Net zero Activity data'!AN20*Constants!$H96*EF!$H221*MMVolatEF*NtoN2O*kgtoGg,"ERROR"))</f>
        <v>0.28880309945041127</v>
      </c>
      <c r="V1200" s="94">
        <f>IF('Net zero activities &amp; levers'!$C$14="Off",Constants!$H78*'Activity data'!AO20*Constants!$H96*EF!$H221*MMVolatEF*NtoN2O*kgtoGg,IF('Net zero activities &amp; levers'!$C$14="On",Constants!$H78*'Net zero Activity data'!AO20*Constants!$H96*EF!$H221*MMVolatEF*NtoN2O*kgtoGg,"ERROR"))</f>
        <v>0.29604855006817871</v>
      </c>
      <c r="W1200" s="94">
        <f>IF('Net zero activities &amp; levers'!$C$14="Off",Constants!$H78*'Activity data'!AP20*Constants!$H96*EF!$H221*MMVolatEF*NtoN2O*kgtoGg,IF('Net zero activities &amp; levers'!$C$14="On",Constants!$H78*'Net zero Activity data'!AP20*Constants!$H96*EF!$H221*MMVolatEF*NtoN2O*kgtoGg,"ERROR"))</f>
        <v>0.30496938447162802</v>
      </c>
      <c r="X1200" s="94">
        <f>IF('Net zero activities &amp; levers'!$C$14="Off",Constants!$H78*'Activity data'!AQ20*Constants!$H96*EF!$H221*MMVolatEF*NtoN2O*kgtoGg,IF('Net zero activities &amp; levers'!$C$14="On",Constants!$H78*'Net zero Activity data'!AQ20*Constants!$H96*EF!$H221*MMVolatEF*NtoN2O*kgtoGg,"ERROR"))</f>
        <v>0.31306661968905752</v>
      </c>
      <c r="Y1200" s="94">
        <f>IF('Net zero activities &amp; levers'!$C$14="Off",Constants!$H78*'Activity data'!AR20*Constants!$H96*EF!$H221*MMVolatEF*NtoN2O*kgtoGg,IF('Net zero activities &amp; levers'!$C$14="On",Constants!$H78*'Net zero Activity data'!AR20*Constants!$H96*EF!$H221*MMVolatEF*NtoN2O*kgtoGg,"ERROR"))</f>
        <v>0.32021357019479407</v>
      </c>
      <c r="Z1200" s="94">
        <f>IF('Net zero activities &amp; levers'!$C$14="Off",Constants!$H78*'Activity data'!AS20*Constants!$H96*EF!$H221*MMVolatEF*NtoN2O*kgtoGg,IF('Net zero activities &amp; levers'!$C$14="On",Constants!$H78*'Net zero Activity data'!AS20*Constants!$H96*EF!$H221*MMVolatEF*NtoN2O*kgtoGg,"ERROR"))</f>
        <v>0.32685390014438859</v>
      </c>
      <c r="AA1200" s="94">
        <f>IF('Net zero activities &amp; levers'!$C$14="Off",Constants!$H78*'Activity data'!AT20*Constants!$H96*EF!$H221*MMVolatEF*NtoN2O*kgtoGg,IF('Net zero activities &amp; levers'!$C$14="On",Constants!$H78*'Net zero Activity data'!AT20*Constants!$H96*EF!$H221*MMVolatEF*NtoN2O*kgtoGg,"ERROR"))</f>
        <v>0.33276450713212152</v>
      </c>
      <c r="AB1200" s="94">
        <f>IF('Net zero activities &amp; levers'!$C$14="Off",Constants!$H78*'Activity data'!AU20*Constants!$H96*EF!$H221*MMVolatEF*NtoN2O*kgtoGg,IF('Net zero activities &amp; levers'!$C$14="On",Constants!$H78*'Net zero Activity data'!AU20*Constants!$H96*EF!$H221*MMVolatEF*NtoN2O*kgtoGg,"ERROR"))</f>
        <v>0.34142456701129209</v>
      </c>
      <c r="AC1200" s="94">
        <f>IF('Net zero activities &amp; levers'!$C$14="Off",Constants!$H78*'Activity data'!AV20*Constants!$H96*EF!$H221*MMVolatEF*NtoN2O*kgtoGg,IF('Net zero activities &amp; levers'!$C$14="On",Constants!$H78*'Net zero Activity data'!AV20*Constants!$H96*EF!$H221*MMVolatEF*NtoN2O*kgtoGg,"ERROR"))</f>
        <v>0.34982483105719137</v>
      </c>
      <c r="AD1200" s="94">
        <f>IF('Net zero activities &amp; levers'!$C$14="Off",Constants!$H78*'Activity data'!AW20*Constants!$H96*EF!$H221*MMVolatEF*NtoN2O*kgtoGg,IF('Net zero activities &amp; levers'!$C$14="On",Constants!$H78*'Net zero Activity data'!AW20*Constants!$H96*EF!$H221*MMVolatEF*NtoN2O*kgtoGg,"ERROR"))</f>
        <v>0.35965297279223607</v>
      </c>
      <c r="AE1200" s="94">
        <f>IF('Net zero activities &amp; levers'!$C$14="Off",Constants!$H78*'Activity data'!AX20*Constants!$H96*EF!$H221*MMVolatEF*NtoN2O*kgtoGg,IF('Net zero activities &amp; levers'!$C$14="On",Constants!$H78*'Net zero Activity data'!AX20*Constants!$H96*EF!$H221*MMVolatEF*NtoN2O*kgtoGg,"ERROR"))</f>
        <v>0.37217634319205956</v>
      </c>
      <c r="AF1200" s="94">
        <f>IF('Net zero activities &amp; levers'!$C$14="Off",Constants!$H78*'Activity data'!AY20*Constants!$H96*EF!$H221*MMVolatEF*NtoN2O*kgtoGg,IF('Net zero activities &amp; levers'!$C$14="On",Constants!$H78*'Net zero Activity data'!AY20*Constants!$H96*EF!$H221*MMVolatEF*NtoN2O*kgtoGg,"ERROR"))</f>
        <v>0.3859945703932357</v>
      </c>
      <c r="AG1200" s="94">
        <f>IF('Net zero activities &amp; levers'!$C$14="Off",Constants!$H78*'Activity data'!AZ20*Constants!$H96*EF!$H221*MMVolatEF*NtoN2O*kgtoGg,IF('Net zero activities &amp; levers'!$C$14="On",Constants!$H78*'Net zero Activity data'!AZ20*Constants!$H96*EF!$H221*MMVolatEF*NtoN2O*kgtoGg,"ERROR"))</f>
        <v>0.40272226665089866</v>
      </c>
      <c r="AH1200" s="94">
        <f>IF('Net zero activities &amp; levers'!$C$14="Off",Constants!$H78*'Activity data'!BA20*Constants!$H96*EF!$H221*MMVolatEF*NtoN2O*kgtoGg,IF('Net zero activities &amp; levers'!$C$14="On",Constants!$H78*'Net zero Activity data'!BA20*Constants!$H96*EF!$H221*MMVolatEF*NtoN2O*kgtoGg,"ERROR"))</f>
        <v>0.41501766533472662</v>
      </c>
      <c r="AI1200" s="94">
        <f>IF('Net zero activities &amp; levers'!$C$14="Off",Constants!$H78*'Activity data'!BB20*Constants!$H96*EF!$H221*MMVolatEF*NtoN2O*kgtoGg,IF('Net zero activities &amp; levers'!$C$14="On",Constants!$H78*'Net zero Activity data'!BB20*Constants!$H96*EF!$H221*MMVolatEF*NtoN2O*kgtoGg,"ERROR"))</f>
        <v>0.42700130219026528</v>
      </c>
      <c r="AJ1200" s="94">
        <f>IF('Net zero activities &amp; levers'!$C$14="Off",Constants!$H78*'Activity data'!BC20*Constants!$H96*EF!$H221*MMVolatEF*NtoN2O*kgtoGg,IF('Net zero activities &amp; levers'!$C$14="On",Constants!$H78*'Net zero Activity data'!BC20*Constants!$H96*EF!$H221*MMVolatEF*NtoN2O*kgtoGg,"ERROR"))</f>
        <v>0.44046546100421546</v>
      </c>
      <c r="AK1200" s="94">
        <f>IF('Net zero activities &amp; levers'!$C$14="Off",Constants!$H78*'Activity data'!BD20*Constants!$H96*EF!$H221*MMVolatEF*NtoN2O*kgtoGg,IF('Net zero activities &amp; levers'!$C$14="On",Constants!$H78*'Net zero Activity data'!BD20*Constants!$H96*EF!$H221*MMVolatEF*NtoN2O*kgtoGg,"ERROR"))</f>
        <v>0.45333055520989524</v>
      </c>
      <c r="AL1200" s="94">
        <f>IF('Net zero activities &amp; levers'!$C$14="Off",Constants!$H78*'Activity data'!BE20*Constants!$H96*EF!$H221*MMVolatEF*NtoN2O*kgtoGg,IF('Net zero activities &amp; levers'!$C$14="On",Constants!$H78*'Net zero Activity data'!BE20*Constants!$H96*EF!$H221*MMVolatEF*NtoN2O*kgtoGg,"ERROR"))</f>
        <v>0.46701619271583805</v>
      </c>
      <c r="AM1200" s="94">
        <f>IF('Net zero activities &amp; levers'!$C$14="Off",Constants!$H78*'Activity data'!BF20*Constants!$H96*EF!$H221*MMVolatEF*NtoN2O*kgtoGg,IF('Net zero activities &amp; levers'!$C$14="On",Constants!$H78*'Net zero Activity data'!BF20*Constants!$H96*EF!$H221*MMVolatEF*NtoN2O*kgtoGg,"ERROR"))</f>
        <v>0.48079646315959662</v>
      </c>
      <c r="AN1200" s="94">
        <f>IF('Net zero activities &amp; levers'!$C$14="Off",Constants!$H78*'Activity data'!BG20*Constants!$H96*EF!$H221*MMVolatEF*NtoN2O*kgtoGg,IF('Net zero activities &amp; levers'!$C$14="On",Constants!$H78*'Net zero Activity data'!BG20*Constants!$H96*EF!$H221*MMVolatEF*NtoN2O*kgtoGg,"ERROR"))</f>
        <v>0.49715144699339536</v>
      </c>
      <c r="AO1200" s="94">
        <f>IF('Net zero activities &amp; levers'!$C$14="Off",Constants!$H78*'Activity data'!BH20*Constants!$H96*EF!$H221*MMVolatEF*NtoN2O*kgtoGg,IF('Net zero activities &amp; levers'!$C$14="On",Constants!$H78*'Net zero Activity data'!BH20*Constants!$H96*EF!$H221*MMVolatEF*NtoN2O*kgtoGg,"ERROR"))</f>
        <v>0.51271284356388047</v>
      </c>
      <c r="AP1200" s="94">
        <f>IF('Net zero activities &amp; levers'!$C$14="Off",Constants!$H78*'Activity data'!BI20*Constants!$H96*EF!$H221*MMVolatEF*NtoN2O*kgtoGg,IF('Net zero activities &amp; levers'!$C$14="On",Constants!$H78*'Net zero Activity data'!BI20*Constants!$H96*EF!$H221*MMVolatEF*NtoN2O*kgtoGg,"ERROR"))</f>
        <v>0.52856616956956437</v>
      </c>
      <c r="AQ1200" s="94">
        <f>IF('Net zero activities &amp; levers'!$C$14="Off",Constants!$H78*'Activity data'!BJ20*Constants!$H96*EF!$H221*MMVolatEF*NtoN2O*kgtoGg,IF('Net zero activities &amp; levers'!$C$14="On",Constants!$H78*'Net zero Activity data'!BJ20*Constants!$H96*EF!$H221*MMVolatEF*NtoN2O*kgtoGg,"ERROR"))</f>
        <v>0.54499431888614669</v>
      </c>
      <c r="AR1200" s="94">
        <f>IF('Net zero activities &amp; levers'!$C$14="Off",Constants!$H78*'Activity data'!BK20*Constants!$H96*EF!$H221*MMVolatEF*NtoN2O*kgtoGg,IF('Net zero activities &amp; levers'!$C$14="On",Constants!$H78*'Net zero Activity data'!BK20*Constants!$H96*EF!$H221*MMVolatEF*NtoN2O*kgtoGg,"ERROR"))</f>
        <v>0.56210625186052299</v>
      </c>
      <c r="AS1200" s="94">
        <f>IF('Net zero activities &amp; levers'!$C$14="Off",Constants!$H78*'Activity data'!BL20*Constants!$H96*EF!$H221*MMVolatEF*NtoN2O*kgtoGg,IF('Net zero activities &amp; levers'!$C$14="On",Constants!$H78*'Net zero Activity data'!BL20*Constants!$H96*EF!$H221*MMVolatEF*NtoN2O*kgtoGg,"ERROR"))</f>
        <v>0.58227066272581418</v>
      </c>
      <c r="AT1200" s="94">
        <f>IF('Net zero activities &amp; levers'!$C$14="Off",Constants!$H78*'Activity data'!BM20*Constants!$H96*EF!$H221*MMVolatEF*NtoN2O*kgtoGg,IF('Net zero activities &amp; levers'!$C$14="On",Constants!$H78*'Net zero Activity data'!BM20*Constants!$H96*EF!$H221*MMVolatEF*NtoN2O*kgtoGg,"ERROR"))</f>
        <v>0.59525693388734258</v>
      </c>
      <c r="AU1200" s="94">
        <f>IF('Net zero activities &amp; levers'!$C$14="Off",Constants!$H78*'Activity data'!BN20*Constants!$H96*EF!$H221*MMVolatEF*NtoN2O*kgtoGg,IF('Net zero activities &amp; levers'!$C$14="On",Constants!$H78*'Net zero Activity data'!BN20*Constants!$H96*EF!$H221*MMVolatEF*NtoN2O*kgtoGg,"ERROR"))</f>
        <v>0.60778527419801665</v>
      </c>
      <c r="AV1200" s="94">
        <f>IF('Net zero activities &amp; levers'!$C$14="Off",Constants!$H78*'Activity data'!BO20*Constants!$H96*EF!$H221*MMVolatEF*NtoN2O*kgtoGg,IF('Net zero activities &amp; levers'!$C$14="On",Constants!$H78*'Net zero Activity data'!BO20*Constants!$H96*EF!$H221*MMVolatEF*NtoN2O*kgtoGg,"ERROR"))</f>
        <v>0.62062894178535877</v>
      </c>
      <c r="AW1200" s="94">
        <f>IF('Net zero activities &amp; levers'!$C$14="Off",Constants!$H78*'Activity data'!BP20*Constants!$H96*EF!$H221*MMVolatEF*NtoN2O*kgtoGg,IF('Net zero activities &amp; levers'!$C$14="On",Constants!$H78*'Net zero Activity data'!BP20*Constants!$H96*EF!$H221*MMVolatEF*NtoN2O*kgtoGg,"ERROR"))</f>
        <v>0.63346374044156473</v>
      </c>
      <c r="AY1200" s="79"/>
    </row>
    <row r="1201" spans="1:51" x14ac:dyDescent="0.2">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8.9709854381943815E-2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9.1174361291842948E-2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9.2016609055475651E-2</v>
      </c>
      <c r="S1201" s="94">
        <f>IF('Net zero activities &amp; levers'!$C$14="Off",Constants!$H63*'Activity data'!AL5*Constants!$H81*FracLEACHMM*MMLeachEF*NtoN2O*kgtoGg,IF('Net zero activities &amp; levers'!$C$14="On",Constants!$H63*'Net zero Activity data'!AL5*Constants!$H81*FracLEACHMM*MMLeachEF*NtoN2O*kgtoGg,"ERROR"))</f>
        <v>8.9497634351969751E-2</v>
      </c>
      <c r="T1201" s="94">
        <f>IF('Net zero activities &amp; levers'!$C$14="Off",Constants!$H63*'Activity data'!AM5*Constants!$H81*FracLEACHMM*MMLeachEF*NtoN2O*kgtoGg,IF('Net zero activities &amp; levers'!$C$14="On",Constants!$H63*'Net zero Activity data'!AM5*Constants!$H81*FracLEACHMM*MMLeachEF*NtoN2O*kgtoGg,"ERROR"))</f>
        <v>9.0526156863539653E-2</v>
      </c>
      <c r="U1201" s="94">
        <f>IF('Net zero activities &amp; levers'!$C$14="Off",Constants!$H63*'Activity data'!AN5*Constants!$H81*FracLEACHMM*MMLeachEF*NtoN2O*kgtoGg,IF('Net zero activities &amp; levers'!$C$14="On",Constants!$H63*'Net zero Activity data'!AN5*Constants!$H81*FracLEACHMM*MMLeachEF*NtoN2O*kgtoGg,"ERROR"))</f>
        <v>9.133211275409571E-2</v>
      </c>
      <c r="V1201" s="94">
        <f>IF('Net zero activities &amp; levers'!$C$14="Off",Constants!$H63*'Activity data'!AO5*Constants!$H81*FracLEACHMM*MMLeachEF*NtoN2O*kgtoGg,IF('Net zero activities &amp; levers'!$C$14="On",Constants!$H63*'Net zero Activity data'!AO5*Constants!$H81*FracLEACHMM*MMLeachEF*NtoN2O*kgtoGg,"ERROR"))</f>
        <v>9.2095667401537948E-2</v>
      </c>
      <c r="W1201" s="94">
        <f>IF('Net zero activities &amp; levers'!$C$14="Off",Constants!$H63*'Activity data'!AP5*Constants!$H81*FracLEACHMM*MMLeachEF*NtoN2O*kgtoGg,IF('Net zero activities &amp; levers'!$C$14="On",Constants!$H63*'Net zero Activity data'!AP5*Constants!$H81*FracLEACHMM*MMLeachEF*NtoN2O*kgtoGg,"ERROR"))</f>
        <v>9.2988337377843094E-2</v>
      </c>
      <c r="X1201" s="94">
        <f>IF('Net zero activities &amp; levers'!$C$14="Off",Constants!$H63*'Activity data'!AQ5*Constants!$H81*FracLEACHMM*MMLeachEF*NtoN2O*kgtoGg,IF('Net zero activities &amp; levers'!$C$14="On",Constants!$H63*'Net zero Activity data'!AQ5*Constants!$H81*FracLEACHMM*MMLeachEF*NtoN2O*kgtoGg,"ERROR"))</f>
        <v>9.3843223396191833E-2</v>
      </c>
      <c r="Y1201" s="94">
        <f>IF('Net zero activities &amp; levers'!$C$14="Off",Constants!$H63*'Activity data'!AR5*Constants!$H81*FracLEACHMM*MMLeachEF*NtoN2O*kgtoGg,IF('Net zero activities &amp; levers'!$C$14="On",Constants!$H63*'Net zero Activity data'!AR5*Constants!$H81*FracLEACHMM*MMLeachEF*NtoN2O*kgtoGg,"ERROR"))</f>
        <v>9.4560210431129388E-2</v>
      </c>
      <c r="Z1201" s="94">
        <f>IF('Net zero activities &amp; levers'!$C$14="Off",Constants!$H63*'Activity data'!AS5*Constants!$H81*FracLEACHMM*MMLeachEF*NtoN2O*kgtoGg,IF('Net zero activities &amp; levers'!$C$14="On",Constants!$H63*'Net zero Activity data'!AS5*Constants!$H81*FracLEACHMM*MMLeachEF*NtoN2O*kgtoGg,"ERROR"))</f>
        <v>9.5257283424355771E-2</v>
      </c>
      <c r="AA1201" s="94">
        <f>IF('Net zero activities &amp; levers'!$C$14="Off",Constants!$H63*'Activity data'!AT5*Constants!$H81*FracLEACHMM*MMLeachEF*NtoN2O*kgtoGg,IF('Net zero activities &amp; levers'!$C$14="On",Constants!$H63*'Net zero Activity data'!AT5*Constants!$H81*FracLEACHMM*MMLeachEF*NtoN2O*kgtoGg,"ERROR"))</f>
        <v>9.5918466483612935E-2</v>
      </c>
      <c r="AB1201" s="94">
        <f>IF('Net zero activities &amp; levers'!$C$14="Off",Constants!$H63*'Activity data'!AU5*Constants!$H81*FracLEACHMM*MMLeachEF*NtoN2O*kgtoGg,IF('Net zero activities &amp; levers'!$C$14="On",Constants!$H63*'Net zero Activity data'!AU5*Constants!$H81*FracLEACHMM*MMLeachEF*NtoN2O*kgtoGg,"ERROR"))</f>
        <v>9.6778548113850782E-2</v>
      </c>
      <c r="AC1201" s="94">
        <f>IF('Net zero activities &amp; levers'!$C$14="Off",Constants!$H63*'Activity data'!AV5*Constants!$H81*FracLEACHMM*MMLeachEF*NtoN2O*kgtoGg,IF('Net zero activities &amp; levers'!$C$14="On",Constants!$H63*'Net zero Activity data'!AV5*Constants!$H81*FracLEACHMM*MMLeachEF*NtoN2O*kgtoGg,"ERROR"))</f>
        <v>9.7634207071548518E-2</v>
      </c>
      <c r="AD1201" s="94">
        <f>IF('Net zero activities &amp; levers'!$C$14="Off",Constants!$H63*'Activity data'!AW5*Constants!$H81*FracLEACHMM*MMLeachEF*NtoN2O*kgtoGg,IF('Net zero activities &amp; levers'!$C$14="On",Constants!$H63*'Net zero Activity data'!AW5*Constants!$H81*FracLEACHMM*MMLeachEF*NtoN2O*kgtoGg,"ERROR"))</f>
        <v>9.8526906814348045E-2</v>
      </c>
      <c r="AE1201" s="94">
        <f>IF('Net zero activities &amp; levers'!$C$14="Off",Constants!$H63*'Activity data'!AX5*Constants!$H81*FracLEACHMM*MMLeachEF*NtoN2O*kgtoGg,IF('Net zero activities &amp; levers'!$C$14="On",Constants!$H63*'Net zero Activity data'!AX5*Constants!$H81*FracLEACHMM*MMLeachEF*NtoN2O*kgtoGg,"ERROR"))</f>
        <v>9.9615980454525591E-2</v>
      </c>
      <c r="AF1201" s="94">
        <f>IF('Net zero activities &amp; levers'!$C$14="Off",Constants!$H63*'Activity data'!AY5*Constants!$H81*FracLEACHMM*MMLeachEF*NtoN2O*kgtoGg,IF('Net zero activities &amp; levers'!$C$14="On",Constants!$H63*'Net zero Activity data'!AY5*Constants!$H81*FracLEACHMM*MMLeachEF*NtoN2O*kgtoGg,"ERROR"))</f>
        <v>0.1008065868820634</v>
      </c>
      <c r="AG1201" s="94">
        <f>IF('Net zero activities &amp; levers'!$C$14="Off",Constants!$H63*'Activity data'!AZ5*Constants!$H81*FracLEACHMM*MMLeachEF*NtoN2O*kgtoGg,IF('Net zero activities &amp; levers'!$C$14="On",Constants!$H63*'Net zero Activity data'!AZ5*Constants!$H81*FracLEACHMM*MMLeachEF*NtoN2O*kgtoGg,"ERROR"))</f>
        <v>0.10221006700957981</v>
      </c>
      <c r="AH1201" s="94">
        <f>IF('Net zero activities &amp; levers'!$C$14="Off",Constants!$H63*'Activity data'!BA5*Constants!$H81*FracLEACHMM*MMLeachEF*NtoN2O*kgtoGg,IF('Net zero activities &amp; levers'!$C$14="On",Constants!$H63*'Net zero Activity data'!BA5*Constants!$H81*FracLEACHMM*MMLeachEF*NtoN2O*kgtoGg,"ERROR"))</f>
        <v>0.10332162680247739</v>
      </c>
      <c r="AI1201" s="94">
        <f>IF('Net zero activities &amp; levers'!$C$14="Off",Constants!$H63*'Activity data'!BB5*Constants!$H81*FracLEACHMM*MMLeachEF*NtoN2O*kgtoGg,IF('Net zero activities &amp; levers'!$C$14="On",Constants!$H63*'Net zero Activity data'!BB5*Constants!$H81*FracLEACHMM*MMLeachEF*NtoN2O*kgtoGg,"ERROR"))</f>
        <v>0.10435425380397972</v>
      </c>
      <c r="AJ1201" s="94">
        <f>IF('Net zero activities &amp; levers'!$C$14="Off",Constants!$H63*'Activity data'!BC5*Constants!$H81*FracLEACHMM*MMLeachEF*NtoN2O*kgtoGg,IF('Net zero activities &amp; levers'!$C$14="On",Constants!$H63*'Net zero Activity data'!BC5*Constants!$H81*FracLEACHMM*MMLeachEF*NtoN2O*kgtoGg,"ERROR"))</f>
        <v>0.10550009187328319</v>
      </c>
      <c r="AK1201" s="94">
        <f>IF('Net zero activities &amp; levers'!$C$14="Off",Constants!$H63*'Activity data'!BD5*Constants!$H81*FracLEACHMM*MMLeachEF*NtoN2O*kgtoGg,IF('Net zero activities &amp; levers'!$C$14="On",Constants!$H63*'Net zero Activity data'!BD5*Constants!$H81*FracLEACHMM*MMLeachEF*NtoN2O*kgtoGg,"ERROR"))</f>
        <v>0.10661516318950658</v>
      </c>
      <c r="AL1201" s="94">
        <f>IF('Net zero activities &amp; levers'!$C$14="Off",Constants!$H63*'Activity data'!BE5*Constants!$H81*FracLEACHMM*MMLeachEF*NtoN2O*kgtoGg,IF('Net zero activities &amp; levers'!$C$14="On",Constants!$H63*'Net zero Activity data'!BE5*Constants!$H81*FracLEACHMM*MMLeachEF*NtoN2O*kgtoGg,"ERROR"))</f>
        <v>0.10779775034487957</v>
      </c>
      <c r="AM1201" s="94">
        <f>IF('Net zero activities &amp; levers'!$C$14="Off",Constants!$H63*'Activity data'!BF5*Constants!$H81*FracLEACHMM*MMLeachEF*NtoN2O*kgtoGg,IF('Net zero activities &amp; levers'!$C$14="On",Constants!$H63*'Net zero Activity data'!BF5*Constants!$H81*FracLEACHMM*MMLeachEF*NtoN2O*kgtoGg,"ERROR"))</f>
        <v>0.10899733735251546</v>
      </c>
      <c r="AN1201" s="94">
        <f>IF('Net zero activities &amp; levers'!$C$14="Off",Constants!$H63*'Activity data'!BG5*Constants!$H81*FracLEACHMM*MMLeachEF*NtoN2O*kgtoGg,IF('Net zero activities &amp; levers'!$C$14="On",Constants!$H63*'Net zero Activity data'!BG5*Constants!$H81*FracLEACHMM*MMLeachEF*NtoN2O*kgtoGg,"ERROR"))</f>
        <v>0.11032305770963274</v>
      </c>
      <c r="AO1201" s="94">
        <f>IF('Net zero activities &amp; levers'!$C$14="Off",Constants!$H63*'Activity data'!BH5*Constants!$H81*FracLEACHMM*MMLeachEF*NtoN2O*kgtoGg,IF('Net zero activities &amp; levers'!$C$14="On",Constants!$H63*'Net zero Activity data'!BH5*Constants!$H81*FracLEACHMM*MMLeachEF*NtoN2O*kgtoGg,"ERROR"))</f>
        <v>0.1116034974988518</v>
      </c>
      <c r="AP1201" s="94">
        <f>IF('Net zero activities &amp; levers'!$C$14="Off",Constants!$H63*'Activity data'!BI5*Constants!$H81*FracLEACHMM*MMLeachEF*NtoN2O*kgtoGg,IF('Net zero activities &amp; levers'!$C$14="On",Constants!$H63*'Net zero Activity data'!BI5*Constants!$H81*FracLEACHMM*MMLeachEF*NtoN2O*kgtoGg,"ERROR"))</f>
        <v>0.11291437639210956</v>
      </c>
      <c r="AQ1201" s="94">
        <f>IF('Net zero activities &amp; levers'!$C$14="Off",Constants!$H63*'Activity data'!BJ5*Constants!$H81*FracLEACHMM*MMLeachEF*NtoN2O*kgtoGg,IF('Net zero activities &amp; levers'!$C$14="On",Constants!$H63*'Net zero Activity data'!BJ5*Constants!$H81*FracLEACHMM*MMLeachEF*NtoN2O*kgtoGg,"ERROR"))</f>
        <v>0.11427557081956052</v>
      </c>
      <c r="AR1201" s="94">
        <f>IF('Net zero activities &amp; levers'!$C$14="Off",Constants!$H63*'Activity data'!BK5*Constants!$H81*FracLEACHMM*MMLeachEF*NtoN2O*kgtoGg,IF('Net zero activities &amp; levers'!$C$14="On",Constants!$H63*'Net zero Activity data'!BK5*Constants!$H81*FracLEACHMM*MMLeachEF*NtoN2O*kgtoGg,"ERROR"))</f>
        <v>0.11569486271533871</v>
      </c>
      <c r="AS1201" s="94">
        <f>IF('Net zero activities &amp; levers'!$C$14="Off",Constants!$H63*'Activity data'!BL5*Constants!$H81*FracLEACHMM*MMLeachEF*NtoN2O*kgtoGg,IF('Net zero activities &amp; levers'!$C$14="On",Constants!$H63*'Net zero Activity data'!BL5*Constants!$H81*FracLEACHMM*MMLeachEF*NtoN2O*kgtoGg,"ERROR"))</f>
        <v>0.11727523367677491</v>
      </c>
      <c r="AT1201" s="94">
        <f>IF('Net zero activities &amp; levers'!$C$14="Off",Constants!$H63*'Activity data'!BM5*Constants!$H81*FracLEACHMM*MMLeachEF*NtoN2O*kgtoGg,IF('Net zero activities &amp; levers'!$C$14="On",Constants!$H63*'Net zero Activity data'!BM5*Constants!$H81*FracLEACHMM*MMLeachEF*NtoN2O*kgtoGg,"ERROR"))</f>
        <v>0.11835610910450192</v>
      </c>
      <c r="AU1201" s="94">
        <f>IF('Net zero activities &amp; levers'!$C$14="Off",Constants!$H63*'Activity data'!BN5*Constants!$H81*FracLEACHMM*MMLeachEF*NtoN2O*kgtoGg,IF('Net zero activities &amp; levers'!$C$14="On",Constants!$H63*'Net zero Activity data'!BN5*Constants!$H81*FracLEACHMM*MMLeachEF*NtoN2O*kgtoGg,"ERROR"))</f>
        <v>0.11941212579472428</v>
      </c>
      <c r="AV1201" s="94">
        <f>IF('Net zero activities &amp; levers'!$C$14="Off",Constants!$H63*'Activity data'!BO5*Constants!$H81*FracLEACHMM*MMLeachEF*NtoN2O*kgtoGg,IF('Net zero activities &amp; levers'!$C$14="On",Constants!$H63*'Net zero Activity data'!BO5*Constants!$H81*FracLEACHMM*MMLeachEF*NtoN2O*kgtoGg,"ERROR"))</f>
        <v>0.120498066178682</v>
      </c>
      <c r="AW1201" s="94">
        <f>IF('Net zero activities &amp; levers'!$C$14="Off",Constants!$H63*'Activity data'!BP5*Constants!$H81*FracLEACHMM*MMLeachEF*NtoN2O*kgtoGg,IF('Net zero activities &amp; levers'!$C$14="On",Constants!$H63*'Net zero Activity data'!BP5*Constants!$H81*FracLEACHMM*MMLeachEF*NtoN2O*kgtoGg,"ERROR"))</f>
        <v>0.12159075101335114</v>
      </c>
      <c r="AY1201" s="79"/>
    </row>
    <row r="1202" spans="1:51" x14ac:dyDescent="0.2">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2.7090100081973278E-2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2.7786681470952927E-2</v>
      </c>
      <c r="S1202" s="94">
        <f>IF('Net zero activities &amp; levers'!$C$14="Off",Constants!$H64*'Activity data'!AL6*Constants!$H82*FracLEACHMM*MMLeachEF*NtoN2O*kgtoGg,IF('Net zero activities &amp; levers'!$C$14="On",Constants!$H64*'Net zero Activity data'!AL6*Constants!$H82*FracLEACHMM*MMLeachEF*NtoN2O*kgtoGg,"ERROR"))</f>
        <v>2.7026015016948877E-2</v>
      </c>
      <c r="T1202" s="94">
        <f>IF('Net zero activities &amp; levers'!$C$14="Off",Constants!$H64*'Activity data'!AM6*Constants!$H82*FracLEACHMM*MMLeachEF*NtoN2O*kgtoGg,IF('Net zero activities &amp; levers'!$C$14="On",Constants!$H64*'Net zero Activity data'!AM6*Constants!$H82*FracLEACHMM*MMLeachEF*NtoN2O*kgtoGg,"ERROR"))</f>
        <v>2.7336602721799708E-2</v>
      </c>
      <c r="U1202" s="94">
        <f>IF('Net zero activities &amp; levers'!$C$14="Off",Constants!$H64*'Activity data'!AN6*Constants!$H82*FracLEACHMM*MMLeachEF*NtoN2O*kgtoGg,IF('Net zero activities &amp; levers'!$C$14="On",Constants!$H64*'Net zero Activity data'!AN6*Constants!$H82*FracLEACHMM*MMLeachEF*NtoN2O*kgtoGg,"ERROR"))</f>
        <v>2.7579980953625429E-2</v>
      </c>
      <c r="V1202" s="94">
        <f>IF('Net zero activities &amp; levers'!$C$14="Off",Constants!$H64*'Activity data'!AO6*Constants!$H82*FracLEACHMM*MMLeachEF*NtoN2O*kgtoGg,IF('Net zero activities &amp; levers'!$C$14="On",Constants!$H64*'Net zero Activity data'!AO6*Constants!$H82*FracLEACHMM*MMLeachEF*NtoN2O*kgtoGg,"ERROR"))</f>
        <v>2.7810555085751417E-2</v>
      </c>
      <c r="W1202" s="94">
        <f>IF('Net zero activities &amp; levers'!$C$14="Off",Constants!$H64*'Activity data'!AP6*Constants!$H82*FracLEACHMM*MMLeachEF*NtoN2O*kgtoGg,IF('Net zero activities &amp; levers'!$C$14="On",Constants!$H64*'Net zero Activity data'!AP6*Constants!$H82*FracLEACHMM*MMLeachEF*NtoN2O*kgtoGg,"ERROR"))</f>
        <v>2.8080118771534705E-2</v>
      </c>
      <c r="X1202" s="94">
        <f>IF('Net zero activities &amp; levers'!$C$14="Off",Constants!$H64*'Activity data'!AQ6*Constants!$H82*FracLEACHMM*MMLeachEF*NtoN2O*kgtoGg,IF('Net zero activities &amp; levers'!$C$14="On",Constants!$H64*'Net zero Activity data'!AQ6*Constants!$H82*FracLEACHMM*MMLeachEF*NtoN2O*kgtoGg,"ERROR"))</f>
        <v>2.8338272660595177E-2</v>
      </c>
      <c r="Y1202" s="94">
        <f>IF('Net zero activities &amp; levers'!$C$14="Off",Constants!$H64*'Activity data'!AR6*Constants!$H82*FracLEACHMM*MMLeachEF*NtoN2O*kgtoGg,IF('Net zero activities &amp; levers'!$C$14="On",Constants!$H64*'Net zero Activity data'!AR6*Constants!$H82*FracLEACHMM*MMLeachEF*NtoN2O*kgtoGg,"ERROR"))</f>
        <v>2.8554784555166308E-2</v>
      </c>
      <c r="Z1202" s="94">
        <f>IF('Net zero activities &amp; levers'!$C$14="Off",Constants!$H64*'Activity data'!AS6*Constants!$H82*FracLEACHMM*MMLeachEF*NtoN2O*kgtoGg,IF('Net zero activities &amp; levers'!$C$14="On",Constants!$H64*'Net zero Activity data'!AS6*Constants!$H82*FracLEACHMM*MMLeachEF*NtoN2O*kgtoGg,"ERROR"))</f>
        <v>2.8765282914360448E-2</v>
      </c>
      <c r="AA1202" s="94">
        <f>IF('Net zero activities &amp; levers'!$C$14="Off",Constants!$H64*'Activity data'!AT6*Constants!$H82*FracLEACHMM*MMLeachEF*NtoN2O*kgtoGg,IF('Net zero activities &amp; levers'!$C$14="On",Constants!$H64*'Net zero Activity data'!AT6*Constants!$H82*FracLEACHMM*MMLeachEF*NtoN2O*kgtoGg,"ERROR"))</f>
        <v>2.8964943424024437E-2</v>
      </c>
      <c r="AB1202" s="94">
        <f>IF('Net zero activities &amp; levers'!$C$14="Off",Constants!$H64*'Activity data'!AU6*Constants!$H82*FracLEACHMM*MMLeachEF*NtoN2O*kgtoGg,IF('Net zero activities &amp; levers'!$C$14="On",Constants!$H64*'Net zero Activity data'!AU6*Constants!$H82*FracLEACHMM*MMLeachEF*NtoN2O*kgtoGg,"ERROR"))</f>
        <v>2.9224666256062608E-2</v>
      </c>
      <c r="AC1202" s="94">
        <f>IF('Net zero activities &amp; levers'!$C$14="Off",Constants!$H64*'Activity data'!AV6*Constants!$H82*FracLEACHMM*MMLeachEF*NtoN2O*kgtoGg,IF('Net zero activities &amp; levers'!$C$14="On",Constants!$H64*'Net zero Activity data'!AV6*Constants!$H82*FracLEACHMM*MMLeachEF*NtoN2O*kgtoGg,"ERROR"))</f>
        <v>2.9483053553196983E-2</v>
      </c>
      <c r="AD1202" s="94">
        <f>IF('Net zero activities &amp; levers'!$C$14="Off",Constants!$H64*'Activity data'!AW6*Constants!$H82*FracLEACHMM*MMLeachEF*NtoN2O*kgtoGg,IF('Net zero activities &amp; levers'!$C$14="On",Constants!$H64*'Net zero Activity data'!AW6*Constants!$H82*FracLEACHMM*MMLeachEF*NtoN2O*kgtoGg,"ERROR"))</f>
        <v>2.9752626227706403E-2</v>
      </c>
      <c r="AE1202" s="94">
        <f>IF('Net zero activities &amp; levers'!$C$14="Off",Constants!$H64*'Activity data'!AX6*Constants!$H82*FracLEACHMM*MMLeachEF*NtoN2O*kgtoGg,IF('Net zero activities &amp; levers'!$C$14="On",Constants!$H64*'Net zero Activity data'!AX6*Constants!$H82*FracLEACHMM*MMLeachEF*NtoN2O*kgtoGg,"ERROR"))</f>
        <v>3.0081498837213019E-2</v>
      </c>
      <c r="AF1202" s="94">
        <f>IF('Net zero activities &amp; levers'!$C$14="Off",Constants!$H64*'Activity data'!AY6*Constants!$H82*FracLEACHMM*MMLeachEF*NtoN2O*kgtoGg,IF('Net zero activities &amp; levers'!$C$14="On",Constants!$H64*'Net zero Activity data'!AY6*Constants!$H82*FracLEACHMM*MMLeachEF*NtoN2O*kgtoGg,"ERROR"))</f>
        <v>3.0441031772612943E-2</v>
      </c>
      <c r="AG1202" s="94">
        <f>IF('Net zero activities &amp; levers'!$C$14="Off",Constants!$H64*'Activity data'!AZ6*Constants!$H82*FracLEACHMM*MMLeachEF*NtoN2O*kgtoGg,IF('Net zero activities &amp; levers'!$C$14="On",Constants!$H64*'Net zero Activity data'!AZ6*Constants!$H82*FracLEACHMM*MMLeachEF*NtoN2O*kgtoGg,"ERROR"))</f>
        <v>3.0864847164795019E-2</v>
      </c>
      <c r="AH1202" s="94">
        <f>IF('Net zero activities &amp; levers'!$C$14="Off",Constants!$H64*'Activity data'!BA6*Constants!$H82*FracLEACHMM*MMLeachEF*NtoN2O*kgtoGg,IF('Net zero activities &amp; levers'!$C$14="On",Constants!$H64*'Net zero Activity data'!BA6*Constants!$H82*FracLEACHMM*MMLeachEF*NtoN2O*kgtoGg,"ERROR"))</f>
        <v>3.1200510021948794E-2</v>
      </c>
      <c r="AI1202" s="94">
        <f>IF('Net zero activities &amp; levers'!$C$14="Off",Constants!$H64*'Activity data'!BB6*Constants!$H82*FracLEACHMM*MMLeachEF*NtoN2O*kgtoGg,IF('Net zero activities &amp; levers'!$C$14="On",Constants!$H64*'Net zero Activity data'!BB6*Constants!$H82*FracLEACHMM*MMLeachEF*NtoN2O*kgtoGg,"ERROR"))</f>
        <v>3.1512337178628218E-2</v>
      </c>
      <c r="AJ1202" s="94">
        <f>IF('Net zero activities &amp; levers'!$C$14="Off",Constants!$H64*'Activity data'!BC6*Constants!$H82*FracLEACHMM*MMLeachEF*NtoN2O*kgtoGg,IF('Net zero activities &amp; levers'!$C$14="On",Constants!$H64*'Net zero Activity data'!BC6*Constants!$H82*FracLEACHMM*MMLeachEF*NtoN2O*kgtoGg,"ERROR"))</f>
        <v>3.1858351205615788E-2</v>
      </c>
      <c r="AK1202" s="94">
        <f>IF('Net zero activities &amp; levers'!$C$14="Off",Constants!$H64*'Activity data'!BD6*Constants!$H82*FracLEACHMM*MMLeachEF*NtoN2O*kgtoGg,IF('Net zero activities &amp; levers'!$C$14="On",Constants!$H64*'Net zero Activity data'!BD6*Constants!$H82*FracLEACHMM*MMLeachEF*NtoN2O*kgtoGg,"ERROR"))</f>
        <v>3.2195074453726519E-2</v>
      </c>
      <c r="AL1202" s="94">
        <f>IF('Net zero activities &amp; levers'!$C$14="Off",Constants!$H64*'Activity data'!BE6*Constants!$H82*FracLEACHMM*MMLeachEF*NtoN2O*kgtoGg,IF('Net zero activities &amp; levers'!$C$14="On",Constants!$H64*'Net zero Activity data'!BE6*Constants!$H82*FracLEACHMM*MMLeachEF*NtoN2O*kgtoGg,"ERROR"))</f>
        <v>3.2552185772381829E-2</v>
      </c>
      <c r="AM1202" s="94">
        <f>IF('Net zero activities &amp; levers'!$C$14="Off",Constants!$H64*'Activity data'!BF6*Constants!$H82*FracLEACHMM*MMLeachEF*NtoN2O*kgtoGg,IF('Net zero activities &amp; levers'!$C$14="On",Constants!$H64*'Net zero Activity data'!BF6*Constants!$H82*FracLEACHMM*MMLeachEF*NtoN2O*kgtoGg,"ERROR"))</f>
        <v>3.2914430615133806E-2</v>
      </c>
      <c r="AN1202" s="94">
        <f>IF('Net zero activities &amp; levers'!$C$14="Off",Constants!$H64*'Activity data'!BG6*Constants!$H82*FracLEACHMM*MMLeachEF*NtoN2O*kgtoGg,IF('Net zero activities &amp; levers'!$C$14="On",Constants!$H64*'Net zero Activity data'!BG6*Constants!$H82*FracLEACHMM*MMLeachEF*NtoN2O*kgtoGg,"ERROR"))</f>
        <v>3.331476452942278E-2</v>
      </c>
      <c r="AO1202" s="94">
        <f>IF('Net zero activities &amp; levers'!$C$14="Off",Constants!$H64*'Activity data'!BH6*Constants!$H82*FracLEACHMM*MMLeachEF*NtoN2O*kgtoGg,IF('Net zero activities &amp; levers'!$C$14="On",Constants!$H64*'Net zero Activity data'!BH6*Constants!$H82*FracLEACHMM*MMLeachEF*NtoN2O*kgtoGg,"ERROR"))</f>
        <v>3.370142486097568E-2</v>
      </c>
      <c r="AP1202" s="94">
        <f>IF('Net zero activities &amp; levers'!$C$14="Off",Constants!$H64*'Activity data'!BI6*Constants!$H82*FracLEACHMM*MMLeachEF*NtoN2O*kgtoGg,IF('Net zero activities &amp; levers'!$C$14="On",Constants!$H64*'Net zero Activity data'!BI6*Constants!$H82*FracLEACHMM*MMLeachEF*NtoN2O*kgtoGg,"ERROR"))</f>
        <v>3.4097277029707398E-2</v>
      </c>
      <c r="AQ1202" s="94">
        <f>IF('Net zero activities &amp; levers'!$C$14="Off",Constants!$H64*'Activity data'!BJ6*Constants!$H82*FracLEACHMM*MMLeachEF*NtoN2O*kgtoGg,IF('Net zero activities &amp; levers'!$C$14="On",Constants!$H64*'Net zero Activity data'!BJ6*Constants!$H82*FracLEACHMM*MMLeachEF*NtoN2O*kgtoGg,"ERROR"))</f>
        <v>3.4508323213259036E-2</v>
      </c>
      <c r="AR1202" s="94">
        <f>IF('Net zero activities &amp; levers'!$C$14="Off",Constants!$H64*'Activity data'!BK6*Constants!$H82*FracLEACHMM*MMLeachEF*NtoN2O*kgtoGg,IF('Net zero activities &amp; levers'!$C$14="On",Constants!$H64*'Net zero Activity data'!BK6*Constants!$H82*FracLEACHMM*MMLeachEF*NtoN2O*kgtoGg,"ERROR"))</f>
        <v>3.4936913358311179E-2</v>
      </c>
      <c r="AS1202" s="94">
        <f>IF('Net zero activities &amp; levers'!$C$14="Off",Constants!$H64*'Activity data'!BL6*Constants!$H82*FracLEACHMM*MMLeachEF*NtoN2O*kgtoGg,IF('Net zero activities &amp; levers'!$C$14="On",Constants!$H64*'Net zero Activity data'!BL6*Constants!$H82*FracLEACHMM*MMLeachEF*NtoN2O*kgtoGg,"ERROR"))</f>
        <v>3.5414145294611905E-2</v>
      </c>
      <c r="AT1202" s="94">
        <f>IF('Net zero activities &amp; levers'!$C$14="Off",Constants!$H64*'Activity data'!BM6*Constants!$H82*FracLEACHMM*MMLeachEF*NtoN2O*kgtoGg,IF('Net zero activities &amp; levers'!$C$14="On",Constants!$H64*'Net zero Activity data'!BM6*Constants!$H82*FracLEACHMM*MMLeachEF*NtoN2O*kgtoGg,"ERROR"))</f>
        <v>3.5740542251947324E-2</v>
      </c>
      <c r="AU1202" s="94">
        <f>IF('Net zero activities &amp; levers'!$C$14="Off",Constants!$H64*'Activity data'!BN6*Constants!$H82*FracLEACHMM*MMLeachEF*NtoN2O*kgtoGg,IF('Net zero activities &amp; levers'!$C$14="On",Constants!$H64*'Net zero Activity data'!BN6*Constants!$H82*FracLEACHMM*MMLeachEF*NtoN2O*kgtoGg,"ERROR"))</f>
        <v>3.6059432501223176E-2</v>
      </c>
      <c r="AV1202" s="94">
        <f>IF('Net zero activities &amp; levers'!$C$14="Off",Constants!$H64*'Activity data'!BO6*Constants!$H82*FracLEACHMM*MMLeachEF*NtoN2O*kgtoGg,IF('Net zero activities &amp; levers'!$C$14="On",Constants!$H64*'Net zero Activity data'!BO6*Constants!$H82*FracLEACHMM*MMLeachEF*NtoN2O*kgtoGg,"ERROR"))</f>
        <v>3.638735894684221E-2</v>
      </c>
      <c r="AW1202" s="94">
        <f>IF('Net zero activities &amp; levers'!$C$14="Off",Constants!$H64*'Activity data'!BP6*Constants!$H82*FracLEACHMM*MMLeachEF*NtoN2O*kgtoGg,IF('Net zero activities &amp; levers'!$C$14="On",Constants!$H64*'Net zero Activity data'!BP6*Constants!$H82*FracLEACHMM*MMLeachEF*NtoN2O*kgtoGg,"ERROR"))</f>
        <v>3.6717322045469181E-2</v>
      </c>
      <c r="AY1202" s="79"/>
    </row>
    <row r="1203" spans="1:51" x14ac:dyDescent="0.2">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1.4564639612104711E-3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1.4802406304505133E-3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1.4939147526814823E-3</v>
      </c>
      <c r="S1203" s="94">
        <f>IF('Net zero activities &amp; levers'!$C$14="Off",Constants!$H65*'Activity data'!AL7*Constants!$H83*FracLEACHMM*MMLeachEF*NtoN2O*kgtoGg,IF('Net zero activities &amp; levers'!$C$14="On",Constants!$H65*'Net zero Activity data'!AL7*Constants!$H83*FracLEACHMM*MMLeachEF*NtoN2O*kgtoGg,"ERROR"))</f>
        <v>1.4530185111243717E-3</v>
      </c>
      <c r="T1203" s="94">
        <f>IF('Net zero activities &amp; levers'!$C$14="Off",Constants!$H65*'Activity data'!AM7*Constants!$H83*FracLEACHMM*MMLeachEF*NtoN2O*kgtoGg,IF('Net zero activities &amp; levers'!$C$14="On",Constants!$H65*'Net zero Activity data'!AM7*Constants!$H83*FracLEACHMM*MMLeachEF*NtoN2O*kgtoGg,"ERROR"))</f>
        <v>1.4697168547089842E-3</v>
      </c>
      <c r="U1203" s="94">
        <f>IF('Net zero activities &amp; levers'!$C$14="Off",Constants!$H65*'Activity data'!AN7*Constants!$H83*FracLEACHMM*MMLeachEF*NtoN2O*kgtoGg,IF('Net zero activities &amp; levers'!$C$14="On",Constants!$H65*'Net zero Activity data'!AN7*Constants!$H83*FracLEACHMM*MMLeachEF*NtoN2O*kgtoGg,"ERROR"))</f>
        <v>1.4828017684791316E-3</v>
      </c>
      <c r="V1203" s="94">
        <f>IF('Net zero activities &amp; levers'!$C$14="Off",Constants!$H65*'Activity data'!AO7*Constants!$H83*FracLEACHMM*MMLeachEF*NtoN2O*kgtoGg,IF('Net zero activities &amp; levers'!$C$14="On",Constants!$H65*'Net zero Activity data'!AO7*Constants!$H83*FracLEACHMM*MMLeachEF*NtoN2O*kgtoGg,"ERROR"))</f>
        <v>1.4951982864990986E-3</v>
      </c>
      <c r="W1203" s="94">
        <f>IF('Net zero activities &amp; levers'!$C$14="Off",Constants!$H65*'Activity data'!AP7*Constants!$H83*FracLEACHMM*MMLeachEF*NtoN2O*kgtoGg,IF('Net zero activities &amp; levers'!$C$14="On",Constants!$H65*'Net zero Activity data'!AP7*Constants!$H83*FracLEACHMM*MMLeachEF*NtoN2O*kgtoGg,"ERROR"))</f>
        <v>1.5096910271093734E-3</v>
      </c>
      <c r="X1203" s="94">
        <f>IF('Net zero activities &amp; levers'!$C$14="Off",Constants!$H65*'Activity data'!AQ7*Constants!$H83*FracLEACHMM*MMLeachEF*NtoN2O*kgtoGg,IF('Net zero activities &amp; levers'!$C$14="On",Constants!$H65*'Net zero Activity data'!AQ7*Constants!$H83*FracLEACHMM*MMLeachEF*NtoN2O*kgtoGg,"ERROR"))</f>
        <v>1.5235703348537217E-3</v>
      </c>
      <c r="Y1203" s="94">
        <f>IF('Net zero activities &amp; levers'!$C$14="Off",Constants!$H65*'Activity data'!AR7*Constants!$H83*FracLEACHMM*MMLeachEF*NtoN2O*kgtoGg,IF('Net zero activities &amp; levers'!$C$14="On",Constants!$H65*'Net zero Activity data'!AR7*Constants!$H83*FracLEACHMM*MMLeachEF*NtoN2O*kgtoGg,"ERROR"))</f>
        <v>1.5352108149797475E-3</v>
      </c>
      <c r="Z1203" s="94">
        <f>IF('Net zero activities &amp; levers'!$C$14="Off",Constants!$H65*'Activity data'!AS7*Constants!$H83*FracLEACHMM*MMLeachEF*NtoN2O*kgtoGg,IF('Net zero activities &amp; levers'!$C$14="On",Constants!$H65*'Net zero Activity data'!AS7*Constants!$H83*FracLEACHMM*MMLeachEF*NtoN2O*kgtoGg,"ERROR"))</f>
        <v>1.5465279852054938E-3</v>
      </c>
      <c r="AA1203" s="94">
        <f>IF('Net zero activities &amp; levers'!$C$14="Off",Constants!$H65*'Activity data'!AT7*Constants!$H83*FracLEACHMM*MMLeachEF*NtoN2O*kgtoGg,IF('Net zero activities &amp; levers'!$C$14="On",Constants!$H65*'Net zero Activity data'!AT7*Constants!$H83*FracLEACHMM*MMLeachEF*NtoN2O*kgtoGg,"ERROR"))</f>
        <v>1.5572624725614869E-3</v>
      </c>
      <c r="AB1203" s="94">
        <f>IF('Net zero activities &amp; levers'!$C$14="Off",Constants!$H65*'Activity data'!AU7*Constants!$H83*FracLEACHMM*MMLeachEF*NtoN2O*kgtoGg,IF('Net zero activities &amp; levers'!$C$14="On",Constants!$H65*'Net zero Activity data'!AU7*Constants!$H83*FracLEACHMM*MMLeachEF*NtoN2O*kgtoGg,"ERROR"))</f>
        <v>1.5712261324823602E-3</v>
      </c>
      <c r="AC1203" s="94">
        <f>IF('Net zero activities &amp; levers'!$C$14="Off",Constants!$H65*'Activity data'!AV7*Constants!$H83*FracLEACHMM*MMLeachEF*NtoN2O*kgtoGg,IF('Net zero activities &amp; levers'!$C$14="On",Constants!$H65*'Net zero Activity data'!AV7*Constants!$H83*FracLEACHMM*MMLeachEF*NtoN2O*kgtoGg,"ERROR"))</f>
        <v>1.5851179891079189E-3</v>
      </c>
      <c r="AD1203" s="94">
        <f>IF('Net zero activities &amp; levers'!$C$14="Off",Constants!$H65*'Activity data'!AW7*Constants!$H83*FracLEACHMM*MMLeachEF*NtoN2O*kgtoGg,IF('Net zero activities &amp; levers'!$C$14="On",Constants!$H65*'Net zero Activity data'!AW7*Constants!$H83*FracLEACHMM*MMLeachEF*NtoN2O*kgtoGg,"ERROR"))</f>
        <v>1.5996112129853511E-3</v>
      </c>
      <c r="AE1203" s="94">
        <f>IF('Net zero activities &amp; levers'!$C$14="Off",Constants!$H65*'Activity data'!AX7*Constants!$H83*FracLEACHMM*MMLeachEF*NtoN2O*kgtoGg,IF('Net zero activities &amp; levers'!$C$14="On",Constants!$H65*'Net zero Activity data'!AX7*Constants!$H83*FracLEACHMM*MMLeachEF*NtoN2O*kgtoGg,"ERROR"))</f>
        <v>1.6172926206629243E-3</v>
      </c>
      <c r="AF1203" s="94">
        <f>IF('Net zero activities &amp; levers'!$C$14="Off",Constants!$H65*'Activity data'!AY7*Constants!$H83*FracLEACHMM*MMLeachEF*NtoN2O*kgtoGg,IF('Net zero activities &amp; levers'!$C$14="On",Constants!$H65*'Net zero Activity data'!AY7*Constants!$H83*FracLEACHMM*MMLeachEF*NtoN2O*kgtoGg,"ERROR"))</f>
        <v>1.636622440844233E-3</v>
      </c>
      <c r="AG1203" s="94">
        <f>IF('Net zero activities &amp; levers'!$C$14="Off",Constants!$H65*'Activity data'!AZ7*Constants!$H83*FracLEACHMM*MMLeachEF*NtoN2O*kgtoGg,IF('Net zero activities &amp; levers'!$C$14="On",Constants!$H65*'Net zero Activity data'!AZ7*Constants!$H83*FracLEACHMM*MMLeachEF*NtoN2O*kgtoGg,"ERROR"))</f>
        <v>1.6594083236225038E-3</v>
      </c>
      <c r="AH1203" s="94">
        <f>IF('Net zero activities &amp; levers'!$C$14="Off",Constants!$H65*'Activity data'!BA7*Constants!$H83*FracLEACHMM*MMLeachEF*NtoN2O*kgtoGg,IF('Net zero activities &amp; levers'!$C$14="On",Constants!$H65*'Net zero Activity data'!BA7*Constants!$H83*FracLEACHMM*MMLeachEF*NtoN2O*kgtoGg,"ERROR"))</f>
        <v>1.6774548001243291E-3</v>
      </c>
      <c r="AI1203" s="94">
        <f>IF('Net zero activities &amp; levers'!$C$14="Off",Constants!$H65*'Activity data'!BB7*Constants!$H83*FracLEACHMM*MMLeachEF*NtoN2O*kgtoGg,IF('Net zero activities &amp; levers'!$C$14="On",Constants!$H65*'Net zero Activity data'!BB7*Constants!$H83*FracLEACHMM*MMLeachEF*NtoN2O*kgtoGg,"ERROR"))</f>
        <v>1.6942197812228126E-3</v>
      </c>
      <c r="AJ1203" s="94">
        <f>IF('Net zero activities &amp; levers'!$C$14="Off",Constants!$H65*'Activity data'!BC7*Constants!$H83*FracLEACHMM*MMLeachEF*NtoN2O*kgtoGg,IF('Net zero activities &amp; levers'!$C$14="On",Constants!$H65*'Net zero Activity data'!BC7*Constants!$H83*FracLEACHMM*MMLeachEF*NtoN2O*kgtoGg,"ERROR"))</f>
        <v>1.7128227748941451E-3</v>
      </c>
      <c r="AK1203" s="94">
        <f>IF('Net zero activities &amp; levers'!$C$14="Off",Constants!$H65*'Activity data'!BD7*Constants!$H83*FracLEACHMM*MMLeachEF*NtoN2O*kgtoGg,IF('Net zero activities &amp; levers'!$C$14="On",Constants!$H65*'Net zero Activity data'!BD7*Constants!$H83*FracLEACHMM*MMLeachEF*NtoN2O*kgtoGg,"ERROR"))</f>
        <v>1.7309262619352049E-3</v>
      </c>
      <c r="AL1203" s="94">
        <f>IF('Net zero activities &amp; levers'!$C$14="Off",Constants!$H65*'Activity data'!BE7*Constants!$H83*FracLEACHMM*MMLeachEF*NtoN2O*kgtoGg,IF('Net zero activities &amp; levers'!$C$14="On",Constants!$H65*'Net zero Activity data'!BE7*Constants!$H83*FracLEACHMM*MMLeachEF*NtoN2O*kgtoGg,"ERROR"))</f>
        <v>1.7501258870450394E-3</v>
      </c>
      <c r="AM1203" s="94">
        <f>IF('Net zero activities &amp; levers'!$C$14="Off",Constants!$H65*'Activity data'!BF7*Constants!$H83*FracLEACHMM*MMLeachEF*NtoN2O*kgtoGg,IF('Net zero activities &amp; levers'!$C$14="On",Constants!$H65*'Net zero Activity data'!BF7*Constants!$H83*FracLEACHMM*MMLeachEF*NtoN2O*kgtoGg,"ERROR"))</f>
        <v>1.7696015093943904E-3</v>
      </c>
      <c r="AN1203" s="94">
        <f>IF('Net zero activities &amp; levers'!$C$14="Off",Constants!$H65*'Activity data'!BG7*Constants!$H83*FracLEACHMM*MMLeachEF*NtoN2O*kgtoGg,IF('Net zero activities &amp; levers'!$C$14="On",Constants!$H65*'Net zero Activity data'!BG7*Constants!$H83*FracLEACHMM*MMLeachEF*NtoN2O*kgtoGg,"ERROR"))</f>
        <v>1.7911249410852239E-3</v>
      </c>
      <c r="AO1203" s="94">
        <f>IF('Net zero activities &amp; levers'!$C$14="Off",Constants!$H65*'Activity data'!BH7*Constants!$H83*FracLEACHMM*MMLeachEF*NtoN2O*kgtoGg,IF('Net zero activities &amp; levers'!$C$14="On",Constants!$H65*'Net zero Activity data'!BH7*Constants!$H83*FracLEACHMM*MMLeachEF*NtoN2O*kgtoGg,"ERROR"))</f>
        <v>1.8119132304024437E-3</v>
      </c>
      <c r="AP1203" s="94">
        <f>IF('Net zero activities &amp; levers'!$C$14="Off",Constants!$H65*'Activity data'!BI7*Constants!$H83*FracLEACHMM*MMLeachEF*NtoN2O*kgtoGg,IF('Net zero activities &amp; levers'!$C$14="On",Constants!$H65*'Net zero Activity data'!BI7*Constants!$H83*FracLEACHMM*MMLeachEF*NtoN2O*kgtoGg,"ERROR"))</f>
        <v>1.8331957068783579E-3</v>
      </c>
      <c r="AQ1203" s="94">
        <f>IF('Net zero activities &amp; levers'!$C$14="Off",Constants!$H65*'Activity data'!BJ7*Constants!$H83*FracLEACHMM*MMLeachEF*NtoN2O*kgtoGg,IF('Net zero activities &amp; levers'!$C$14="On",Constants!$H65*'Net zero Activity data'!BJ7*Constants!$H83*FracLEACHMM*MMLeachEF*NtoN2O*kgtoGg,"ERROR"))</f>
        <v>1.8552950697793623E-3</v>
      </c>
      <c r="AR1203" s="94">
        <f>IF('Net zero activities &amp; levers'!$C$14="Off",Constants!$H65*'Activity data'!BK7*Constants!$H83*FracLEACHMM*MMLeachEF*NtoN2O*kgtoGg,IF('Net zero activities &amp; levers'!$C$14="On",Constants!$H65*'Net zero Activity data'!BK7*Constants!$H83*FracLEACHMM*MMLeachEF*NtoN2O*kgtoGg,"ERROR"))</f>
        <v>1.8783376609292489E-3</v>
      </c>
      <c r="AS1203" s="94">
        <f>IF('Net zero activities &amp; levers'!$C$14="Off",Constants!$H65*'Activity data'!BL7*Constants!$H83*FracLEACHMM*MMLeachEF*NtoN2O*kgtoGg,IF('Net zero activities &amp; levers'!$C$14="On",Constants!$H65*'Net zero Activity data'!BL7*Constants!$H83*FracLEACHMM*MMLeachEF*NtoN2O*kgtoGg,"ERROR"))</f>
        <v>1.9039954146569001E-3</v>
      </c>
      <c r="AT1203" s="94">
        <f>IF('Net zero activities &amp; levers'!$C$14="Off",Constants!$H65*'Activity data'!BM7*Constants!$H83*FracLEACHMM*MMLeachEF*NtoN2O*kgtoGg,IF('Net zero activities &amp; levers'!$C$14="On",Constants!$H65*'Net zero Activity data'!BM7*Constants!$H83*FracLEACHMM*MMLeachEF*NtoN2O*kgtoGg,"ERROR"))</f>
        <v>1.9215437221186409E-3</v>
      </c>
      <c r="AU1203" s="94">
        <f>IF('Net zero activities &amp; levers'!$C$14="Off",Constants!$H65*'Activity data'!BN7*Constants!$H83*FracLEACHMM*MMLeachEF*NtoN2O*kgtoGg,IF('Net zero activities &amp; levers'!$C$14="On",Constants!$H65*'Net zero Activity data'!BN7*Constants!$H83*FracLEACHMM*MMLeachEF*NtoN2O*kgtoGg,"ERROR"))</f>
        <v>1.938688441194845E-3</v>
      </c>
      <c r="AV1203" s="94">
        <f>IF('Net zero activities &amp; levers'!$C$14="Off",Constants!$H65*'Activity data'!BO7*Constants!$H83*FracLEACHMM*MMLeachEF*NtoN2O*kgtoGg,IF('Net zero activities &amp; levers'!$C$14="On",Constants!$H65*'Net zero Activity data'!BO7*Constants!$H83*FracLEACHMM*MMLeachEF*NtoN2O*kgtoGg,"ERROR"))</f>
        <v>1.9563189796028518E-3</v>
      </c>
      <c r="AW1203" s="94">
        <f>IF('Net zero activities &amp; levers'!$C$14="Off",Constants!$H65*'Activity data'!BP7*Constants!$H83*FracLEACHMM*MMLeachEF*NtoN2O*kgtoGg,IF('Net zero activities &amp; levers'!$C$14="On",Constants!$H65*'Net zero Activity data'!BP7*Constants!$H83*FracLEACHMM*MMLeachEF*NtoN2O*kgtoGg,"ERROR"))</f>
        <v>1.9740590160082297E-3</v>
      </c>
      <c r="AY1203" s="79"/>
    </row>
    <row r="1204" spans="1:51" x14ac:dyDescent="0.2">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3.030301439269115E-2</v>
      </c>
      <c r="L1204" s="94">
        <f>IF('Net zero activities &amp; levers'!$C$14="Off",Constants!$H66*'Activity data'!AE8*Constants!$H84*FracLEACHMM*MMLeachEF*NtoN2O*kgtoGg,IF('Net zero activities &amp; levers'!$C$14="On",Constants!$H66*'Net zero Activity data'!AE8*Constants!$H84*FracLEACHMM*MMLeachEF*NtoN2O*kgtoGg,"ERROR"))</f>
        <v>3.0040206026371367E-2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2.896001473012887E-2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2.4017837723924858E-2</v>
      </c>
      <c r="T1204" s="94">
        <f>IF('Net zero activities &amp; levers'!$C$14="Off",Constants!$H66*'Activity data'!AM8*Constants!$H84*FracLEACHMM*MMLeachEF*NtoN2O*kgtoGg,IF('Net zero activities &amp; levers'!$C$14="On",Constants!$H66*'Net zero Activity data'!AM8*Constants!$H84*FracLEACHMM*MMLeachEF*NtoN2O*kgtoGg,"ERROR"))</f>
        <v>2.4477250922769193E-2</v>
      </c>
      <c r="U1204" s="94">
        <f>IF('Net zero activities &amp; levers'!$C$14="Off",Constants!$H66*'Activity data'!AN8*Constants!$H84*FracLEACHMM*MMLeachEF*NtoN2O*kgtoGg,IF('Net zero activities &amp; levers'!$C$14="On",Constants!$H66*'Net zero Activity data'!AN8*Constants!$H84*FracLEACHMM*MMLeachEF*NtoN2O*kgtoGg,"ERROR"))</f>
        <v>2.4722881599244746E-2</v>
      </c>
      <c r="V1204" s="94">
        <f>IF('Net zero activities &amp; levers'!$C$14="Off",Constants!$H66*'Activity data'!AO8*Constants!$H84*FracLEACHMM*MMLeachEF*NtoN2O*kgtoGg,IF('Net zero activities &amp; levers'!$C$14="On",Constants!$H66*'Net zero Activity data'!AO8*Constants!$H84*FracLEACHMM*MMLeachEF*NtoN2O*kgtoGg,"ERROR"))</f>
        <v>2.4911965822405392E-2</v>
      </c>
      <c r="W1204" s="94">
        <f>IF('Net zero activities &amp; levers'!$C$14="Off",Constants!$H66*'Activity data'!AP8*Constants!$H84*FracLEACHMM*MMLeachEF*NtoN2O*kgtoGg,IF('Net zero activities &amp; levers'!$C$14="On",Constants!$H66*'Net zero Activity data'!AP8*Constants!$H84*FracLEACHMM*MMLeachEF*NtoN2O*kgtoGg,"ERROR"))</f>
        <v>2.5185541319014813E-2</v>
      </c>
      <c r="X1204" s="94">
        <f>IF('Net zero activities &amp; levers'!$C$14="Off",Constants!$H66*'Activity data'!AQ8*Constants!$H84*FracLEACHMM*MMLeachEF*NtoN2O*kgtoGg,IF('Net zero activities &amp; levers'!$C$14="On",Constants!$H66*'Net zero Activity data'!AQ8*Constants!$H84*FracLEACHMM*MMLeachEF*NtoN2O*kgtoGg,"ERROR"))</f>
        <v>2.5407562443653844E-2</v>
      </c>
      <c r="Y1204" s="94">
        <f>IF('Net zero activities &amp; levers'!$C$14="Off",Constants!$H66*'Activity data'!AR8*Constants!$H84*FracLEACHMM*MMLeachEF*NtoN2O*kgtoGg,IF('Net zero activities &amp; levers'!$C$14="On",Constants!$H66*'Net zero Activity data'!AR8*Constants!$H84*FracLEACHMM*MMLeachEF*NtoN2O*kgtoGg,"ERROR"))</f>
        <v>2.5550689603830473E-2</v>
      </c>
      <c r="Z1204" s="94">
        <f>IF('Net zero activities &amp; levers'!$C$14="Off",Constants!$H66*'Activity data'!AS8*Constants!$H84*FracLEACHMM*MMLeachEF*NtoN2O*kgtoGg,IF('Net zero activities &amp; levers'!$C$14="On",Constants!$H66*'Net zero Activity data'!AS8*Constants!$H84*FracLEACHMM*MMLeachEF*NtoN2O*kgtoGg,"ERROR"))</f>
        <v>2.5662103388614917E-2</v>
      </c>
      <c r="AA1204" s="94">
        <f>IF('Net zero activities &amp; levers'!$C$14="Off",Constants!$H66*'Activity data'!AT8*Constants!$H84*FracLEACHMM*MMLeachEF*NtoN2O*kgtoGg,IF('Net zero activities &amp; levers'!$C$14="On",Constants!$H66*'Net zero Activity data'!AT8*Constants!$H84*FracLEACHMM*MMLeachEF*NtoN2O*kgtoGg,"ERROR"))</f>
        <v>2.5731155592918373E-2</v>
      </c>
      <c r="AB1204" s="94">
        <f>IF('Net zero activities &amp; levers'!$C$14="Off",Constants!$H66*'Activity data'!AU8*Constants!$H84*FracLEACHMM*MMLeachEF*NtoN2O*kgtoGg,IF('Net zero activities &amp; levers'!$C$14="On",Constants!$H66*'Net zero Activity data'!AU8*Constants!$H84*FracLEACHMM*MMLeachEF*NtoN2O*kgtoGg,"ERROR"))</f>
        <v>2.593557725784186E-2</v>
      </c>
      <c r="AC1204" s="94">
        <f>IF('Net zero activities &amp; levers'!$C$14="Off",Constants!$H66*'Activity data'!AV8*Constants!$H84*FracLEACHMM*MMLeachEF*NtoN2O*kgtoGg,IF('Net zero activities &amp; levers'!$C$14="On",Constants!$H66*'Net zero Activity data'!AV8*Constants!$H84*FracLEACHMM*MMLeachEF*NtoN2O*kgtoGg,"ERROR"))</f>
        <v>2.611950739638573E-2</v>
      </c>
      <c r="AD1204" s="94">
        <f>IF('Net zero activities &amp; levers'!$C$14="Off",Constants!$H66*'Activity data'!AW8*Constants!$H84*FracLEACHMM*MMLeachEF*NtoN2O*kgtoGg,IF('Net zero activities &amp; levers'!$C$14="On",Constants!$H66*'Net zero Activity data'!AW8*Constants!$H84*FracLEACHMM*MMLeachEF*NtoN2O*kgtoGg,"ERROR"))</f>
        <v>2.6128993823789925E-2</v>
      </c>
      <c r="AE1204" s="94">
        <f>IF('Net zero activities &amp; levers'!$C$14="Off",Constants!$H66*'Activity data'!AX8*Constants!$H84*FracLEACHMM*MMLeachEF*NtoN2O*kgtoGg,IF('Net zero activities &amp; levers'!$C$14="On",Constants!$H66*'Net zero Activity data'!AX8*Constants!$H84*FracLEACHMM*MMLeachEF*NtoN2O*kgtoGg,"ERROR"))</f>
        <v>2.6252210081774377E-2</v>
      </c>
      <c r="AF1204" s="94">
        <f>IF('Net zero activities &amp; levers'!$C$14="Off",Constants!$H66*'Activity data'!AY8*Constants!$H84*FracLEACHMM*MMLeachEF*NtoN2O*kgtoGg,IF('Net zero activities &amp; levers'!$C$14="On",Constants!$H66*'Net zero Activity data'!AY8*Constants!$H84*FracLEACHMM*MMLeachEF*NtoN2O*kgtoGg,"ERROR"))</f>
        <v>2.641514740098018E-2</v>
      </c>
      <c r="AG1204" s="94">
        <f>IF('Net zero activities &amp; levers'!$C$14="Off",Constants!$H66*'Activity data'!AZ8*Constants!$H84*FracLEACHMM*MMLeachEF*NtoN2O*kgtoGg,IF('Net zero activities &amp; levers'!$C$14="On",Constants!$H66*'Net zero Activity data'!AZ8*Constants!$H84*FracLEACHMM*MMLeachEF*NtoN2O*kgtoGg,"ERROR"))</f>
        <v>2.6688702803580544E-2</v>
      </c>
      <c r="AH1204" s="94">
        <f>IF('Net zero activities &amp; levers'!$C$14="Off",Constants!$H66*'Activity data'!BA8*Constants!$H84*FracLEACHMM*MMLeachEF*NtoN2O*kgtoGg,IF('Net zero activities &amp; levers'!$C$14="On",Constants!$H66*'Net zero Activity data'!BA8*Constants!$H84*FracLEACHMM*MMLeachEF*NtoN2O*kgtoGg,"ERROR"))</f>
        <v>2.6732393968630815E-2</v>
      </c>
      <c r="AI1204" s="94">
        <f>IF('Net zero activities &amp; levers'!$C$14="Off",Constants!$H66*'Activity data'!BB8*Constants!$H84*FracLEACHMM*MMLeachEF*NtoN2O*kgtoGg,IF('Net zero activities &amp; levers'!$C$14="On",Constants!$H66*'Net zero Activity data'!BB8*Constants!$H84*FracLEACHMM*MMLeachEF*NtoN2O*kgtoGg,"ERROR"))</f>
        <v>2.6727807661606592E-2</v>
      </c>
      <c r="AJ1204" s="94">
        <f>IF('Net zero activities &amp; levers'!$C$14="Off",Constants!$H66*'Activity data'!BC8*Constants!$H84*FracLEACHMM*MMLeachEF*NtoN2O*kgtoGg,IF('Net zero activities &amp; levers'!$C$14="On",Constants!$H66*'Net zero Activity data'!BC8*Constants!$H84*FracLEACHMM*MMLeachEF*NtoN2O*kgtoGg,"ERROR"))</f>
        <v>2.6767943392537564E-2</v>
      </c>
      <c r="AK1204" s="94">
        <f>IF('Net zero activities &amp; levers'!$C$14="Off",Constants!$H66*'Activity data'!BD8*Constants!$H84*FracLEACHMM*MMLeachEF*NtoN2O*kgtoGg,IF('Net zero activities &amp; levers'!$C$14="On",Constants!$H66*'Net zero Activity data'!BD8*Constants!$H84*FracLEACHMM*MMLeachEF*NtoN2O*kgtoGg,"ERROR"))</f>
        <v>2.6760535459775924E-2</v>
      </c>
      <c r="AL1204" s="94">
        <f>IF('Net zero activities &amp; levers'!$C$14="Off",Constants!$H66*'Activity data'!BE8*Constants!$H84*FracLEACHMM*MMLeachEF*NtoN2O*kgtoGg,IF('Net zero activities &amp; levers'!$C$14="On",Constants!$H66*'Net zero Activity data'!BE8*Constants!$H84*FracLEACHMM*MMLeachEF*NtoN2O*kgtoGg,"ERROR"))</f>
        <v>2.6766203431131164E-2</v>
      </c>
      <c r="AM1204" s="94">
        <f>IF('Net zero activities &amp; levers'!$C$14="Off",Constants!$H66*'Activity data'!BF8*Constants!$H84*FracLEACHMM*MMLeachEF*NtoN2O*kgtoGg,IF('Net zero activities &amp; levers'!$C$14="On",Constants!$H66*'Net zero Activity data'!BF8*Constants!$H84*FracLEACHMM*MMLeachEF*NtoN2O*kgtoGg,"ERROR"))</f>
        <v>2.675334011268881E-2</v>
      </c>
      <c r="AN1204" s="94">
        <f>IF('Net zero activities &amp; levers'!$C$14="Off",Constants!$H66*'Activity data'!BG8*Constants!$H84*FracLEACHMM*MMLeachEF*NtoN2O*kgtoGg,IF('Net zero activities &amp; levers'!$C$14="On",Constants!$H66*'Net zero Activity data'!BG8*Constants!$H84*FracLEACHMM*MMLeachEF*NtoN2O*kgtoGg,"ERROR"))</f>
        <v>2.694535805594156E-2</v>
      </c>
      <c r="AO1204" s="94">
        <f>IF('Net zero activities &amp; levers'!$C$14="Off",Constants!$H66*'Activity data'!BH8*Constants!$H84*FracLEACHMM*MMLeachEF*NtoN2O*kgtoGg,IF('Net zero activities &amp; levers'!$C$14="On",Constants!$H66*'Net zero Activity data'!BH8*Constants!$H84*FracLEACHMM*MMLeachEF*NtoN2O*kgtoGg,"ERROR"))</f>
        <v>2.7085830082425877E-2</v>
      </c>
      <c r="AP1204" s="94">
        <f>IF('Net zero activities &amp; levers'!$C$14="Off",Constants!$H66*'Activity data'!BI8*Constants!$H84*FracLEACHMM*MMLeachEF*NtoN2O*kgtoGg,IF('Net zero activities &amp; levers'!$C$14="On",Constants!$H66*'Net zero Activity data'!BI8*Constants!$H84*FracLEACHMM*MMLeachEF*NtoN2O*kgtoGg,"ERROR"))</f>
        <v>2.7218197229606188E-2</v>
      </c>
      <c r="AQ1204" s="94">
        <f>IF('Net zero activities &amp; levers'!$C$14="Off",Constants!$H66*'Activity data'!BJ8*Constants!$H84*FracLEACHMM*MMLeachEF*NtoN2O*kgtoGg,IF('Net zero activities &amp; levers'!$C$14="On",Constants!$H66*'Net zero Activity data'!BJ8*Constants!$H84*FracLEACHMM*MMLeachEF*NtoN2O*kgtoGg,"ERROR"))</f>
        <v>2.7352587206499832E-2</v>
      </c>
      <c r="AR1204" s="94">
        <f>IF('Net zero activities &amp; levers'!$C$14="Off",Constants!$H66*'Activity data'!BK8*Constants!$H84*FracLEACHMM*MMLeachEF*NtoN2O*kgtoGg,IF('Net zero activities &amp; levers'!$C$14="On",Constants!$H66*'Net zero Activity data'!BK8*Constants!$H84*FracLEACHMM*MMLeachEF*NtoN2O*kgtoGg,"ERROR"))</f>
        <v>2.7491914385096024E-2</v>
      </c>
      <c r="AS1204" s="94">
        <f>IF('Net zero activities &amp; levers'!$C$14="Off",Constants!$H66*'Activity data'!BL8*Constants!$H84*FracLEACHMM*MMLeachEF*NtoN2O*kgtoGg,IF('Net zero activities &amp; levers'!$C$14="On",Constants!$H66*'Net zero Activity data'!BL8*Constants!$H84*FracLEACHMM*MMLeachEF*NtoN2O*kgtoGg,"ERROR"))</f>
        <v>2.7710256058660829E-2</v>
      </c>
      <c r="AT1204" s="94">
        <f>IF('Net zero activities &amp; levers'!$C$14="Off",Constants!$H66*'Activity data'!BM8*Constants!$H84*FracLEACHMM*MMLeachEF*NtoN2O*kgtoGg,IF('Net zero activities &amp; levers'!$C$14="On",Constants!$H66*'Net zero Activity data'!BM8*Constants!$H84*FracLEACHMM*MMLeachEF*NtoN2O*kgtoGg,"ERROR"))</f>
        <v>2.7648758084134469E-2</v>
      </c>
      <c r="AU1204" s="94">
        <f>IF('Net zero activities &amp; levers'!$C$14="Off",Constants!$H66*'Activity data'!BN8*Constants!$H84*FracLEACHMM*MMLeachEF*NtoN2O*kgtoGg,IF('Net zero activities &amp; levers'!$C$14="On",Constants!$H66*'Net zero Activity data'!BN8*Constants!$H84*FracLEACHMM*MMLeachEF*NtoN2O*kgtoGg,"ERROR"))</f>
        <v>2.7556553714589756E-2</v>
      </c>
      <c r="AV1204" s="94">
        <f>IF('Net zero activities &amp; levers'!$C$14="Off",Constants!$H66*'Activity data'!BO8*Constants!$H84*FracLEACHMM*MMLeachEF*NtoN2O*kgtoGg,IF('Net zero activities &amp; levers'!$C$14="On",Constants!$H66*'Net zero Activity data'!BO8*Constants!$H84*FracLEACHMM*MMLeachEF*NtoN2O*kgtoGg,"ERROR"))</f>
        <v>2.7461054996500443E-2</v>
      </c>
      <c r="AW1204" s="94">
        <f>IF('Net zero activities &amp; levers'!$C$14="Off",Constants!$H66*'Activity data'!BP8*Constants!$H84*FracLEACHMM*MMLeachEF*NtoN2O*kgtoGg,IF('Net zero activities &amp; levers'!$C$14="On",Constants!$H66*'Net zero Activity data'!BP8*Constants!$H84*FracLEACHMM*MMLeachEF*NtoN2O*kgtoGg,"ERROR"))</f>
        <v>2.7350835179335974E-2</v>
      </c>
      <c r="AY1204" s="79"/>
    </row>
    <row r="1205" spans="1:51" x14ac:dyDescent="0.2">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4.0226293185258936E-2</v>
      </c>
      <c r="L1205" s="94">
        <f>IF('Net zero activities &amp; levers'!$C$14="Off",Constants!$H67*'Activity data'!AE9*Constants!$H85*FracLEACHMM*MMLeachEF*NtoN2O*kgtoGg,IF('Net zero activities &amp; levers'!$C$14="On",Constants!$H67*'Net zero Activity data'!AE9*Constants!$H85*FracLEACHMM*MMLeachEF*NtoN2O*kgtoGg,"ERROR"))</f>
        <v>3.9877423391049029E-2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3.1882919944479234E-2</v>
      </c>
      <c r="T1205" s="94">
        <f>IF('Net zero activities &amp; levers'!$C$14="Off",Constants!$H67*'Activity data'!AM9*Constants!$H85*FracLEACHMM*MMLeachEF*NtoN2O*kgtoGg,IF('Net zero activities &amp; levers'!$C$14="On",Constants!$H67*'Net zero Activity data'!AM9*Constants!$H85*FracLEACHMM*MMLeachEF*NtoN2O*kgtoGg,"ERROR"))</f>
        <v>3.2492776435665373E-2</v>
      </c>
      <c r="U1205" s="94">
        <f>IF('Net zero activities &amp; levers'!$C$14="Off",Constants!$H67*'Activity data'!AN9*Constants!$H85*FracLEACHMM*MMLeachEF*NtoN2O*kgtoGg,IF('Net zero activities &amp; levers'!$C$14="On",Constants!$H67*'Net zero Activity data'!AN9*Constants!$H85*FracLEACHMM*MMLeachEF*NtoN2O*kgtoGg,"ERROR"))</f>
        <v>3.2818843389901528E-2</v>
      </c>
      <c r="V1205" s="94">
        <f>IF('Net zero activities &amp; levers'!$C$14="Off",Constants!$H67*'Activity data'!AO9*Constants!$H85*FracLEACHMM*MMLeachEF*NtoN2O*kgtoGg,IF('Net zero activities &amp; levers'!$C$14="On",Constants!$H67*'Net zero Activity data'!AO9*Constants!$H85*FracLEACHMM*MMLeachEF*NtoN2O*kgtoGg,"ERROR"))</f>
        <v>3.3069846715808329E-2</v>
      </c>
      <c r="W1205" s="94">
        <f>IF('Net zero activities &amp; levers'!$C$14="Off",Constants!$H67*'Activity data'!AP9*Constants!$H85*FracLEACHMM*MMLeachEF*NtoN2O*kgtoGg,IF('Net zero activities &amp; levers'!$C$14="On",Constants!$H67*'Net zero Activity data'!AP9*Constants!$H85*FracLEACHMM*MMLeachEF*NtoN2O*kgtoGg,"ERROR"))</f>
        <v>3.3433009534935908E-2</v>
      </c>
      <c r="X1205" s="94">
        <f>IF('Net zero activities &amp; levers'!$C$14="Off",Constants!$H67*'Activity data'!AQ9*Constants!$H85*FracLEACHMM*MMLeachEF*NtoN2O*kgtoGg,IF('Net zero activities &amp; levers'!$C$14="On",Constants!$H67*'Net zero Activity data'!AQ9*Constants!$H85*FracLEACHMM*MMLeachEF*NtoN2O*kgtoGg,"ERROR"))</f>
        <v>3.372773555582987E-2</v>
      </c>
      <c r="Y1205" s="94">
        <f>IF('Net zero activities &amp; levers'!$C$14="Off",Constants!$H67*'Activity data'!AR9*Constants!$H85*FracLEACHMM*MMLeachEF*NtoN2O*kgtoGg,IF('Net zero activities &amp; levers'!$C$14="On",Constants!$H67*'Net zero Activity data'!AR9*Constants!$H85*FracLEACHMM*MMLeachEF*NtoN2O*kgtoGg,"ERROR"))</f>
        <v>3.3917732334151289E-2</v>
      </c>
      <c r="Z1205" s="94">
        <f>IF('Net zero activities &amp; levers'!$C$14="Off",Constants!$H67*'Activity data'!AS9*Constants!$H85*FracLEACHMM*MMLeachEF*NtoN2O*kgtoGg,IF('Net zero activities &amp; levers'!$C$14="On",Constants!$H67*'Net zero Activity data'!AS9*Constants!$H85*FracLEACHMM*MMLeachEF*NtoN2O*kgtoGg,"ERROR"))</f>
        <v>3.4065630609667365E-2</v>
      </c>
      <c r="AA1205" s="94">
        <f>IF('Net zero activities &amp; levers'!$C$14="Off",Constants!$H67*'Activity data'!AT9*Constants!$H85*FracLEACHMM*MMLeachEF*NtoN2O*kgtoGg,IF('Net zero activities &amp; levers'!$C$14="On",Constants!$H67*'Net zero Activity data'!AT9*Constants!$H85*FracLEACHMM*MMLeachEF*NtoN2O*kgtoGg,"ERROR"))</f>
        <v>3.4157295226903257E-2</v>
      </c>
      <c r="AB1205" s="94">
        <f>IF('Net zero activities &amp; levers'!$C$14="Off",Constants!$H67*'Activity data'!AU9*Constants!$H85*FracLEACHMM*MMLeachEF*NtoN2O*kgtoGg,IF('Net zero activities &amp; levers'!$C$14="On",Constants!$H67*'Net zero Activity data'!AU9*Constants!$H85*FracLEACHMM*MMLeachEF*NtoN2O*kgtoGg,"ERROR"))</f>
        <v>3.4428658521658995E-2</v>
      </c>
      <c r="AC1205" s="94">
        <f>IF('Net zero activities &amp; levers'!$C$14="Off",Constants!$H67*'Activity data'!AV9*Constants!$H85*FracLEACHMM*MMLeachEF*NtoN2O*kgtoGg,IF('Net zero activities &amp; levers'!$C$14="On",Constants!$H67*'Net zero Activity data'!AV9*Constants!$H85*FracLEACHMM*MMLeachEF*NtoN2O*kgtoGg,"ERROR"))</f>
        <v>3.4672819963249946E-2</v>
      </c>
      <c r="AD1205" s="94">
        <f>IF('Net zero activities &amp; levers'!$C$14="Off",Constants!$H67*'Activity data'!AW9*Constants!$H85*FracLEACHMM*MMLeachEF*NtoN2O*kgtoGg,IF('Net zero activities &amp; levers'!$C$14="On",Constants!$H67*'Net zero Activity data'!AW9*Constants!$H85*FracLEACHMM*MMLeachEF*NtoN2O*kgtoGg,"ERROR"))</f>
        <v>3.4685412895593133E-2</v>
      </c>
      <c r="AE1205" s="94">
        <f>IF('Net zero activities &amp; levers'!$C$14="Off",Constants!$H67*'Activity data'!AX9*Constants!$H85*FracLEACHMM*MMLeachEF*NtoN2O*kgtoGg,IF('Net zero activities &amp; levers'!$C$14="On",Constants!$H67*'Net zero Activity data'!AX9*Constants!$H85*FracLEACHMM*MMLeachEF*NtoN2O*kgtoGg,"ERROR"))</f>
        <v>3.4848978580994651E-2</v>
      </c>
      <c r="AF1205" s="94">
        <f>IF('Net zero activities &amp; levers'!$C$14="Off",Constants!$H67*'Activity data'!AY9*Constants!$H85*FracLEACHMM*MMLeachEF*NtoN2O*kgtoGg,IF('Net zero activities &amp; levers'!$C$14="On",Constants!$H67*'Net zero Activity data'!AY9*Constants!$H85*FracLEACHMM*MMLeachEF*NtoN2O*kgtoGg,"ERROR"))</f>
        <v>3.5065272718873365E-2</v>
      </c>
      <c r="AG1205" s="94">
        <f>IF('Net zero activities &amp; levers'!$C$14="Off",Constants!$H67*'Activity data'!AZ9*Constants!$H85*FracLEACHMM*MMLeachEF*NtoN2O*kgtoGg,IF('Net zero activities &amp; levers'!$C$14="On",Constants!$H67*'Net zero Activity data'!AZ9*Constants!$H85*FracLEACHMM*MMLeachEF*NtoN2O*kgtoGg,"ERROR"))</f>
        <v>3.542840886383946E-2</v>
      </c>
      <c r="AH1205" s="94">
        <f>IF('Net zero activities &amp; levers'!$C$14="Off",Constants!$H67*'Activity data'!BA9*Constants!$H85*FracLEACHMM*MMLeachEF*NtoN2O*kgtoGg,IF('Net zero activities &amp; levers'!$C$14="On",Constants!$H67*'Net zero Activity data'!BA9*Constants!$H85*FracLEACHMM*MMLeachEF*NtoN2O*kgtoGg,"ERROR"))</f>
        <v>3.5486407503583416E-2</v>
      </c>
      <c r="AI1205" s="94">
        <f>IF('Net zero activities &amp; levers'!$C$14="Off",Constants!$H67*'Activity data'!BB9*Constants!$H85*FracLEACHMM*MMLeachEF*NtoN2O*kgtoGg,IF('Net zero activities &amp; levers'!$C$14="On",Constants!$H67*'Net zero Activity data'!BB9*Constants!$H85*FracLEACHMM*MMLeachEF*NtoN2O*kgtoGg,"ERROR"))</f>
        <v>3.5480319326064061E-2</v>
      </c>
      <c r="AJ1205" s="94">
        <f>IF('Net zero activities &amp; levers'!$C$14="Off",Constants!$H67*'Activity data'!BC9*Constants!$H85*FracLEACHMM*MMLeachEF*NtoN2O*kgtoGg,IF('Net zero activities &amp; levers'!$C$14="On",Constants!$H67*'Net zero Activity data'!BC9*Constants!$H85*FracLEACHMM*MMLeachEF*NtoN2O*kgtoGg,"ERROR"))</f>
        <v>3.5533598239465607E-2</v>
      </c>
      <c r="AK1205" s="94">
        <f>IF('Net zero activities &amp; levers'!$C$14="Off",Constants!$H67*'Activity data'!BD9*Constants!$H85*FracLEACHMM*MMLeachEF*NtoN2O*kgtoGg,IF('Net zero activities &amp; levers'!$C$14="On",Constants!$H67*'Net zero Activity data'!BD9*Constants!$H85*FracLEACHMM*MMLeachEF*NtoN2O*kgtoGg,"ERROR"))</f>
        <v>3.5523764443021973E-2</v>
      </c>
      <c r="AL1205" s="94">
        <f>IF('Net zero activities &amp; levers'!$C$14="Off",Constants!$H67*'Activity data'!BE9*Constants!$H85*FracLEACHMM*MMLeachEF*NtoN2O*kgtoGg,IF('Net zero activities &amp; levers'!$C$14="On",Constants!$H67*'Net zero Activity data'!BE9*Constants!$H85*FracLEACHMM*MMLeachEF*NtoN2O*kgtoGg,"ERROR"))</f>
        <v>3.5531288495729951E-2</v>
      </c>
      <c r="AM1205" s="94">
        <f>IF('Net zero activities &amp; levers'!$C$14="Off",Constants!$H67*'Activity data'!BF9*Constants!$H85*FracLEACHMM*MMLeachEF*NtoN2O*kgtoGg,IF('Net zero activities &amp; levers'!$C$14="On",Constants!$H67*'Net zero Activity data'!BF9*Constants!$H85*FracLEACHMM*MMLeachEF*NtoN2O*kgtoGg,"ERROR"))</f>
        <v>3.5514212847337627E-2</v>
      </c>
      <c r="AN1205" s="94">
        <f>IF('Net zero activities &amp; levers'!$C$14="Off",Constants!$H67*'Activity data'!BG9*Constants!$H85*FracLEACHMM*MMLeachEF*NtoN2O*kgtoGg,IF('Net zero activities &amp; levers'!$C$14="On",Constants!$H67*'Net zero Activity data'!BG9*Constants!$H85*FracLEACHMM*MMLeachEF*NtoN2O*kgtoGg,"ERROR"))</f>
        <v>3.5769110593879244E-2</v>
      </c>
      <c r="AO1205" s="94">
        <f>IF('Net zero activities &amp; levers'!$C$14="Off",Constants!$H67*'Activity data'!BH9*Constants!$H85*FracLEACHMM*MMLeachEF*NtoN2O*kgtoGg,IF('Net zero activities &amp; levers'!$C$14="On",Constants!$H67*'Net zero Activity data'!BH9*Constants!$H85*FracLEACHMM*MMLeachEF*NtoN2O*kgtoGg,"ERROR"))</f>
        <v>3.5955582766200436E-2</v>
      </c>
      <c r="AP1205" s="94">
        <f>IF('Net zero activities &amp; levers'!$C$14="Off",Constants!$H67*'Activity data'!BI9*Constants!$H85*FracLEACHMM*MMLeachEF*NtoN2O*kgtoGg,IF('Net zero activities &amp; levers'!$C$14="On",Constants!$H67*'Net zero Activity data'!BI9*Constants!$H85*FracLEACHMM*MMLeachEF*NtoN2O*kgtoGg,"ERROR"))</f>
        <v>3.6131295967585977E-2</v>
      </c>
      <c r="AQ1205" s="94">
        <f>IF('Net zero activities &amp; levers'!$C$14="Off",Constants!$H67*'Activity data'!BJ9*Constants!$H85*FracLEACHMM*MMLeachEF*NtoN2O*kgtoGg,IF('Net zero activities &amp; levers'!$C$14="On",Constants!$H67*'Net zero Activity data'!BJ9*Constants!$H85*FracLEACHMM*MMLeachEF*NtoN2O*kgtoGg,"ERROR"))</f>
        <v>3.6309694411438075E-2</v>
      </c>
      <c r="AR1205" s="94">
        <f>IF('Net zero activities &amp; levers'!$C$14="Off",Constants!$H67*'Activity data'!BK9*Constants!$H85*FracLEACHMM*MMLeachEF*NtoN2O*kgtoGg,IF('Net zero activities &amp; levers'!$C$14="On",Constants!$H67*'Net zero Activity data'!BK9*Constants!$H85*FracLEACHMM*MMLeachEF*NtoN2O*kgtoGg,"ERROR"))</f>
        <v>3.6494646834396953E-2</v>
      </c>
      <c r="AS1205" s="94">
        <f>IF('Net zero activities &amp; levers'!$C$14="Off",Constants!$H67*'Activity data'!BL9*Constants!$H85*FracLEACHMM*MMLeachEF*NtoN2O*kgtoGg,IF('Net zero activities &amp; levers'!$C$14="On",Constants!$H67*'Net zero Activity data'!BL9*Constants!$H85*FracLEACHMM*MMLeachEF*NtoN2O*kgtoGg,"ERROR"))</f>
        <v>3.678448850036322E-2</v>
      </c>
      <c r="AT1205" s="94">
        <f>IF('Net zero activities &amp; levers'!$C$14="Off",Constants!$H67*'Activity data'!BM9*Constants!$H85*FracLEACHMM*MMLeachEF*NtoN2O*kgtoGg,IF('Net zero activities &amp; levers'!$C$14="On",Constants!$H67*'Net zero Activity data'!BM9*Constants!$H85*FracLEACHMM*MMLeachEF*NtoN2O*kgtoGg,"ERROR"))</f>
        <v>3.6702851884231939E-2</v>
      </c>
      <c r="AU1205" s="94">
        <f>IF('Net zero activities &amp; levers'!$C$14="Off",Constants!$H67*'Activity data'!BN9*Constants!$H85*FracLEACHMM*MMLeachEF*NtoN2O*kgtoGg,IF('Net zero activities &amp; levers'!$C$14="On",Constants!$H67*'Net zero Activity data'!BN9*Constants!$H85*FracLEACHMM*MMLeachEF*NtoN2O*kgtoGg,"ERROR"))</f>
        <v>3.6580453499892925E-2</v>
      </c>
      <c r="AV1205" s="94">
        <f>IF('Net zero activities &amp; levers'!$C$14="Off",Constants!$H67*'Activity data'!BO9*Constants!$H85*FracLEACHMM*MMLeachEF*NtoN2O*kgtoGg,IF('Net zero activities &amp; levers'!$C$14="On",Constants!$H67*'Net zero Activity data'!BO9*Constants!$H85*FracLEACHMM*MMLeachEF*NtoN2O*kgtoGg,"ERROR"))</f>
        <v>3.6453681972054293E-2</v>
      </c>
      <c r="AW1205" s="94">
        <f>IF('Net zero activities &amp; levers'!$C$14="Off",Constants!$H67*'Activity data'!BP9*Constants!$H85*FracLEACHMM*MMLeachEF*NtoN2O*kgtoGg,IF('Net zero activities &amp; levers'!$C$14="On",Constants!$H67*'Net zero Activity data'!BP9*Constants!$H85*FracLEACHMM*MMLeachEF*NtoN2O*kgtoGg,"ERROR"))</f>
        <v>3.6307368650791018E-2</v>
      </c>
      <c r="AY1205" s="79"/>
    </row>
    <row r="1206" spans="1:51" x14ac:dyDescent="0.2">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4.3383434779753476E-2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4.7281576900430208E-2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4.5992827569741108E-2</v>
      </c>
      <c r="T1206" s="94">
        <f>IF('Net zero activities &amp; levers'!$C$14="Off",Constants!$H68*'Activity data'!AM10*Constants!$H86*FracLEACHMM*MMLeachEF*NtoN2O*kgtoGg,IF('Net zero activities &amp; levers'!$C$14="On",Constants!$H68*'Net zero Activity data'!AM10*Constants!$H86*FracLEACHMM*MMLeachEF*NtoN2O*kgtoGg,"ERROR"))</f>
        <v>4.8001865047769987E-2</v>
      </c>
      <c r="U1206" s="94">
        <f>IF('Net zero activities &amp; levers'!$C$14="Off",Constants!$H68*'Activity data'!AN10*Constants!$H86*FracLEACHMM*MMLeachEF*NtoN2O*kgtoGg,IF('Net zero activities &amp; levers'!$C$14="On",Constants!$H68*'Net zero Activity data'!AN10*Constants!$H86*FracLEACHMM*MMLeachEF*NtoN2O*kgtoGg,"ERROR"))</f>
        <v>4.9635626095010099E-2</v>
      </c>
      <c r="V1206" s="94">
        <f>IF('Net zero activities &amp; levers'!$C$14="Off",Constants!$H68*'Activity data'!AO10*Constants!$H86*FracLEACHMM*MMLeachEF*NtoN2O*kgtoGg,IF('Net zero activities &amp; levers'!$C$14="On",Constants!$H68*'Net zero Activity data'!AO10*Constants!$H86*FracLEACHMM*MMLeachEF*NtoN2O*kgtoGg,"ERROR"))</f>
        <v>5.1188596767602117E-2</v>
      </c>
      <c r="W1206" s="94">
        <f>IF('Net zero activities &amp; levers'!$C$14="Off",Constants!$H68*'Activity data'!AP10*Constants!$H86*FracLEACHMM*MMLeachEF*NtoN2O*kgtoGg,IF('Net zero activities &amp; levers'!$C$14="On",Constants!$H68*'Net zero Activity data'!AP10*Constants!$H86*FracLEACHMM*MMLeachEF*NtoN2O*kgtoGg,"ERROR"))</f>
        <v>5.2950508165481844E-2</v>
      </c>
      <c r="X1206" s="94">
        <f>IF('Net zero activities &amp; levers'!$C$14="Off",Constants!$H68*'Activity data'!AQ10*Constants!$H86*FracLEACHMM*MMLeachEF*NtoN2O*kgtoGg,IF('Net zero activities &amp; levers'!$C$14="On",Constants!$H68*'Net zero Activity data'!AQ10*Constants!$H86*FracLEACHMM*MMLeachEF*NtoN2O*kgtoGg,"ERROR"))</f>
        <v>5.4642195463321171E-2</v>
      </c>
      <c r="Y1206" s="94">
        <f>IF('Net zero activities &amp; levers'!$C$14="Off",Constants!$H68*'Activity data'!AR10*Constants!$H86*FracLEACHMM*MMLeachEF*NtoN2O*kgtoGg,IF('Net zero activities &amp; levers'!$C$14="On",Constants!$H68*'Net zero Activity data'!AR10*Constants!$H86*FracLEACHMM*MMLeachEF*NtoN2O*kgtoGg,"ERROR"))</f>
        <v>5.6197330304744171E-2</v>
      </c>
      <c r="Z1206" s="94">
        <f>IF('Net zero activities &amp; levers'!$C$14="Off",Constants!$H68*'Activity data'!AS10*Constants!$H86*FracLEACHMM*MMLeachEF*NtoN2O*kgtoGg,IF('Net zero activities &amp; levers'!$C$14="On",Constants!$H68*'Net zero Activity data'!AS10*Constants!$H86*FracLEACHMM*MMLeachEF*NtoN2O*kgtoGg,"ERROR"))</f>
        <v>5.7711583863191099E-2</v>
      </c>
      <c r="AA1206" s="94">
        <f>IF('Net zero activities &amp; levers'!$C$14="Off",Constants!$H68*'Activity data'!AT10*Constants!$H86*FracLEACHMM*MMLeachEF*NtoN2O*kgtoGg,IF('Net zero activities &amp; levers'!$C$14="On",Constants!$H68*'Net zero Activity data'!AT10*Constants!$H86*FracLEACHMM*MMLeachEF*NtoN2O*kgtoGg,"ERROR"))</f>
        <v>5.9156834222417472E-2</v>
      </c>
      <c r="AB1206" s="94">
        <f>IF('Net zero activities &amp; levers'!$C$14="Off",Constants!$H68*'Activity data'!AU10*Constants!$H86*FracLEACHMM*MMLeachEF*NtoN2O*kgtoGg,IF('Net zero activities &amp; levers'!$C$14="On",Constants!$H68*'Net zero Activity data'!AU10*Constants!$H86*FracLEACHMM*MMLeachEF*NtoN2O*kgtoGg,"ERROR"))</f>
        <v>6.0945336152729353E-2</v>
      </c>
      <c r="AC1206" s="94">
        <f>IF('Net zero activities &amp; levers'!$C$14="Off",Constants!$H68*'Activity data'!AV10*Constants!$H86*FracLEACHMM*MMLeachEF*NtoN2O*kgtoGg,IF('Net zero activities &amp; levers'!$C$14="On",Constants!$H68*'Net zero Activity data'!AV10*Constants!$H86*FracLEACHMM*MMLeachEF*NtoN2O*kgtoGg,"ERROR"))</f>
        <v>6.2724727985271067E-2</v>
      </c>
      <c r="AD1206" s="94">
        <f>IF('Net zero activities &amp; levers'!$C$14="Off",Constants!$H68*'Activity data'!AW10*Constants!$H86*FracLEACHMM*MMLeachEF*NtoN2O*kgtoGg,IF('Net zero activities &amp; levers'!$C$14="On",Constants!$H68*'Net zero Activity data'!AW10*Constants!$H86*FracLEACHMM*MMLeachEF*NtoN2O*kgtoGg,"ERROR"))</f>
        <v>6.4828386585152428E-2</v>
      </c>
      <c r="AE1206" s="94">
        <f>IF('Net zero activities &amp; levers'!$C$14="Off",Constants!$H68*'Activity data'!AX10*Constants!$H86*FracLEACHMM*MMLeachEF*NtoN2O*kgtoGg,IF('Net zero activities &amp; levers'!$C$14="On",Constants!$H68*'Net zero Activity data'!AX10*Constants!$H86*FracLEACHMM*MMLeachEF*NtoN2O*kgtoGg,"ERROR"))</f>
        <v>6.7298261230859621E-2</v>
      </c>
      <c r="AF1206" s="94">
        <f>IF('Net zero activities &amp; levers'!$C$14="Off",Constants!$H68*'Activity data'!AY10*Constants!$H86*FracLEACHMM*MMLeachEF*NtoN2O*kgtoGg,IF('Net zero activities &amp; levers'!$C$14="On",Constants!$H68*'Net zero Activity data'!AY10*Constants!$H86*FracLEACHMM*MMLeachEF*NtoN2O*kgtoGg,"ERROR"))</f>
        <v>6.9971651409000274E-2</v>
      </c>
      <c r="AG1206" s="94">
        <f>IF('Net zero activities &amp; levers'!$C$14="Off",Constants!$H68*'Activity data'!AZ10*Constants!$H86*FracLEACHMM*MMLeachEF*NtoN2O*kgtoGg,IF('Net zero activities &amp; levers'!$C$14="On",Constants!$H68*'Net zero Activity data'!AZ10*Constants!$H86*FracLEACHMM*MMLeachEF*NtoN2O*kgtoGg,"ERROR"))</f>
        <v>7.3058736585267875E-2</v>
      </c>
      <c r="AH1206" s="94">
        <f>IF('Net zero activities &amp; levers'!$C$14="Off",Constants!$H68*'Activity data'!BA10*Constants!$H86*FracLEACHMM*MMLeachEF*NtoN2O*kgtoGg,IF('Net zero activities &amp; levers'!$C$14="On",Constants!$H68*'Net zero Activity data'!BA10*Constants!$H86*FracLEACHMM*MMLeachEF*NtoN2O*kgtoGg,"ERROR"))</f>
        <v>7.563301385599043E-2</v>
      </c>
      <c r="AI1206" s="94">
        <f>IF('Net zero activities &amp; levers'!$C$14="Off",Constants!$H68*'Activity data'!BB10*Constants!$H86*FracLEACHMM*MMLeachEF*NtoN2O*kgtoGg,IF('Net zero activities &amp; levers'!$C$14="On",Constants!$H68*'Net zero Activity data'!BB10*Constants!$H86*FracLEACHMM*MMLeachEF*NtoN2O*kgtoGg,"ERROR"))</f>
        <v>7.8167775440571283E-2</v>
      </c>
      <c r="AJ1206" s="94">
        <f>IF('Net zero activities &amp; levers'!$C$14="Off",Constants!$H68*'Activity data'!BC10*Constants!$H86*FracLEACHMM*MMLeachEF*NtoN2O*kgtoGg,IF('Net zero activities &amp; levers'!$C$14="On",Constants!$H68*'Net zero Activity data'!BC10*Constants!$H86*FracLEACHMM*MMLeachEF*NtoN2O*kgtoGg,"ERROR"))</f>
        <v>8.0935873308178169E-2</v>
      </c>
      <c r="AK1206" s="94">
        <f>IF('Net zero activities &amp; levers'!$C$14="Off",Constants!$H68*'Activity data'!BD10*Constants!$H86*FracLEACHMM*MMLeachEF*NtoN2O*kgtoGg,IF('Net zero activities &amp; levers'!$C$14="On",Constants!$H68*'Net zero Activity data'!BD10*Constants!$H86*FracLEACHMM*MMLeachEF*NtoN2O*kgtoGg,"ERROR"))</f>
        <v>8.3668525365720503E-2</v>
      </c>
      <c r="AL1206" s="94">
        <f>IF('Net zero activities &amp; levers'!$C$14="Off",Constants!$H68*'Activity data'!BE10*Constants!$H86*FracLEACHMM*MMLeachEF*NtoN2O*kgtoGg,IF('Net zero activities &amp; levers'!$C$14="On",Constants!$H68*'Net zero Activity data'!BE10*Constants!$H86*FracLEACHMM*MMLeachEF*NtoN2O*kgtoGg,"ERROR"))</f>
        <v>8.6553364339565772E-2</v>
      </c>
      <c r="AM1206" s="94">
        <f>IF('Net zero activities &amp; levers'!$C$14="Off",Constants!$H68*'Activity data'!BF10*Constants!$H86*FracLEACHMM*MMLeachEF*NtoN2O*kgtoGg,IF('Net zero activities &amp; levers'!$C$14="On",Constants!$H68*'Net zero Activity data'!BF10*Constants!$H86*FracLEACHMM*MMLeachEF*NtoN2O*kgtoGg,"ERROR"))</f>
        <v>8.9495828472457392E-2</v>
      </c>
      <c r="AN1206" s="94">
        <f>IF('Net zero activities &amp; levers'!$C$14="Off",Constants!$H68*'Activity data'!BG10*Constants!$H86*FracLEACHMM*MMLeachEF*NtoN2O*kgtoGg,IF('Net zero activities &amp; levers'!$C$14="On",Constants!$H68*'Net zero Activity data'!BG10*Constants!$H86*FracLEACHMM*MMLeachEF*NtoN2O*kgtoGg,"ERROR"))</f>
        <v>9.2681440579714905E-2</v>
      </c>
      <c r="AO1206" s="94">
        <f>IF('Net zero activities &amp; levers'!$C$14="Off",Constants!$H68*'Activity data'!BH10*Constants!$H86*FracLEACHMM*MMLeachEF*NtoN2O*kgtoGg,IF('Net zero activities &amp; levers'!$C$14="On",Constants!$H68*'Net zero Activity data'!BH10*Constants!$H86*FracLEACHMM*MMLeachEF*NtoN2O*kgtoGg,"ERROR"))</f>
        <v>9.5802357584515191E-2</v>
      </c>
      <c r="AP1206" s="94">
        <f>IF('Net zero activities &amp; levers'!$C$14="Off",Constants!$H68*'Activity data'!BI10*Constants!$H86*FracLEACHMM*MMLeachEF*NtoN2O*kgtoGg,IF('Net zero activities &amp; levers'!$C$14="On",Constants!$H68*'Net zero Activity data'!BI10*Constants!$H86*FracLEACHMM*MMLeachEF*NtoN2O*kgtoGg,"ERROR"))</f>
        <v>9.9006841589941233E-2</v>
      </c>
      <c r="AQ1206" s="94">
        <f>IF('Net zero activities &amp; levers'!$C$14="Off",Constants!$H68*'Activity data'!BJ10*Constants!$H86*FracLEACHMM*MMLeachEF*NtoN2O*kgtoGg,IF('Net zero activities &amp; levers'!$C$14="On",Constants!$H68*'Net zero Activity data'!BJ10*Constants!$H86*FracLEACHMM*MMLeachEF*NtoN2O*kgtoGg,"ERROR"))</f>
        <v>0.10233590350911345</v>
      </c>
      <c r="AR1206" s="94">
        <f>IF('Net zero activities &amp; levers'!$C$14="Off",Constants!$H68*'Activity data'!BK10*Constants!$H86*FracLEACHMM*MMLeachEF*NtoN2O*kgtoGg,IF('Net zero activities &amp; levers'!$C$14="On",Constants!$H68*'Net zero Activity data'!BK10*Constants!$H86*FracLEACHMM*MMLeachEF*NtoN2O*kgtoGg,"ERROR"))</f>
        <v>0.10580733136333606</v>
      </c>
      <c r="AS1206" s="94">
        <f>IF('Net zero activities &amp; levers'!$C$14="Off",Constants!$H68*'Activity data'!BL10*Constants!$H86*FracLEACHMM*MMLeachEF*NtoN2O*kgtoGg,IF('Net zero activities &amp; levers'!$C$14="On",Constants!$H68*'Net zero Activity data'!BL10*Constants!$H86*FracLEACHMM*MMLeachEF*NtoN2O*kgtoGg,"ERROR"))</f>
        <v>0.10972241500262403</v>
      </c>
      <c r="AT1206" s="94">
        <f>IF('Net zero activities &amp; levers'!$C$14="Off",Constants!$H68*'Activity data'!BM10*Constants!$H86*FracLEACHMM*MMLeachEF*NtoN2O*kgtoGg,IF('Net zero activities &amp; levers'!$C$14="On",Constants!$H68*'Net zero Activity data'!BM10*Constants!$H86*FracLEACHMM*MMLeachEF*NtoN2O*kgtoGg,"ERROR"))</f>
        <v>0.11265304371652905</v>
      </c>
      <c r="AU1206" s="94">
        <f>IF('Net zero activities &amp; levers'!$C$14="Off",Constants!$H68*'Activity data'!BN10*Constants!$H86*FracLEACHMM*MMLeachEF*NtoN2O*kgtoGg,IF('Net zero activities &amp; levers'!$C$14="On",Constants!$H68*'Net zero Activity data'!BN10*Constants!$H86*FracLEACHMM*MMLeachEF*NtoN2O*kgtoGg,"ERROR"))</f>
        <v>0.11555235138269004</v>
      </c>
      <c r="AV1206" s="94">
        <f>IF('Net zero activities &amp; levers'!$C$14="Off",Constants!$H68*'Activity data'!BO10*Constants!$H86*FracLEACHMM*MMLeachEF*NtoN2O*kgtoGg,IF('Net zero activities &amp; levers'!$C$14="On",Constants!$H68*'Net zero Activity data'!BO10*Constants!$H86*FracLEACHMM*MMLeachEF*NtoN2O*kgtoGg,"ERROR"))</f>
        <v>0.11853253196869915</v>
      </c>
      <c r="AW1206" s="94">
        <f>IF('Net zero activities &amp; levers'!$C$14="Off",Constants!$H68*'Activity data'!BP10*Constants!$H86*FracLEACHMM*MMLeachEF*NtoN2O*kgtoGg,IF('Net zero activities &amp; levers'!$C$14="On",Constants!$H68*'Net zero Activity data'!BP10*Constants!$H86*FracLEACHMM*MMLeachEF*NtoN2O*kgtoGg,"ERROR"))</f>
        <v>0.12154670327230575</v>
      </c>
      <c r="AY1206" s="79"/>
    </row>
    <row r="1207" spans="1:51" x14ac:dyDescent="0.2">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4.4831371338441527E-3</v>
      </c>
      <c r="T1207" s="94">
        <f>IF('Net zero activities &amp; levers'!$C$14="Off",Constants!$H69*'Activity data'!AM11*Constants!$H87*FracLEACHMM*MMLeachEF*NtoN2O*kgtoGg,IF('Net zero activities &amp; levers'!$C$14="On",Constants!$H69*'Net zero Activity data'!AM11*Constants!$H87*FracLEACHMM*MMLeachEF*NtoN2O*kgtoGg,"ERROR"))</f>
        <v>4.4899645877902617E-3</v>
      </c>
      <c r="U1207" s="94">
        <f>IF('Net zero activities &amp; levers'!$C$14="Off",Constants!$H69*'Activity data'!AN11*Constants!$H87*FracLEACHMM*MMLeachEF*NtoN2O*kgtoGg,IF('Net zero activities &amp; levers'!$C$14="On",Constants!$H69*'Net zero Activity data'!AN11*Constants!$H87*FracLEACHMM*MMLeachEF*NtoN2O*kgtoGg,"ERROR"))</f>
        <v>4.4976812446803844E-3</v>
      </c>
      <c r="V1207" s="94">
        <f>IF('Net zero activities &amp; levers'!$C$14="Off",Constants!$H69*'Activity data'!AO11*Constants!$H87*FracLEACHMM*MMLeachEF*NtoN2O*kgtoGg,IF('Net zero activities &amp; levers'!$C$14="On",Constants!$H69*'Net zero Activity data'!AO11*Constants!$H87*FracLEACHMM*MMLeachEF*NtoN2O*kgtoGg,"ERROR"))</f>
        <v>4.5063863158882386E-3</v>
      </c>
      <c r="W1207" s="94">
        <f>IF('Net zero activities &amp; levers'!$C$14="Off",Constants!$H69*'Activity data'!AP11*Constants!$H87*FracLEACHMM*MMLeachEF*NtoN2O*kgtoGg,IF('Net zero activities &amp; levers'!$C$14="On",Constants!$H69*'Net zero Activity data'!AP11*Constants!$H87*FracLEACHMM*MMLeachEF*NtoN2O*kgtoGg,"ERROR"))</f>
        <v>4.5161788811117947E-3</v>
      </c>
      <c r="X1207" s="94">
        <f>IF('Net zero activities &amp; levers'!$C$14="Off",Constants!$H69*'Activity data'!AQ11*Constants!$H87*FracLEACHMM*MMLeachEF*NtoN2O*kgtoGg,IF('Net zero activities &amp; levers'!$C$14="On",Constants!$H69*'Net zero Activity data'!AQ11*Constants!$H87*FracLEACHMM*MMLeachEF*NtoN2O*kgtoGg,"ERROR"))</f>
        <v>4.5268547446196596E-3</v>
      </c>
      <c r="Y1207" s="94">
        <f>IF('Net zero activities &amp; levers'!$C$14="Off",Constants!$H69*'Activity data'!AR11*Constants!$H87*FracLEACHMM*MMLeachEF*NtoN2O*kgtoGg,IF('Net zero activities &amp; levers'!$C$14="On",Constants!$H69*'Net zero Activity data'!AR11*Constants!$H87*FracLEACHMM*MMLeachEF*NtoN2O*kgtoGg,"ERROR"))</f>
        <v>4.5333477172681842E-3</v>
      </c>
      <c r="Z1207" s="94">
        <f>IF('Net zero activities &amp; levers'!$C$14="Off",Constants!$H69*'Activity data'!AS11*Constants!$H87*FracLEACHMM*MMLeachEF*NtoN2O*kgtoGg,IF('Net zero activities &amp; levers'!$C$14="On",Constants!$H69*'Net zero Activity data'!AS11*Constants!$H87*FracLEACHMM*MMLeachEF*NtoN2O*kgtoGg,"ERROR"))</f>
        <v>4.5405999943124754E-3</v>
      </c>
      <c r="AA1207" s="94">
        <f>IF('Net zero activities &amp; levers'!$C$14="Off",Constants!$H69*'Activity data'!AT11*Constants!$H87*FracLEACHMM*MMLeachEF*NtoN2O*kgtoGg,IF('Net zero activities &amp; levers'!$C$14="On",Constants!$H69*'Net zero Activity data'!AT11*Constants!$H87*FracLEACHMM*MMLeachEF*NtoN2O*kgtoGg,"ERROR"))</f>
        <v>4.5485583758995193E-3</v>
      </c>
      <c r="AB1207" s="94">
        <f>IF('Net zero activities &amp; levers'!$C$14="Off",Constants!$H69*'Activity data'!AU11*Constants!$H87*FracLEACHMM*MMLeachEF*NtoN2O*kgtoGg,IF('Net zero activities &amp; levers'!$C$14="On",Constants!$H69*'Net zero Activity data'!AU11*Constants!$H87*FracLEACHMM*MMLeachEF*NtoN2O*kgtoGg,"ERROR"))</f>
        <v>4.5574030453961476E-3</v>
      </c>
      <c r="AC1207" s="94">
        <f>IF('Net zero activities &amp; levers'!$C$14="Off",Constants!$H69*'Activity data'!AV11*Constants!$H87*FracLEACHMM*MMLeachEF*NtoN2O*kgtoGg,IF('Net zero activities &amp; levers'!$C$14="On",Constants!$H69*'Net zero Activity data'!AV11*Constants!$H87*FracLEACHMM*MMLeachEF*NtoN2O*kgtoGg,"ERROR"))</f>
        <v>4.5669166889101189E-3</v>
      </c>
      <c r="AD1207" s="94">
        <f>IF('Net zero activities &amp; levers'!$C$14="Off",Constants!$H69*'Activity data'!AW11*Constants!$H87*FracLEACHMM*MMLeachEF*NtoN2O*kgtoGg,IF('Net zero activities &amp; levers'!$C$14="On",Constants!$H69*'Net zero Activity data'!AW11*Constants!$H87*FracLEACHMM*MMLeachEF*NtoN2O*kgtoGg,"ERROR"))</f>
        <v>4.5731331974710569E-3</v>
      </c>
      <c r="AE1207" s="94">
        <f>IF('Net zero activities &amp; levers'!$C$14="Off",Constants!$H69*'Activity data'!AX11*Constants!$H87*FracLEACHMM*MMLeachEF*NtoN2O*kgtoGg,IF('Net zero activities &amp; levers'!$C$14="On",Constants!$H69*'Net zero Activity data'!AX11*Constants!$H87*FracLEACHMM*MMLeachEF*NtoN2O*kgtoGg,"ERROR"))</f>
        <v>4.5801112561138658E-3</v>
      </c>
      <c r="AF1207" s="94">
        <f>IF('Net zero activities &amp; levers'!$C$14="Off",Constants!$H69*'Activity data'!AY11*Constants!$H87*FracLEACHMM*MMLeachEF*NtoN2O*kgtoGg,IF('Net zero activities &amp; levers'!$C$14="On",Constants!$H69*'Net zero Activity data'!AY11*Constants!$H87*FracLEACHMM*MMLeachEF*NtoN2O*kgtoGg,"ERROR"))</f>
        <v>4.5877393890876687E-3</v>
      </c>
      <c r="AG1207" s="94">
        <f>IF('Net zero activities &amp; levers'!$C$14="Off",Constants!$H69*'Activity data'!AZ11*Constants!$H87*FracLEACHMM*MMLeachEF*NtoN2O*kgtoGg,IF('Net zero activities &amp; levers'!$C$14="On",Constants!$H69*'Net zero Activity data'!AZ11*Constants!$H87*FracLEACHMM*MMLeachEF*NtoN2O*kgtoGg,"ERROR"))</f>
        <v>4.5960968162402412E-3</v>
      </c>
      <c r="AH1207" s="94">
        <f>IF('Net zero activities &amp; levers'!$C$14="Off",Constants!$H69*'Activity data'!BA11*Constants!$H87*FracLEACHMM*MMLeachEF*NtoN2O*kgtoGg,IF('Net zero activities &amp; levers'!$C$14="On",Constants!$H69*'Net zero Activity data'!BA11*Constants!$H87*FracLEACHMM*MMLeachEF*NtoN2O*kgtoGg,"ERROR"))</f>
        <v>4.60470160066862E-3</v>
      </c>
      <c r="AI1207" s="94">
        <f>IF('Net zero activities &amp; levers'!$C$14="Off",Constants!$H69*'Activity data'!BB11*Constants!$H87*FracLEACHMM*MMLeachEF*NtoN2O*kgtoGg,IF('Net zero activities &amp; levers'!$C$14="On",Constants!$H69*'Net zero Activity data'!BB11*Constants!$H87*FracLEACHMM*MMLeachEF*NtoN2O*kgtoGg,"ERROR"))</f>
        <v>4.6099752593178585E-3</v>
      </c>
      <c r="AJ1207" s="94">
        <f>IF('Net zero activities &amp; levers'!$C$14="Off",Constants!$H69*'Activity data'!BC11*Constants!$H87*FracLEACHMM*MMLeachEF*NtoN2O*kgtoGg,IF('Net zero activities &amp; levers'!$C$14="On",Constants!$H69*'Net zero Activity data'!BC11*Constants!$H87*FracLEACHMM*MMLeachEF*NtoN2O*kgtoGg,"ERROR"))</f>
        <v>4.6158010652929838E-3</v>
      </c>
      <c r="AK1207" s="94">
        <f>IF('Net zero activities &amp; levers'!$C$14="Off",Constants!$H69*'Activity data'!BD11*Constants!$H87*FracLEACHMM*MMLeachEF*NtoN2O*kgtoGg,IF('Net zero activities &amp; levers'!$C$14="On",Constants!$H69*'Net zero Activity data'!BD11*Constants!$H87*FracLEACHMM*MMLeachEF*NtoN2O*kgtoGg,"ERROR"))</f>
        <v>4.6220305138924079E-3</v>
      </c>
      <c r="AL1207" s="94">
        <f>IF('Net zero activities &amp; levers'!$C$14="Off",Constants!$H69*'Activity data'!BE11*Constants!$H87*FracLEACHMM*MMLeachEF*NtoN2O*kgtoGg,IF('Net zero activities &amp; levers'!$C$14="On",Constants!$H69*'Net zero Activity data'!BE11*Constants!$H87*FracLEACHMM*MMLeachEF*NtoN2O*kgtoGg,"ERROR"))</f>
        <v>4.6287377180545888E-3</v>
      </c>
      <c r="AM1207" s="94">
        <f>IF('Net zero activities &amp; levers'!$C$14="Off",Constants!$H69*'Activity data'!BF11*Constants!$H87*FracLEACHMM*MMLeachEF*NtoN2O*kgtoGg,IF('Net zero activities &amp; levers'!$C$14="On",Constants!$H69*'Net zero Activity data'!BF11*Constants!$H87*FracLEACHMM*MMLeachEF*NtoN2O*kgtoGg,"ERROR"))</f>
        <v>4.635862068128902E-3</v>
      </c>
      <c r="AN1207" s="94">
        <f>IF('Net zero activities &amp; levers'!$C$14="Off",Constants!$H69*'Activity data'!BG11*Constants!$H87*FracLEACHMM*MMLeachEF*NtoN2O*kgtoGg,IF('Net zero activities &amp; levers'!$C$14="On",Constants!$H69*'Net zero Activity data'!BG11*Constants!$H87*FracLEACHMM*MMLeachEF*NtoN2O*kgtoGg,"ERROR"))</f>
        <v>4.6399936101115553E-3</v>
      </c>
      <c r="AO1207" s="94">
        <f>IF('Net zero activities &amp; levers'!$C$14="Off",Constants!$H69*'Activity data'!BH11*Constants!$H87*FracLEACHMM*MMLeachEF*NtoN2O*kgtoGg,IF('Net zero activities &amp; levers'!$C$14="On",Constants!$H69*'Net zero Activity data'!BH11*Constants!$H87*FracLEACHMM*MMLeachEF*NtoN2O*kgtoGg,"ERROR"))</f>
        <v>4.6444376176989054E-3</v>
      </c>
      <c r="AP1207" s="94">
        <f>IF('Net zero activities &amp; levers'!$C$14="Off",Constants!$H69*'Activity data'!BI11*Constants!$H87*FracLEACHMM*MMLeachEF*NtoN2O*kgtoGg,IF('Net zero activities &amp; levers'!$C$14="On",Constants!$H69*'Net zero Activity data'!BI11*Constants!$H87*FracLEACHMM*MMLeachEF*NtoN2O*kgtoGg,"ERROR"))</f>
        <v>4.6492508857149065E-3</v>
      </c>
      <c r="AQ1207" s="94">
        <f>IF('Net zero activities &amp; levers'!$C$14="Off",Constants!$H69*'Activity data'!BJ11*Constants!$H87*FracLEACHMM*MMLeachEF*NtoN2O*kgtoGg,IF('Net zero activities &amp; levers'!$C$14="On",Constants!$H69*'Net zero Activity data'!BJ11*Constants!$H87*FracLEACHMM*MMLeachEF*NtoN2O*kgtoGg,"ERROR"))</f>
        <v>4.6544400588078442E-3</v>
      </c>
      <c r="AR1207" s="94">
        <f>IF('Net zero activities &amp; levers'!$C$14="Off",Constants!$H69*'Activity data'!BK11*Constants!$H87*FracLEACHMM*MMLeachEF*NtoN2O*kgtoGg,IF('Net zero activities &amp; levers'!$C$14="On",Constants!$H69*'Net zero Activity data'!BK11*Constants!$H87*FracLEACHMM*MMLeachEF*NtoN2O*kgtoGg,"ERROR"))</f>
        <v>4.6600015094737631E-3</v>
      </c>
      <c r="AS1207" s="94">
        <f>IF('Net zero activities &amp; levers'!$C$14="Off",Constants!$H69*'Activity data'!BL11*Constants!$H87*FracLEACHMM*MMLeachEF*NtoN2O*kgtoGg,IF('Net zero activities &amp; levers'!$C$14="On",Constants!$H69*'Net zero Activity data'!BL11*Constants!$H87*FracLEACHMM*MMLeachEF*NtoN2O*kgtoGg,"ERROR"))</f>
        <v>4.6624883129741824E-3</v>
      </c>
      <c r="AT1207" s="94">
        <f>IF('Net zero activities &amp; levers'!$C$14="Off",Constants!$H69*'Activity data'!BM11*Constants!$H87*FracLEACHMM*MMLeachEF*NtoN2O*kgtoGg,IF('Net zero activities &amp; levers'!$C$14="On",Constants!$H69*'Net zero Activity data'!BM11*Constants!$H87*FracLEACHMM*MMLeachEF*NtoN2O*kgtoGg,"ERROR"))</f>
        <v>4.6648029335130551E-3</v>
      </c>
      <c r="AU1207" s="94">
        <f>IF('Net zero activities &amp; levers'!$C$14="Off",Constants!$H69*'Activity data'!BN11*Constants!$H87*FracLEACHMM*MMLeachEF*NtoN2O*kgtoGg,IF('Net zero activities &amp; levers'!$C$14="On",Constants!$H69*'Net zero Activity data'!BN11*Constants!$H87*FracLEACHMM*MMLeachEF*NtoN2O*kgtoGg,"ERROR"))</f>
        <v>4.6673689256300846E-3</v>
      </c>
      <c r="AV1207" s="94">
        <f>IF('Net zero activities &amp; levers'!$C$14="Off",Constants!$H69*'Activity data'!BO11*Constants!$H87*FracLEACHMM*MMLeachEF*NtoN2O*kgtoGg,IF('Net zero activities &amp; levers'!$C$14="On",Constants!$H69*'Net zero Activity data'!BO11*Constants!$H87*FracLEACHMM*MMLeachEF*NtoN2O*kgtoGg,"ERROR"))</f>
        <v>4.6702274196843731E-3</v>
      </c>
      <c r="AW1207" s="94">
        <f>IF('Net zero activities &amp; levers'!$C$14="Off",Constants!$H69*'Activity data'!BP11*Constants!$H87*FracLEACHMM*MMLeachEF*NtoN2O*kgtoGg,IF('Net zero activities &amp; levers'!$C$14="On",Constants!$H69*'Net zero Activity data'!BP11*Constants!$H87*FracLEACHMM*MMLeachEF*NtoN2O*kgtoGg,"ERROR"))</f>
        <v>4.6733489894838004E-3</v>
      </c>
      <c r="AY1207" s="79"/>
    </row>
    <row r="1208" spans="1:51" x14ac:dyDescent="0.2">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3.7291632343986812E-3</v>
      </c>
      <c r="T1208" s="94">
        <f>IF('Net zero activities &amp; levers'!$C$14="Off",Constants!$H70*'Activity data'!AM12*Constants!$H88*FracLEACHMM*MMLeachEF*NtoN2O*kgtoGg,IF('Net zero activities &amp; levers'!$C$14="On",Constants!$H70*'Net zero Activity data'!AM12*Constants!$H88*FracLEACHMM*MMLeachEF*NtoN2O*kgtoGg,"ERROR"))</f>
        <v>3.7348424472980965E-3</v>
      </c>
      <c r="U1208" s="94">
        <f>IF('Net zero activities &amp; levers'!$C$14="Off",Constants!$H70*'Activity data'!AN12*Constants!$H88*FracLEACHMM*MMLeachEF*NtoN2O*kgtoGg,IF('Net zero activities &amp; levers'!$C$14="On",Constants!$H70*'Net zero Activity data'!AN12*Constants!$H88*FracLEACHMM*MMLeachEF*NtoN2O*kgtoGg,"ERROR"))</f>
        <v>3.7412613170109757E-3</v>
      </c>
      <c r="V1208" s="94">
        <f>IF('Net zero activities &amp; levers'!$C$14="Off",Constants!$H70*'Activity data'!AO12*Constants!$H88*FracLEACHMM*MMLeachEF*NtoN2O*kgtoGg,IF('Net zero activities &amp; levers'!$C$14="On",Constants!$H70*'Net zero Activity data'!AO12*Constants!$H88*FracLEACHMM*MMLeachEF*NtoN2O*kgtoGg,"ERROR"))</f>
        <v>3.7485023695444986E-3</v>
      </c>
      <c r="W1208" s="94">
        <f>IF('Net zero activities &amp; levers'!$C$14="Off",Constants!$H70*'Activity data'!AP12*Constants!$H88*FracLEACHMM*MMLeachEF*NtoN2O*kgtoGg,IF('Net zero activities &amp; levers'!$C$14="On",Constants!$H70*'Net zero Activity data'!AP12*Constants!$H88*FracLEACHMM*MMLeachEF*NtoN2O*kgtoGg,"ERROR"))</f>
        <v>3.7566480213753234E-3</v>
      </c>
      <c r="X1208" s="94">
        <f>IF('Net zero activities &amp; levers'!$C$14="Off",Constants!$H70*'Activity data'!AQ12*Constants!$H88*FracLEACHMM*MMLeachEF*NtoN2O*kgtoGg,IF('Net zero activities &amp; levers'!$C$14="On",Constants!$H70*'Net zero Activity data'!AQ12*Constants!$H88*FracLEACHMM*MMLeachEF*NtoN2O*kgtoGg,"ERROR"))</f>
        <v>3.7655284184054385E-3</v>
      </c>
      <c r="Y1208" s="94">
        <f>IF('Net zero activities &amp; levers'!$C$14="Off",Constants!$H70*'Activity data'!AR12*Constants!$H88*FracLEACHMM*MMLeachEF*NtoN2O*kgtoGg,IF('Net zero activities &amp; levers'!$C$14="On",Constants!$H70*'Net zero Activity data'!AR12*Constants!$H88*FracLEACHMM*MMLeachEF*NtoN2O*kgtoGg,"ERROR"))</f>
        <v>3.770929403064159E-3</v>
      </c>
      <c r="Z1208" s="94">
        <f>IF('Net zero activities &amp; levers'!$C$14="Off",Constants!$H70*'Activity data'!AS12*Constants!$H88*FracLEACHMM*MMLeachEF*NtoN2O*kgtoGg,IF('Net zero activities &amp; levers'!$C$14="On",Constants!$H70*'Net zero Activity data'!AS12*Constants!$H88*FracLEACHMM*MMLeachEF*NtoN2O*kgtoGg,"ERROR"))</f>
        <v>3.7769619923229323E-3</v>
      </c>
      <c r="AA1208" s="94">
        <f>IF('Net zero activities &amp; levers'!$C$14="Off",Constants!$H70*'Activity data'!AT12*Constants!$H88*FracLEACHMM*MMLeachEF*NtoN2O*kgtoGg,IF('Net zero activities &amp; levers'!$C$14="On",Constants!$H70*'Net zero Activity data'!AT12*Constants!$H88*FracLEACHMM*MMLeachEF*NtoN2O*kgtoGg,"ERROR"))</f>
        <v>3.7835819334787997E-3</v>
      </c>
      <c r="AB1208" s="94">
        <f>IF('Net zero activities &amp; levers'!$C$14="Off",Constants!$H70*'Activity data'!AU12*Constants!$H88*FracLEACHMM*MMLeachEF*NtoN2O*kgtoGg,IF('Net zero activities &amp; levers'!$C$14="On",Constants!$H70*'Net zero Activity data'!AU12*Constants!$H88*FracLEACHMM*MMLeachEF*NtoN2O*kgtoGg,"ERROR"))</f>
        <v>3.7909391066641191E-3</v>
      </c>
      <c r="AC1208" s="94">
        <f>IF('Net zero activities &amp; levers'!$C$14="Off",Constants!$H70*'Activity data'!AV12*Constants!$H88*FracLEACHMM*MMLeachEF*NtoN2O*kgtoGg,IF('Net zero activities &amp; levers'!$C$14="On",Constants!$H70*'Net zero Activity data'!AV12*Constants!$H88*FracLEACHMM*MMLeachEF*NtoN2O*kgtoGg,"ERROR"))</f>
        <v>3.7988527458320239E-3</v>
      </c>
      <c r="AD1208" s="94">
        <f>IF('Net zero activities &amp; levers'!$C$14="Off",Constants!$H70*'Activity data'!AW12*Constants!$H88*FracLEACHMM*MMLeachEF*NtoN2O*kgtoGg,IF('Net zero activities &amp; levers'!$C$14="On",Constants!$H70*'Net zero Activity data'!AW12*Constants!$H88*FracLEACHMM*MMLeachEF*NtoN2O*kgtoGg,"ERROR"))</f>
        <v>3.8040237621270109E-3</v>
      </c>
      <c r="AE1208" s="94">
        <f>IF('Net zero activities &amp; levers'!$C$14="Off",Constants!$H70*'Activity data'!AX12*Constants!$H88*FracLEACHMM*MMLeachEF*NtoN2O*kgtoGg,IF('Net zero activities &amp; levers'!$C$14="On",Constants!$H70*'Net zero Activity data'!AX12*Constants!$H88*FracLEACHMM*MMLeachEF*NtoN2O*kgtoGg,"ERROR"))</f>
        <v>3.8098282510287203E-3</v>
      </c>
      <c r="AF1208" s="94">
        <f>IF('Net zero activities &amp; levers'!$C$14="Off",Constants!$H70*'Activity data'!AY12*Constants!$H88*FracLEACHMM*MMLeachEF*NtoN2O*kgtoGg,IF('Net zero activities &amp; levers'!$C$14="On",Constants!$H70*'Net zero Activity data'!AY12*Constants!$H88*FracLEACHMM*MMLeachEF*NtoN2O*kgtoGg,"ERROR"))</f>
        <v>3.8161734847754797E-3</v>
      </c>
      <c r="AG1208" s="94">
        <f>IF('Net zero activities &amp; levers'!$C$14="Off",Constants!$H70*'Activity data'!AZ12*Constants!$H88*FracLEACHMM*MMLeachEF*NtoN2O*kgtoGg,IF('Net zero activities &amp; levers'!$C$14="On",Constants!$H70*'Net zero Activity data'!AZ12*Constants!$H88*FracLEACHMM*MMLeachEF*NtoN2O*kgtoGg,"ERROR"))</f>
        <v>3.823125360022894E-3</v>
      </c>
      <c r="AH1208" s="94">
        <f>IF('Net zero activities &amp; levers'!$C$14="Off",Constants!$H70*'Activity data'!BA12*Constants!$H88*FracLEACHMM*MMLeachEF*NtoN2O*kgtoGg,IF('Net zero activities &amp; levers'!$C$14="On",Constants!$H70*'Net zero Activity data'!BA12*Constants!$H88*FracLEACHMM*MMLeachEF*NtoN2O*kgtoGg,"ERROR"))</f>
        <v>3.8302829920051928E-3</v>
      </c>
      <c r="AI1208" s="94">
        <f>IF('Net zero activities &amp; levers'!$C$14="Off",Constants!$H70*'Activity data'!BB12*Constants!$H88*FracLEACHMM*MMLeachEF*NtoN2O*kgtoGg,IF('Net zero activities &amp; levers'!$C$14="On",Constants!$H70*'Net zero Activity data'!BB12*Constants!$H88*FracLEACHMM*MMLeachEF*NtoN2O*kgtoGg,"ERROR"))</f>
        <v>3.834669726864819E-3</v>
      </c>
      <c r="AJ1208" s="94">
        <f>IF('Net zero activities &amp; levers'!$C$14="Off",Constants!$H70*'Activity data'!BC12*Constants!$H88*FracLEACHMM*MMLeachEF*NtoN2O*kgtoGg,IF('Net zero activities &amp; levers'!$C$14="On",Constants!$H70*'Net zero Activity data'!BC12*Constants!$H88*FracLEACHMM*MMLeachEF*NtoN2O*kgtoGg,"ERROR"))</f>
        <v>3.8395157489258354E-3</v>
      </c>
      <c r="AK1208" s="94">
        <f>IF('Net zero activities &amp; levers'!$C$14="Off",Constants!$H70*'Activity data'!BD12*Constants!$H88*FracLEACHMM*MMLeachEF*NtoN2O*kgtoGg,IF('Net zero activities &amp; levers'!$C$14="On",Constants!$H70*'Net zero Activity data'!BD12*Constants!$H88*FracLEACHMM*MMLeachEF*NtoN2O*kgtoGg,"ERROR"))</f>
        <v>3.8446975290039364E-3</v>
      </c>
      <c r="AL1208" s="94">
        <f>IF('Net zero activities &amp; levers'!$C$14="Off",Constants!$H70*'Activity data'!BE12*Constants!$H88*FracLEACHMM*MMLeachEF*NtoN2O*kgtoGg,IF('Net zero activities &amp; levers'!$C$14="On",Constants!$H70*'Net zero Activity data'!BE12*Constants!$H88*FracLEACHMM*MMLeachEF*NtoN2O*kgtoGg,"ERROR"))</f>
        <v>3.8502767157253038E-3</v>
      </c>
      <c r="AM1208" s="94">
        <f>IF('Net zero activities &amp; levers'!$C$14="Off",Constants!$H70*'Activity data'!BF12*Constants!$H88*FracLEACHMM*MMLeachEF*NtoN2O*kgtoGg,IF('Net zero activities &amp; levers'!$C$14="On",Constants!$H70*'Net zero Activity data'!BF12*Constants!$H88*FracLEACHMM*MMLeachEF*NtoN2O*kgtoGg,"ERROR"))</f>
        <v>3.8562028927689521E-3</v>
      </c>
      <c r="AN1208" s="94">
        <f>IF('Net zero activities &amp; levers'!$C$14="Off",Constants!$H70*'Activity data'!BG12*Constants!$H88*FracLEACHMM*MMLeachEF*NtoN2O*kgtoGg,IF('Net zero activities &amp; levers'!$C$14="On",Constants!$H70*'Net zero Activity data'!BG12*Constants!$H88*FracLEACHMM*MMLeachEF*NtoN2O*kgtoGg,"ERROR"))</f>
        <v>3.8596395921165526E-3</v>
      </c>
      <c r="AO1208" s="94">
        <f>IF('Net zero activities &amp; levers'!$C$14="Off",Constants!$H70*'Activity data'!BH12*Constants!$H88*FracLEACHMM*MMLeachEF*NtoN2O*kgtoGg,IF('Net zero activities &amp; levers'!$C$14="On",Constants!$H70*'Net zero Activity data'!BH12*Constants!$H88*FracLEACHMM*MMLeachEF*NtoN2O*kgtoGg,"ERROR"))</f>
        <v>3.8633362066106815E-3</v>
      </c>
      <c r="AP1208" s="94">
        <f>IF('Net zero activities &amp; levers'!$C$14="Off",Constants!$H70*'Activity data'!BI12*Constants!$H88*FracLEACHMM*MMLeachEF*NtoN2O*kgtoGg,IF('Net zero activities &amp; levers'!$C$14="On",Constants!$H70*'Net zero Activity data'!BI12*Constants!$H88*FracLEACHMM*MMLeachEF*NtoN2O*kgtoGg,"ERROR"))</f>
        <v>3.8673399793231139E-3</v>
      </c>
      <c r="AQ1208" s="94">
        <f>IF('Net zero activities &amp; levers'!$C$14="Off",Constants!$H70*'Activity data'!BJ12*Constants!$H88*FracLEACHMM*MMLeachEF*NtoN2O*kgtoGg,IF('Net zero activities &amp; levers'!$C$14="On",Constants!$H70*'Net zero Activity data'!BJ12*Constants!$H88*FracLEACHMM*MMLeachEF*NtoN2O*kgtoGg,"ERROR"))</f>
        <v>3.8716564374053405E-3</v>
      </c>
      <c r="AR1208" s="94">
        <f>IF('Net zero activities &amp; levers'!$C$14="Off",Constants!$H70*'Activity data'!BK12*Constants!$H88*FracLEACHMM*MMLeachEF*NtoN2O*kgtoGg,IF('Net zero activities &amp; levers'!$C$14="On",Constants!$H70*'Net zero Activity data'!BK12*Constants!$H88*FracLEACHMM*MMLeachEF*NtoN2O*kgtoGg,"ERROR"))</f>
        <v>3.8762825634269383E-3</v>
      </c>
      <c r="AS1208" s="94">
        <f>IF('Net zero activities &amp; levers'!$C$14="Off",Constants!$H70*'Activity data'!BL12*Constants!$H88*FracLEACHMM*MMLeachEF*NtoN2O*kgtoGg,IF('Net zero activities &amp; levers'!$C$14="On",Constants!$H70*'Net zero Activity data'!BL12*Constants!$H88*FracLEACHMM*MMLeachEF*NtoN2O*kgtoGg,"ERROR"))</f>
        <v>3.8783511363721934E-3</v>
      </c>
      <c r="AT1208" s="94">
        <f>IF('Net zero activities &amp; levers'!$C$14="Off",Constants!$H70*'Activity data'!BM12*Constants!$H88*FracLEACHMM*MMLeachEF*NtoN2O*kgtoGg,IF('Net zero activities &amp; levers'!$C$14="On",Constants!$H70*'Net zero Activity data'!BM12*Constants!$H88*FracLEACHMM*MMLeachEF*NtoN2O*kgtoGg,"ERROR"))</f>
        <v>3.8802764840823911E-3</v>
      </c>
      <c r="AU1208" s="94">
        <f>IF('Net zero activities &amp; levers'!$C$14="Off",Constants!$H70*'Activity data'!BN12*Constants!$H88*FracLEACHMM*MMLeachEF*NtoN2O*kgtoGg,IF('Net zero activities &amp; levers'!$C$14="On",Constants!$H70*'Net zero Activity data'!BN12*Constants!$H88*FracLEACHMM*MMLeachEF*NtoN2O*kgtoGg,"ERROR"))</f>
        <v>3.8824109277045466E-3</v>
      </c>
      <c r="AV1208" s="94">
        <f>IF('Net zero activities &amp; levers'!$C$14="Off",Constants!$H70*'Activity data'!BO12*Constants!$H88*FracLEACHMM*MMLeachEF*NtoN2O*kgtoGg,IF('Net zero activities &amp; levers'!$C$14="On",Constants!$H70*'Net zero Activity data'!BO12*Constants!$H88*FracLEACHMM*MMLeachEF*NtoN2O*kgtoGg,"ERROR"))</f>
        <v>3.8847886802949221E-3</v>
      </c>
      <c r="AW1208" s="94">
        <f>IF('Net zero activities &amp; levers'!$C$14="Off",Constants!$H70*'Activity data'!BP12*Constants!$H88*FracLEACHMM*MMLeachEF*NtoN2O*kgtoGg,IF('Net zero activities &amp; levers'!$C$14="On",Constants!$H70*'Net zero Activity data'!BP12*Constants!$H88*FracLEACHMM*MMLeachEF*NtoN2O*kgtoGg,"ERROR"))</f>
        <v>3.8873852645577018E-3</v>
      </c>
      <c r="AY1208" s="79"/>
    </row>
    <row r="1209" spans="1:51" x14ac:dyDescent="0.2">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5.4322987485311551E-4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5.4896316873921192E-4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5.5840147541839707E-4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5.6545048661351359E-4</v>
      </c>
      <c r="T1209" s="94">
        <f>IF('Net zero activities &amp; levers'!$C$14="Off",Constants!$H71*'Activity data'!AM13*Constants!$H89*FracLEACHMM*MMLeachEF*NtoN2O*kgtoGg,IF('Net zero activities &amp; levers'!$C$14="On",Constants!$H71*'Net zero Activity data'!AM13*Constants!$H89*FracLEACHMM*MMLeachEF*NtoN2O*kgtoGg,"ERROR"))</f>
        <v>5.6709357361271675E-4</v>
      </c>
      <c r="U1209" s="94">
        <f>IF('Net zero activities &amp; levers'!$C$14="Off",Constants!$H71*'Activity data'!AN13*Constants!$H89*FracLEACHMM*MMLeachEF*NtoN2O*kgtoGg,IF('Net zero activities &amp; levers'!$C$14="On",Constants!$H71*'Net zero Activity data'!AN13*Constants!$H89*FracLEACHMM*MMLeachEF*NtoN2O*kgtoGg,"ERROR"))</f>
        <v>5.688596151711496E-4</v>
      </c>
      <c r="V1209" s="94">
        <f>IF('Net zero activities &amp; levers'!$C$14="Off",Constants!$H71*'Activity data'!AO13*Constants!$H89*FracLEACHMM*MMLeachEF*NtoN2O*kgtoGg,IF('Net zero activities &amp; levers'!$C$14="On",Constants!$H71*'Net zero Activity data'!AO13*Constants!$H89*FracLEACHMM*MMLeachEF*NtoN2O*kgtoGg,"ERROR"))</f>
        <v>5.7077020841237065E-4</v>
      </c>
      <c r="W1209" s="94">
        <f>IF('Net zero activities &amp; levers'!$C$14="Off",Constants!$H71*'Activity data'!AP13*Constants!$H89*FracLEACHMM*MMLeachEF*NtoN2O*kgtoGg,IF('Net zero activities &amp; levers'!$C$14="On",Constants!$H71*'Net zero Activity data'!AP13*Constants!$H89*FracLEACHMM*MMLeachEF*NtoN2O*kgtoGg,"ERROR"))</f>
        <v>5.7284633112627235E-4</v>
      </c>
      <c r="X1209" s="94">
        <f>IF('Net zero activities &amp; levers'!$C$14="Off",Constants!$H71*'Activity data'!AQ13*Constants!$H89*FracLEACHMM*MMLeachEF*NtoN2O*kgtoGg,IF('Net zero activities &amp; levers'!$C$14="On",Constants!$H71*'Net zero Activity data'!AQ13*Constants!$H89*FracLEACHMM*MMLeachEF*NtoN2O*kgtoGg,"ERROR"))</f>
        <v>5.7505104202951998E-4</v>
      </c>
      <c r="Y1209" s="94">
        <f>IF('Net zero activities &amp; levers'!$C$14="Off",Constants!$H71*'Activity data'!AR13*Constants!$H89*FracLEACHMM*MMLeachEF*NtoN2O*kgtoGg,IF('Net zero activities &amp; levers'!$C$14="On",Constants!$H71*'Net zero Activity data'!AR13*Constants!$H89*FracLEACHMM*MMLeachEF*NtoN2O*kgtoGg,"ERROR"))</f>
        <v>5.7642933432393154E-4</v>
      </c>
      <c r="Z1209" s="94">
        <f>IF('Net zero activities &amp; levers'!$C$14="Off",Constants!$H71*'Activity data'!AS13*Constants!$H89*FracLEACHMM*MMLeachEF*NtoN2O*kgtoGg,IF('Net zero activities &amp; levers'!$C$14="On",Constants!$H71*'Net zero Activity data'!AS13*Constants!$H89*FracLEACHMM*MMLeachEF*NtoN2O*kgtoGg,"ERROR"))</f>
        <v>5.7792028160119863E-4</v>
      </c>
      <c r="AA1209" s="94">
        <f>IF('Net zero activities &amp; levers'!$C$14="Off",Constants!$H71*'Activity data'!AT13*Constants!$H89*FracLEACHMM*MMLeachEF*NtoN2O*kgtoGg,IF('Net zero activities &amp; levers'!$C$14="On",Constants!$H71*'Net zero Activity data'!AT13*Constants!$H89*FracLEACHMM*MMLeachEF*NtoN2O*kgtoGg,"ERROR"))</f>
        <v>5.7951511495132196E-4</v>
      </c>
      <c r="AB1209" s="94">
        <f>IF('Net zero activities &amp; levers'!$C$14="Off",Constants!$H71*'Activity data'!AU13*Constants!$H89*FracLEACHMM*MMLeachEF*NtoN2O*kgtoGg,IF('Net zero activities &amp; levers'!$C$14="On",Constants!$H71*'Net zero Activity data'!AU13*Constants!$H89*FracLEACHMM*MMLeachEF*NtoN2O*kgtoGg,"ERROR"))</f>
        <v>5.8124875364710992E-4</v>
      </c>
      <c r="AC1209" s="94">
        <f>IF('Net zero activities &amp; levers'!$C$14="Off",Constants!$H71*'Activity data'!AV13*Constants!$H89*FracLEACHMM*MMLeachEF*NtoN2O*kgtoGg,IF('Net zero activities &amp; levers'!$C$14="On",Constants!$H71*'Net zero Activity data'!AV13*Constants!$H89*FracLEACHMM*MMLeachEF*NtoN2O*kgtoGg,"ERROR"))</f>
        <v>5.8308126155427384E-4</v>
      </c>
      <c r="AD1209" s="94">
        <f>IF('Net zero activities &amp; levers'!$C$14="Off",Constants!$H71*'Activity data'!AW13*Constants!$H89*FracLEACHMM*MMLeachEF*NtoN2O*kgtoGg,IF('Net zero activities &amp; levers'!$C$14="On",Constants!$H71*'Net zero Activity data'!AW13*Constants!$H89*FracLEACHMM*MMLeachEF*NtoN2O*kgtoGg,"ERROR"))</f>
        <v>5.8427258810919626E-4</v>
      </c>
      <c r="AE1209" s="94">
        <f>IF('Net zero activities &amp; levers'!$C$14="Off",Constants!$H71*'Activity data'!AX13*Constants!$H89*FracLEACHMM*MMLeachEF*NtoN2O*kgtoGg,IF('Net zero activities &amp; levers'!$C$14="On",Constants!$H71*'Net zero Activity data'!AX13*Constants!$H89*FracLEACHMM*MMLeachEF*NtoN2O*kgtoGg,"ERROR"))</f>
        <v>5.8558467766040652E-4</v>
      </c>
      <c r="AF1209" s="94">
        <f>IF('Net zero activities &amp; levers'!$C$14="Off",Constants!$H71*'Activity data'!AY13*Constants!$H89*FracLEACHMM*MMLeachEF*NtoN2O*kgtoGg,IF('Net zero activities &amp; levers'!$C$14="On",Constants!$H71*'Net zero Activity data'!AY13*Constants!$H89*FracLEACHMM*MMLeachEF*NtoN2O*kgtoGg,"ERROR"))</f>
        <v>5.8699724042408691E-4</v>
      </c>
      <c r="AG1209" s="94">
        <f>IF('Net zero activities &amp; levers'!$C$14="Off",Constants!$H71*'Activity data'!AZ13*Constants!$H89*FracLEACHMM*MMLeachEF*NtoN2O*kgtoGg,IF('Net zero activities &amp; levers'!$C$14="On",Constants!$H71*'Net zero Activity data'!AZ13*Constants!$H89*FracLEACHMM*MMLeachEF*NtoN2O*kgtoGg,"ERROR"))</f>
        <v>5.8852547780245982E-4</v>
      </c>
      <c r="AH1209" s="94">
        <f>IF('Net zero activities &amp; levers'!$C$14="Off",Constants!$H71*'Activity data'!BA13*Constants!$H89*FracLEACHMM*MMLeachEF*NtoN2O*kgtoGg,IF('Net zero activities &amp; levers'!$C$14="On",Constants!$H71*'Net zero Activity data'!BA13*Constants!$H89*FracLEACHMM*MMLeachEF*NtoN2O*kgtoGg,"ERROR"))</f>
        <v>5.9008039799106414E-4</v>
      </c>
      <c r="AI1209" s="94">
        <f>IF('Net zero activities &amp; levers'!$C$14="Off",Constants!$H71*'Activity data'!BB13*Constants!$H89*FracLEACHMM*MMLeachEF*NtoN2O*kgtoGg,IF('Net zero activities &amp; levers'!$C$14="On",Constants!$H71*'Net zero Activity data'!BB13*Constants!$H89*FracLEACHMM*MMLeachEF*NtoN2O*kgtoGg,"ERROR"))</f>
        <v>5.9100081451309786E-4</v>
      </c>
      <c r="AJ1209" s="94">
        <f>IF('Net zero activities &amp; levers'!$C$14="Off",Constants!$H71*'Activity data'!BC13*Constants!$H89*FracLEACHMM*MMLeachEF*NtoN2O*kgtoGg,IF('Net zero activities &amp; levers'!$C$14="On",Constants!$H71*'Net zero Activity data'!BC13*Constants!$H89*FracLEACHMM*MMLeachEF*NtoN2O*kgtoGg,"ERROR"))</f>
        <v>5.9200813916272929E-4</v>
      </c>
      <c r="AK1209" s="94">
        <f>IF('Net zero activities &amp; levers'!$C$14="Off",Constants!$H71*'Activity data'!BD13*Constants!$H89*FracLEACHMM*MMLeachEF*NtoN2O*kgtoGg,IF('Net zero activities &amp; levers'!$C$14="On",Constants!$H71*'Net zero Activity data'!BD13*Constants!$H89*FracLEACHMM*MMLeachEF*NtoN2O*kgtoGg,"ERROR"))</f>
        <v>5.9307526025328071E-4</v>
      </c>
      <c r="AL1209" s="94">
        <f>IF('Net zero activities &amp; levers'!$C$14="Off",Constants!$H71*'Activity data'!BE13*Constants!$H89*FracLEACHMM*MMLeachEF*NtoN2O*kgtoGg,IF('Net zero activities &amp; levers'!$C$14="On",Constants!$H71*'Net zero Activity data'!BE13*Constants!$H89*FracLEACHMM*MMLeachEF*NtoN2O*kgtoGg,"ERROR"))</f>
        <v>5.942161722415414E-4</v>
      </c>
      <c r="AM1209" s="94">
        <f>IF('Net zero activities &amp; levers'!$C$14="Off",Constants!$H71*'Activity data'!BF13*Constants!$H89*FracLEACHMM*MMLeachEF*NtoN2O*kgtoGg,IF('Net zero activities &amp; levers'!$C$14="On",Constants!$H71*'Net zero Activity data'!BF13*Constants!$H89*FracLEACHMM*MMLeachEF*NtoN2O*kgtoGg,"ERROR"))</f>
        <v>5.9541998695626641E-4</v>
      </c>
      <c r="AN1209" s="94">
        <f>IF('Net zero activities &amp; levers'!$C$14="Off",Constants!$H71*'Activity data'!BG13*Constants!$H89*FracLEACHMM*MMLeachEF*NtoN2O*kgtoGg,IF('Net zero activities &amp; levers'!$C$14="On",Constants!$H71*'Net zero Activity data'!BG13*Constants!$H89*FracLEACHMM*MMLeachEF*NtoN2O*kgtoGg,"ERROR"))</f>
        <v>5.9606189392580344E-4</v>
      </c>
      <c r="AO1209" s="94">
        <f>IF('Net zero activities &amp; levers'!$C$14="Off",Constants!$H71*'Activity data'!BH13*Constants!$H89*FracLEACHMM*MMLeachEF*NtoN2O*kgtoGg,IF('Net zero activities &amp; levers'!$C$14="On",Constants!$H71*'Net zero Activity data'!BH13*Constants!$H89*FracLEACHMM*MMLeachEF*NtoN2O*kgtoGg,"ERROR"))</f>
        <v>5.9675021369894824E-4</v>
      </c>
      <c r="AP1209" s="94">
        <f>IF('Net zero activities &amp; levers'!$C$14="Off",Constants!$H71*'Activity data'!BI13*Constants!$H89*FracLEACHMM*MMLeachEF*NtoN2O*kgtoGg,IF('Net zero activities &amp; levers'!$C$14="On",Constants!$H71*'Net zero Activity data'!BI13*Constants!$H89*FracLEACHMM*MMLeachEF*NtoN2O*kgtoGg,"ERROR"))</f>
        <v>5.9749556471656829E-4</v>
      </c>
      <c r="AQ1209" s="94">
        <f>IF('Net zero activities &amp; levers'!$C$14="Off",Constants!$H71*'Activity data'!BJ13*Constants!$H89*FracLEACHMM*MMLeachEF*NtoN2O*kgtoGg,IF('Net zero activities &amp; levers'!$C$14="On",Constants!$H71*'Net zero Activity data'!BJ13*Constants!$H89*FracLEACHMM*MMLeachEF*NtoN2O*kgtoGg,"ERROR"))</f>
        <v>5.9829931979982535E-4</v>
      </c>
      <c r="AR1209" s="94">
        <f>IF('Net zero activities &amp; levers'!$C$14="Off",Constants!$H71*'Activity data'!BK13*Constants!$H89*FracLEACHMM*MMLeachEF*NtoN2O*kgtoGg,IF('Net zero activities &amp; levers'!$C$14="On",Constants!$H71*'Net zero Activity data'!BK13*Constants!$H89*FracLEACHMM*MMLeachEF*NtoN2O*kgtoGg,"ERROR"))</f>
        <v>5.9916094831137718E-4</v>
      </c>
      <c r="AS1209" s="94">
        <f>IF('Net zero activities &amp; levers'!$C$14="Off",Constants!$H71*'Activity data'!BL13*Constants!$H89*FracLEACHMM*MMLeachEF*NtoN2O*kgtoGg,IF('Net zero activities &amp; levers'!$C$14="On",Constants!$H71*'Net zero Activity data'!BL13*Constants!$H89*FracLEACHMM*MMLeachEF*NtoN2O*kgtoGg,"ERROR"))</f>
        <v>5.9945405400764929E-4</v>
      </c>
      <c r="AT1209" s="94">
        <f>IF('Net zero activities &amp; levers'!$C$14="Off",Constants!$H71*'Activity data'!BM13*Constants!$H89*FracLEACHMM*MMLeachEF*NtoN2O*kgtoGg,IF('Net zero activities &amp; levers'!$C$14="On",Constants!$H71*'Net zero Activity data'!BM13*Constants!$H89*FracLEACHMM*MMLeachEF*NtoN2O*kgtoGg,"ERROR"))</f>
        <v>5.9970848295436412E-4</v>
      </c>
      <c r="AU1209" s="94">
        <f>IF('Net zero activities &amp; levers'!$C$14="Off",Constants!$H71*'Activity data'!BN13*Constants!$H89*FracLEACHMM*MMLeachEF*NtoN2O*kgtoGg,IF('Net zero activities &amp; levers'!$C$14="On",Constants!$H71*'Net zero Activity data'!BN13*Constants!$H89*FracLEACHMM*MMLeachEF*NtoN2O*kgtoGg,"ERROR"))</f>
        <v>6.00001478883441E-4</v>
      </c>
      <c r="AV1209" s="94">
        <f>IF('Net zero activities &amp; levers'!$C$14="Off",Constants!$H71*'Activity data'!BO13*Constants!$H89*FracLEACHMM*MMLeachEF*NtoN2O*kgtoGg,IF('Net zero activities &amp; levers'!$C$14="On",Constants!$H71*'Net zero Activity data'!BO13*Constants!$H89*FracLEACHMM*MMLeachEF*NtoN2O*kgtoGg,"ERROR"))</f>
        <v>6.0034059567570894E-4</v>
      </c>
      <c r="AW1209" s="94">
        <f>IF('Net zero activities &amp; levers'!$C$14="Off",Constants!$H71*'Activity data'!BP13*Constants!$H89*FracLEACHMM*MMLeachEF*NtoN2O*kgtoGg,IF('Net zero activities &amp; levers'!$C$14="On",Constants!$H71*'Net zero Activity data'!BP13*Constants!$H89*FracLEACHMM*MMLeachEF*NtoN2O*kgtoGg,"ERROR"))</f>
        <v>6.0072058236705953E-4</v>
      </c>
      <c r="AY1209" s="79"/>
    </row>
    <row r="1210" spans="1:51" x14ac:dyDescent="0.2">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6.6992563985089938E-3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6.8863566425632549E-3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6.973286937707302E-3</v>
      </c>
      <c r="T1210" s="94">
        <f>IF('Net zero activities &amp; levers'!$C$14="Off",Constants!$H72*'Activity data'!AM14*Constants!$H90*FracLEACHMM*MMLeachEF*NtoN2O*kgtoGg,IF('Net zero activities &amp; levers'!$C$14="On",Constants!$H72*'Net zero Activity data'!AM14*Constants!$H90*FracLEACHMM*MMLeachEF*NtoN2O*kgtoGg,"ERROR"))</f>
        <v>6.9935499269173423E-3</v>
      </c>
      <c r="U1210" s="94">
        <f>IF('Net zero activities &amp; levers'!$C$14="Off",Constants!$H72*'Activity data'!AN14*Constants!$H90*FracLEACHMM*MMLeachEF*NtoN2O*kgtoGg,IF('Net zero activities &amp; levers'!$C$14="On",Constants!$H72*'Net zero Activity data'!AN14*Constants!$H90*FracLEACHMM*MMLeachEF*NtoN2O*kgtoGg,"ERROR"))</f>
        <v>7.0153292247027649E-3</v>
      </c>
      <c r="V1210" s="94">
        <f>IF('Net zero activities &amp; levers'!$C$14="Off",Constants!$H72*'Activity data'!AO14*Constants!$H90*FracLEACHMM*MMLeachEF*NtoN2O*kgtoGg,IF('Net zero activities &amp; levers'!$C$14="On",Constants!$H72*'Net zero Activity data'!AO14*Constants!$H90*FracLEACHMM*MMLeachEF*NtoN2O*kgtoGg,"ERROR"))</f>
        <v>7.0388911725791786E-3</v>
      </c>
      <c r="W1210" s="94">
        <f>IF('Net zero activities &amp; levers'!$C$14="Off",Constants!$H72*'Activity data'!AP14*Constants!$H90*FracLEACHMM*MMLeachEF*NtoN2O*kgtoGg,IF('Net zero activities &amp; levers'!$C$14="On",Constants!$H72*'Net zero Activity data'!AP14*Constants!$H90*FracLEACHMM*MMLeachEF*NtoN2O*kgtoGg,"ERROR"))</f>
        <v>7.0644944742734297E-3</v>
      </c>
      <c r="X1210" s="94">
        <f>IF('Net zero activities &amp; levers'!$C$14="Off",Constants!$H72*'Activity data'!AQ14*Constants!$H90*FracLEACHMM*MMLeachEF*NtoN2O*kgtoGg,IF('Net zero activities &amp; levers'!$C$14="On",Constants!$H72*'Net zero Activity data'!AQ14*Constants!$H90*FracLEACHMM*MMLeachEF*NtoN2O*kgtoGg,"ERROR"))</f>
        <v>7.0916835599794349E-3</v>
      </c>
      <c r="Y1210" s="94">
        <f>IF('Net zero activities &amp; levers'!$C$14="Off",Constants!$H72*'Activity data'!AR14*Constants!$H90*FracLEACHMM*MMLeachEF*NtoN2O*kgtoGg,IF('Net zero activities &amp; levers'!$C$14="On",Constants!$H72*'Net zero Activity data'!AR14*Constants!$H90*FracLEACHMM*MMLeachEF*NtoN2O*kgtoGg,"ERROR"))</f>
        <v>7.1086810299268487E-3</v>
      </c>
      <c r="Z1210" s="94">
        <f>IF('Net zero activities &amp; levers'!$C$14="Off",Constants!$H72*'Activity data'!AS14*Constants!$H90*FracLEACHMM*MMLeachEF*NtoN2O*kgtoGg,IF('Net zero activities &amp; levers'!$C$14="On",Constants!$H72*'Net zero Activity data'!AS14*Constants!$H90*FracLEACHMM*MMLeachEF*NtoN2O*kgtoGg,"ERROR"))</f>
        <v>7.1270677913135832E-3</v>
      </c>
      <c r="AA1210" s="94">
        <f>IF('Net zero activities &amp; levers'!$C$14="Off",Constants!$H72*'Activity data'!AT14*Constants!$H90*FracLEACHMM*MMLeachEF*NtoN2O*kgtoGg,IF('Net zero activities &amp; levers'!$C$14="On",Constants!$H72*'Net zero Activity data'!AT14*Constants!$H90*FracLEACHMM*MMLeachEF*NtoN2O*kgtoGg,"ERROR"))</f>
        <v>7.1467357035915266E-3</v>
      </c>
      <c r="AB1210" s="94">
        <f>IF('Net zero activities &amp; levers'!$C$14="Off",Constants!$H72*'Activity data'!AU14*Constants!$H90*FracLEACHMM*MMLeachEF*NtoN2O*kgtoGg,IF('Net zero activities &amp; levers'!$C$14="On",Constants!$H72*'Net zero Activity data'!AU14*Constants!$H90*FracLEACHMM*MMLeachEF*NtoN2O*kgtoGg,"ERROR"))</f>
        <v>7.1681154005910717E-3</v>
      </c>
      <c r="AC1210" s="94">
        <f>IF('Net zero activities &amp; levers'!$C$14="Off",Constants!$H72*'Activity data'!AV14*Constants!$H90*FracLEACHMM*MMLeachEF*NtoN2O*kgtoGg,IF('Net zero activities &amp; levers'!$C$14="On",Constants!$H72*'Net zero Activity data'!AV14*Constants!$H90*FracLEACHMM*MMLeachEF*NtoN2O*kgtoGg,"ERROR"))</f>
        <v>7.1907143792015659E-3</v>
      </c>
      <c r="AD1210" s="94">
        <f>IF('Net zero activities &amp; levers'!$C$14="Off",Constants!$H72*'Activity data'!AW14*Constants!$H90*FracLEACHMM*MMLeachEF*NtoN2O*kgtoGg,IF('Net zero activities &amp; levers'!$C$14="On",Constants!$H72*'Net zero Activity data'!AW14*Constants!$H90*FracLEACHMM*MMLeachEF*NtoN2O*kgtoGg,"ERROR"))</f>
        <v>7.2054061375440787E-3</v>
      </c>
      <c r="AE1210" s="94">
        <f>IF('Net zero activities &amp; levers'!$C$14="Off",Constants!$H72*'Activity data'!AX14*Constants!$H90*FracLEACHMM*MMLeachEF*NtoN2O*kgtoGg,IF('Net zero activities &amp; levers'!$C$14="On",Constants!$H72*'Net zero Activity data'!AX14*Constants!$H90*FracLEACHMM*MMLeachEF*NtoN2O*kgtoGg,"ERROR"))</f>
        <v>7.2215871775204617E-3</v>
      </c>
      <c r="AF1210" s="94">
        <f>IF('Net zero activities &amp; levers'!$C$14="Off",Constants!$H72*'Activity data'!AY14*Constants!$H90*FracLEACHMM*MMLeachEF*NtoN2O*kgtoGg,IF('Net zero activities &amp; levers'!$C$14="On",Constants!$H72*'Net zero Activity data'!AY14*Constants!$H90*FracLEACHMM*MMLeachEF*NtoN2O*kgtoGg,"ERROR"))</f>
        <v>7.2390072800791469E-3</v>
      </c>
      <c r="AG1210" s="94">
        <f>IF('Net zero activities &amp; levers'!$C$14="Off",Constants!$H72*'Activity data'!AZ14*Constants!$H90*FracLEACHMM*MMLeachEF*NtoN2O*kgtoGg,IF('Net zero activities &amp; levers'!$C$14="On",Constants!$H72*'Net zero Activity data'!AZ14*Constants!$H90*FracLEACHMM*MMLeachEF*NtoN2O*kgtoGg,"ERROR"))</f>
        <v>7.2578539129862047E-3</v>
      </c>
      <c r="AH1210" s="94">
        <f>IF('Net zero activities &amp; levers'!$C$14="Off",Constants!$H72*'Activity data'!BA14*Constants!$H90*FracLEACHMM*MMLeachEF*NtoN2O*kgtoGg,IF('Net zero activities &amp; levers'!$C$14="On",Constants!$H72*'Net zero Activity data'!BA14*Constants!$H90*FracLEACHMM*MMLeachEF*NtoN2O*kgtoGg,"ERROR"))</f>
        <v>7.277029605459848E-3</v>
      </c>
      <c r="AI1210" s="94">
        <f>IF('Net zero activities &amp; levers'!$C$14="Off",Constants!$H72*'Activity data'!BB14*Constants!$H90*FracLEACHMM*MMLeachEF*NtoN2O*kgtoGg,IF('Net zero activities &amp; levers'!$C$14="On",Constants!$H72*'Net zero Activity data'!BB14*Constants!$H90*FracLEACHMM*MMLeachEF*NtoN2O*kgtoGg,"ERROR"))</f>
        <v>7.2883804286747794E-3</v>
      </c>
      <c r="AJ1210" s="94">
        <f>IF('Net zero activities &amp; levers'!$C$14="Off",Constants!$H72*'Activity data'!BC14*Constants!$H90*FracLEACHMM*MMLeachEF*NtoN2O*kgtoGg,IF('Net zero activities &amp; levers'!$C$14="On",Constants!$H72*'Net zero Activity data'!BC14*Constants!$H90*FracLEACHMM*MMLeachEF*NtoN2O*kgtoGg,"ERROR"))</f>
        <v>7.3008030262100192E-3</v>
      </c>
      <c r="AK1210" s="94">
        <f>IF('Net zero activities &amp; levers'!$C$14="Off",Constants!$H72*'Activity data'!BD14*Constants!$H90*FracLEACHMM*MMLeachEF*NtoN2O*kgtoGg,IF('Net zero activities &amp; levers'!$C$14="On",Constants!$H72*'Net zero Activity data'!BD14*Constants!$H90*FracLEACHMM*MMLeachEF*NtoN2O*kgtoGg,"ERROR"))</f>
        <v>7.3139630494797169E-3</v>
      </c>
      <c r="AL1210" s="94">
        <f>IF('Net zero activities &amp; levers'!$C$14="Off",Constants!$H72*'Activity data'!BE14*Constants!$H90*FracLEACHMM*MMLeachEF*NtoN2O*kgtoGg,IF('Net zero activities &amp; levers'!$C$14="On",Constants!$H72*'Net zero Activity data'!BE14*Constants!$H90*FracLEACHMM*MMLeachEF*NtoN2O*kgtoGg,"ERROR"))</f>
        <v>7.3280330818754061E-3</v>
      </c>
      <c r="AM1210" s="94">
        <f>IF('Net zero activities &amp; levers'!$C$14="Off",Constants!$H72*'Activity data'!BF14*Constants!$H90*FracLEACHMM*MMLeachEF*NtoN2O*kgtoGg,IF('Net zero activities &amp; levers'!$C$14="On",Constants!$H72*'Net zero Activity data'!BF14*Constants!$H90*FracLEACHMM*MMLeachEF*NtoN2O*kgtoGg,"ERROR"))</f>
        <v>7.3428788475513491E-3</v>
      </c>
      <c r="AN1210" s="94">
        <f>IF('Net zero activities &amp; levers'!$C$14="Off",Constants!$H72*'Activity data'!BG14*Constants!$H90*FracLEACHMM*MMLeachEF*NtoN2O*kgtoGg,IF('Net zero activities &amp; levers'!$C$14="On",Constants!$H72*'Net zero Activity data'!BG14*Constants!$H90*FracLEACHMM*MMLeachEF*NtoN2O*kgtoGg,"ERROR"))</f>
        <v>7.3507950163262765E-3</v>
      </c>
      <c r="AO1210" s="94">
        <f>IF('Net zero activities &amp; levers'!$C$14="Off",Constants!$H72*'Activity data'!BH14*Constants!$H90*FracLEACHMM*MMLeachEF*NtoN2O*kgtoGg,IF('Net zero activities &amp; levers'!$C$14="On",Constants!$H72*'Net zero Activity data'!BH14*Constants!$H90*FracLEACHMM*MMLeachEF*NtoN2O*kgtoGg,"ERROR"))</f>
        <v>7.3592835602335977E-3</v>
      </c>
      <c r="AP1210" s="94">
        <f>IF('Net zero activities &amp; levers'!$C$14="Off",Constants!$H72*'Activity data'!BI14*Constants!$H90*FracLEACHMM*MMLeachEF*NtoN2O*kgtoGg,IF('Net zero activities &amp; levers'!$C$14="On",Constants!$H72*'Net zero Activity data'!BI14*Constants!$H90*FracLEACHMM*MMLeachEF*NtoN2O*kgtoGg,"ERROR"))</f>
        <v>7.3684754287317664E-3</v>
      </c>
      <c r="AQ1210" s="94">
        <f>IF('Net zero activities &amp; levers'!$C$14="Off",Constants!$H72*'Activity data'!BJ14*Constants!$H90*FracLEACHMM*MMLeachEF*NtoN2O*kgtoGg,IF('Net zero activities &amp; levers'!$C$14="On",Constants!$H72*'Net zero Activity data'!BJ14*Constants!$H90*FracLEACHMM*MMLeachEF*NtoN2O*kgtoGg,"ERROR"))</f>
        <v>7.3783875518192519E-3</v>
      </c>
      <c r="AR1210" s="94">
        <f>IF('Net zero activities &amp; levers'!$C$14="Off",Constants!$H72*'Activity data'!BK14*Constants!$H90*FracLEACHMM*MMLeachEF*NtoN2O*kgtoGg,IF('Net zero activities &amp; levers'!$C$14="On",Constants!$H72*'Net zero Activity data'!BK14*Constants!$H90*FracLEACHMM*MMLeachEF*NtoN2O*kgtoGg,"ERROR"))</f>
        <v>7.3890133855341444E-3</v>
      </c>
      <c r="AS1210" s="94">
        <f>IF('Net zero activities &amp; levers'!$C$14="Off",Constants!$H72*'Activity data'!BL14*Constants!$H90*FracLEACHMM*MMLeachEF*NtoN2O*kgtoGg,IF('Net zero activities &amp; levers'!$C$14="On",Constants!$H72*'Net zero Activity data'!BL14*Constants!$H90*FracLEACHMM*MMLeachEF*NtoN2O*kgtoGg,"ERROR"))</f>
        <v>7.3926280435308569E-3</v>
      </c>
      <c r="AT1210" s="94">
        <f>IF('Net zero activities &amp; levers'!$C$14="Off",Constants!$H72*'Activity data'!BM14*Constants!$H90*FracLEACHMM*MMLeachEF*NtoN2O*kgtoGg,IF('Net zero activities &amp; levers'!$C$14="On",Constants!$H72*'Net zero Activity data'!BM14*Constants!$H90*FracLEACHMM*MMLeachEF*NtoN2O*kgtoGg,"ERROR"))</f>
        <v>7.3957657294869287E-3</v>
      </c>
      <c r="AU1210" s="94">
        <f>IF('Net zero activities &amp; levers'!$C$14="Off",Constants!$H72*'Activity data'!BN14*Constants!$H90*FracLEACHMM*MMLeachEF*NtoN2O*kgtoGg,IF('Net zero activities &amp; levers'!$C$14="On",Constants!$H72*'Net zero Activity data'!BN14*Constants!$H90*FracLEACHMM*MMLeachEF*NtoN2O*kgtoGg,"ERROR"))</f>
        <v>7.3993790338051698E-3</v>
      </c>
      <c r="AV1210" s="94">
        <f>IF('Net zero activities &amp; levers'!$C$14="Off",Constants!$H72*'Activity data'!BO14*Constants!$H90*FracLEACHMM*MMLeachEF*NtoN2O*kgtoGg,IF('Net zero activities &amp; levers'!$C$14="On",Constants!$H72*'Net zero Activity data'!BO14*Constants!$H90*FracLEACHMM*MMLeachEF*NtoN2O*kgtoGg,"ERROR"))</f>
        <v>7.4035611129683564E-3</v>
      </c>
      <c r="AW1210" s="94">
        <f>IF('Net zero activities &amp; levers'!$C$14="Off",Constants!$H72*'Activity data'!BP14*Constants!$H90*FracLEACHMM*MMLeachEF*NtoN2O*kgtoGg,IF('Net zero activities &amp; levers'!$C$14="On",Constants!$H72*'Net zero Activity data'!BP14*Constants!$H90*FracLEACHMM*MMLeachEF*NtoN2O*kgtoGg,"ERROR"))</f>
        <v>7.4082472106798752E-3</v>
      </c>
      <c r="AY1210" s="79"/>
    </row>
    <row r="1211" spans="1:51" x14ac:dyDescent="0.2">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2">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2">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2.6729002214214585E-2</v>
      </c>
      <c r="M1213" s="94">
        <f>IF('Net zero activities &amp; levers'!$C$14="Off",Constants!$H75*'Activity data'!AF17*Constants!$H93*FracLEACHMM*MMLeachEF*NtoN2O*kgtoGg,IF('Net zero activities &amp; levers'!$C$14="On",Constants!$H75*'Net zero Activity data'!AF17*Constants!$H93*FracLEACHMM*MMLeachEF*NtoN2O*kgtoGg,"ERROR"))</f>
        <v>2.6740992333189322E-2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2.609452683304702E-2</v>
      </c>
      <c r="P1213" s="94">
        <f>IF('Net zero activities &amp; levers'!$C$14="Off",Constants!$H75*'Activity data'!AI17*Constants!$H93*FracLEACHMM*MMLeachEF*NtoN2O*kgtoGg,IF('Net zero activities &amp; levers'!$C$14="On",Constants!$H75*'Net zero Activity data'!AI17*Constants!$H93*FracLEACHMM*MMLeachEF*NtoN2O*kgtoGg,"ERROR"))</f>
        <v>2.5544514050244028E-2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2.4781112413324518E-2</v>
      </c>
      <c r="S1213" s="94">
        <f>IF('Net zero activities &amp; levers'!$C$14="Off",Constants!$H75*'Activity data'!AL17*Constants!$H93*FracLEACHMM*MMLeachEF*NtoN2O*kgtoGg,IF('Net zero activities &amp; levers'!$C$14="On",Constants!$H75*'Net zero Activity data'!AL17*Constants!$H93*FracLEACHMM*MMLeachEF*NtoN2O*kgtoGg,"ERROR"))</f>
        <v>2.20798204460615E-2</v>
      </c>
      <c r="T1213" s="94">
        <f>IF('Net zero activities &amp; levers'!$C$14="Off",Constants!$H75*'Activity data'!AM17*Constants!$H93*FracLEACHMM*MMLeachEF*NtoN2O*kgtoGg,IF('Net zero activities &amp; levers'!$C$14="On",Constants!$H75*'Net zero Activity data'!AM17*Constants!$H93*FracLEACHMM*MMLeachEF*NtoN2O*kgtoGg,"ERROR"))</f>
        <v>2.2424557938008405E-2</v>
      </c>
      <c r="U1213" s="94">
        <f>IF('Net zero activities &amp; levers'!$C$14="Off",Constants!$H75*'Activity data'!AN17*Constants!$H93*FracLEACHMM*MMLeachEF*NtoN2O*kgtoGg,IF('Net zero activities &amp; levers'!$C$14="On",Constants!$H75*'Net zero Activity data'!AN17*Constants!$H93*FracLEACHMM*MMLeachEF*NtoN2O*kgtoGg,"ERROR"))</f>
        <v>2.2570971116616413E-2</v>
      </c>
      <c r="V1213" s="94">
        <f>IF('Net zero activities &amp; levers'!$C$14="Off",Constants!$H75*'Activity data'!AO17*Constants!$H93*FracLEACHMM*MMLeachEF*NtoN2O*kgtoGg,IF('Net zero activities &amp; levers'!$C$14="On",Constants!$H75*'Net zero Activity data'!AO17*Constants!$H93*FracLEACHMM*MMLeachEF*NtoN2O*kgtoGg,"ERROR"))</f>
        <v>2.2667395166558576E-2</v>
      </c>
      <c r="W1213" s="94">
        <f>IF('Net zero activities &amp; levers'!$C$14="Off",Constants!$H75*'Activity data'!AP17*Constants!$H93*FracLEACHMM*MMLeachEF*NtoN2O*kgtoGg,IF('Net zero activities &amp; levers'!$C$14="On",Constants!$H75*'Net zero Activity data'!AP17*Constants!$H93*FracLEACHMM*MMLeachEF*NtoN2O*kgtoGg,"ERROR"))</f>
        <v>2.284594133514007E-2</v>
      </c>
      <c r="X1213" s="94">
        <f>IF('Net zero activities &amp; levers'!$C$14="Off",Constants!$H75*'Activity data'!AQ17*Constants!$H93*FracLEACHMM*MMLeachEF*NtoN2O*kgtoGg,IF('Net zero activities &amp; levers'!$C$14="On",Constants!$H75*'Net zero Activity data'!AQ17*Constants!$H93*FracLEACHMM*MMLeachEF*NtoN2O*kgtoGg,"ERROR"))</f>
        <v>2.2978923721971391E-2</v>
      </c>
      <c r="Y1213" s="94">
        <f>IF('Net zero activities &amp; levers'!$C$14="Off",Constants!$H75*'Activity data'!AR17*Constants!$H93*FracLEACHMM*MMLeachEF*NtoN2O*kgtoGg,IF('Net zero activities &amp; levers'!$C$14="On",Constants!$H75*'Net zero Activity data'!AR17*Constants!$H93*FracLEACHMM*MMLeachEF*NtoN2O*kgtoGg,"ERROR"))</f>
        <v>2.3048677917067804E-2</v>
      </c>
      <c r="Z1213" s="94">
        <f>IF('Net zero activities &amp; levers'!$C$14="Off",Constants!$H75*'Activity data'!AS17*Constants!$H93*FracLEACHMM*MMLeachEF*NtoN2O*kgtoGg,IF('Net zero activities &amp; levers'!$C$14="On",Constants!$H75*'Net zero Activity data'!AS17*Constants!$H93*FracLEACHMM*MMLeachEF*NtoN2O*kgtoGg,"ERROR"))</f>
        <v>2.3091415921174294E-2</v>
      </c>
      <c r="AA1213" s="94">
        <f>IF('Net zero activities &amp; levers'!$C$14="Off",Constants!$H75*'Activity data'!AT17*Constants!$H93*FracLEACHMM*MMLeachEF*NtoN2O*kgtoGg,IF('Net zero activities &amp; levers'!$C$14="On",Constants!$H75*'Net zero Activity data'!AT17*Constants!$H93*FracLEACHMM*MMLeachEF*NtoN2O*kgtoGg,"ERROR"))</f>
        <v>2.3097213386295078E-2</v>
      </c>
      <c r="AB1213" s="94">
        <f>IF('Net zero activities &amp; levers'!$C$14="Off",Constants!$H75*'Activity data'!AU17*Constants!$H93*FracLEACHMM*MMLeachEF*NtoN2O*kgtoGg,IF('Net zero activities &amp; levers'!$C$14="On",Constants!$H75*'Net zero Activity data'!AU17*Constants!$H93*FracLEACHMM*MMLeachEF*NtoN2O*kgtoGg,"ERROR"))</f>
        <v>2.323133845353377E-2</v>
      </c>
      <c r="AC1213" s="94">
        <f>IF('Net zero activities &amp; levers'!$C$14="Off",Constants!$H75*'Activity data'!AV17*Constants!$H93*FracLEACHMM*MMLeachEF*NtoN2O*kgtoGg,IF('Net zero activities &amp; levers'!$C$14="On",Constants!$H75*'Net zero Activity data'!AV17*Constants!$H93*FracLEACHMM*MMLeachEF*NtoN2O*kgtoGg,"ERROR"))</f>
        <v>2.3348495871952417E-2</v>
      </c>
      <c r="AD1213" s="94">
        <f>IF('Net zero activities &amp; levers'!$C$14="Off",Constants!$H75*'Activity data'!AW17*Constants!$H93*FracLEACHMM*MMLeachEF*NtoN2O*kgtoGg,IF('Net zero activities &amp; levers'!$C$14="On",Constants!$H75*'Net zero Activity data'!AW17*Constants!$H93*FracLEACHMM*MMLeachEF*NtoN2O*kgtoGg,"ERROR"))</f>
        <v>2.3517064058520994E-2</v>
      </c>
      <c r="AE1213" s="94">
        <f>IF('Net zero activities &amp; levers'!$C$14="Off",Constants!$H75*'Activity data'!AX17*Constants!$H93*FracLEACHMM*MMLeachEF*NtoN2O*kgtoGg,IF('Net zero activities &amp; levers'!$C$14="On",Constants!$H75*'Net zero Activity data'!AX17*Constants!$H93*FracLEACHMM*MMLeachEF*NtoN2O*kgtoGg,"ERROR"))</f>
        <v>2.3801807583193908E-2</v>
      </c>
      <c r="AF1213" s="94">
        <f>IF('Net zero activities &amp; levers'!$C$14="Off",Constants!$H75*'Activity data'!AY17*Constants!$H93*FracLEACHMM*MMLeachEF*NtoN2O*kgtoGg,IF('Net zero activities &amp; levers'!$C$14="On",Constants!$H75*'Net zero Activity data'!AY17*Constants!$H93*FracLEACHMM*MMLeachEF*NtoN2O*kgtoGg,"ERROR"))</f>
        <v>2.4135258091248658E-2</v>
      </c>
      <c r="AG1213" s="94">
        <f>IF('Net zero activities &amp; levers'!$C$14="Off",Constants!$H75*'Activity data'!AZ17*Constants!$H93*FracLEACHMM*MMLeachEF*NtoN2O*kgtoGg,IF('Net zero activities &amp; levers'!$C$14="On",Constants!$H75*'Net zero Activity data'!AZ17*Constants!$H93*FracLEACHMM*MMLeachEF*NtoN2O*kgtoGg,"ERROR"))</f>
        <v>2.4586723078799614E-2</v>
      </c>
      <c r="AH1213" s="94">
        <f>IF('Net zero activities &amp; levers'!$C$14="Off",Constants!$H75*'Activity data'!BA17*Constants!$H93*FracLEACHMM*MMLeachEF*NtoN2O*kgtoGg,IF('Net zero activities &amp; levers'!$C$14="On",Constants!$H75*'Net zero Activity data'!BA17*Constants!$H93*FracLEACHMM*MMLeachEF*NtoN2O*kgtoGg,"ERROR"))</f>
        <v>2.483044349217995E-2</v>
      </c>
      <c r="AI1213" s="94">
        <f>IF('Net zero activities &amp; levers'!$C$14="Off",Constants!$H75*'Activity data'!BB17*Constants!$H93*FracLEACHMM*MMLeachEF*NtoN2O*kgtoGg,IF('Net zero activities &amp; levers'!$C$14="On",Constants!$H75*'Net zero Activity data'!BB17*Constants!$H93*FracLEACHMM*MMLeachEF*NtoN2O*kgtoGg,"ERROR"))</f>
        <v>2.5043308594524263E-2</v>
      </c>
      <c r="AJ1213" s="94">
        <f>IF('Net zero activities &amp; levers'!$C$14="Off",Constants!$H75*'Activity data'!BC17*Constants!$H93*FracLEACHMM*MMLeachEF*NtoN2O*kgtoGg,IF('Net zero activities &amp; levers'!$C$14="On",Constants!$H75*'Net zero Activity data'!BC17*Constants!$H93*FracLEACHMM*MMLeachEF*NtoN2O*kgtoGg,"ERROR"))</f>
        <v>2.531081903004264E-2</v>
      </c>
      <c r="AK1213" s="94">
        <f>IF('Net zero activities &amp; levers'!$C$14="Off",Constants!$H75*'Activity data'!BD17*Constants!$H93*FracLEACHMM*MMLeachEF*NtoN2O*kgtoGg,IF('Net zero activities &amp; levers'!$C$14="On",Constants!$H75*'Net zero Activity data'!BD17*Constants!$H93*FracLEACHMM*MMLeachEF*NtoN2O*kgtoGg,"ERROR"))</f>
        <v>2.5543075681886771E-2</v>
      </c>
      <c r="AL1213" s="94">
        <f>IF('Net zero activities &amp; levers'!$C$14="Off",Constants!$H75*'Activity data'!BE17*Constants!$H93*FracLEACHMM*MMLeachEF*NtoN2O*kgtoGg,IF('Net zero activities &amp; levers'!$C$14="On",Constants!$H75*'Net zero Activity data'!BE17*Constants!$H93*FracLEACHMM*MMLeachEF*NtoN2O*kgtoGg,"ERROR"))</f>
        <v>2.5800065264390357E-2</v>
      </c>
      <c r="AM1213" s="94">
        <f>IF('Net zero activities &amp; levers'!$C$14="Off",Constants!$H75*'Activity data'!BF17*Constants!$H93*FracLEACHMM*MMLeachEF*NtoN2O*kgtoGg,IF('Net zero activities &amp; levers'!$C$14="On",Constants!$H75*'Net zero Activity data'!BF17*Constants!$H93*FracLEACHMM*MMLeachEF*NtoN2O*kgtoGg,"ERROR"))</f>
        <v>2.6050738429193292E-2</v>
      </c>
      <c r="AN1213" s="94">
        <f>IF('Net zero activities &amp; levers'!$C$14="Off",Constants!$H75*'Activity data'!BG17*Constants!$H93*FracLEACHMM*MMLeachEF*NtoN2O*kgtoGg,IF('Net zero activities &amp; levers'!$C$14="On",Constants!$H75*'Net zero Activity data'!BG17*Constants!$H93*FracLEACHMM*MMLeachEF*NtoN2O*kgtoGg,"ERROR"))</f>
        <v>2.6388228624982798E-2</v>
      </c>
      <c r="AO1213" s="94">
        <f>IF('Net zero activities &amp; levers'!$C$14="Off",Constants!$H75*'Activity data'!BH17*Constants!$H93*FracLEACHMM*MMLeachEF*NtoN2O*kgtoGg,IF('Net zero activities &amp; levers'!$C$14="On",Constants!$H75*'Net zero Activity data'!BH17*Constants!$H93*FracLEACHMM*MMLeachEF*NtoN2O*kgtoGg,"ERROR"))</f>
        <v>2.6681293830850793E-2</v>
      </c>
      <c r="AP1213" s="94">
        <f>IF('Net zero activities &amp; levers'!$C$14="Off",Constants!$H75*'Activity data'!BI17*Constants!$H93*FracLEACHMM*MMLeachEF*NtoN2O*kgtoGg,IF('Net zero activities &amp; levers'!$C$14="On",Constants!$H75*'Net zero Activity data'!BI17*Constants!$H93*FracLEACHMM*MMLeachEF*NtoN2O*kgtoGg,"ERROR"))</f>
        <v>2.6974098587187682E-2</v>
      </c>
      <c r="AQ1213" s="94">
        <f>IF('Net zero activities &amp; levers'!$C$14="Off",Constants!$H75*'Activity data'!BJ17*Constants!$H93*FracLEACHMM*MMLeachEF*NtoN2O*kgtoGg,IF('Net zero activities &amp; levers'!$C$14="On",Constants!$H75*'Net zero Activity data'!BJ17*Constants!$H93*FracLEACHMM*MMLeachEF*NtoN2O*kgtoGg,"ERROR"))</f>
        <v>2.7277302536496094E-2</v>
      </c>
      <c r="AR1213" s="94">
        <f>IF('Net zero activities &amp; levers'!$C$14="Off",Constants!$H75*'Activity data'!BK17*Constants!$H93*FracLEACHMM*MMLeachEF*NtoN2O*kgtoGg,IF('Net zero activities &amp; levers'!$C$14="On",Constants!$H75*'Net zero Activity data'!BK17*Constants!$H93*FracLEACHMM*MMLeachEF*NtoN2O*kgtoGg,"ERROR"))</f>
        <v>2.759431398689733E-2</v>
      </c>
      <c r="AS1213" s="94">
        <f>IF('Net zero activities &amp; levers'!$C$14="Off",Constants!$H75*'Activity data'!BL17*Constants!$H93*FracLEACHMM*MMLeachEF*NtoN2O*kgtoGg,IF('Net zero activities &amp; levers'!$C$14="On",Constants!$H75*'Net zero Activity data'!BL17*Constants!$H93*FracLEACHMM*MMLeachEF*NtoN2O*kgtoGg,"ERROR"))</f>
        <v>2.800744241344803E-2</v>
      </c>
      <c r="AT1213" s="94">
        <f>IF('Net zero activities &amp; levers'!$C$14="Off",Constants!$H75*'Activity data'!BM17*Constants!$H93*FracLEACHMM*MMLeachEF*NtoN2O*kgtoGg,IF('Net zero activities &amp; levers'!$C$14="On",Constants!$H75*'Net zero Activity data'!BM17*Constants!$H93*FracLEACHMM*MMLeachEF*NtoN2O*kgtoGg,"ERROR"))</f>
        <v>2.8135384789660874E-2</v>
      </c>
      <c r="AU1213" s="94">
        <f>IF('Net zero activities &amp; levers'!$C$14="Off",Constants!$H75*'Activity data'!BN17*Constants!$H93*FracLEACHMM*MMLeachEF*NtoN2O*kgtoGg,IF('Net zero activities &amp; levers'!$C$14="On",Constants!$H75*'Net zero Activity data'!BN17*Constants!$H93*FracLEACHMM*MMLeachEF*NtoN2O*kgtoGg,"ERROR"))</f>
        <v>2.8237574251430975E-2</v>
      </c>
      <c r="AV1213" s="94">
        <f>IF('Net zero activities &amp; levers'!$C$14="Off",Constants!$H75*'Activity data'!BO17*Constants!$H93*FracLEACHMM*MMLeachEF*NtoN2O*kgtoGg,IF('Net zero activities &amp; levers'!$C$14="On",Constants!$H75*'Net zero Activity data'!BO17*Constants!$H93*FracLEACHMM*MMLeachEF*NtoN2O*kgtoGg,"ERROR"))</f>
        <v>2.8342961193356213E-2</v>
      </c>
      <c r="AW1213" s="94">
        <f>IF('Net zero activities &amp; levers'!$C$14="Off",Constants!$H75*'Activity data'!BP17*Constants!$H93*FracLEACHMM*MMLeachEF*NtoN2O*kgtoGg,IF('Net zero activities &amp; levers'!$C$14="On",Constants!$H75*'Net zero Activity data'!BP17*Constants!$H93*FracLEACHMM*MMLeachEF*NtoN2O*kgtoGg,"ERROR"))</f>
        <v>2.8439412611602398E-2</v>
      </c>
      <c r="AY1213" s="79"/>
    </row>
    <row r="1214" spans="1:51" x14ac:dyDescent="0.2">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3.9947810410006996E-3</v>
      </c>
      <c r="M1214" s="94">
        <f>IF('Net zero activities &amp; levers'!$C$14="Off",Constants!$H76*'Activity data'!AF18*Constants!$H94*FracLEACHMM*MMLeachEF*NtoN2O*kgtoGg,IF('Net zero activities &amp; levers'!$C$14="On",Constants!$H76*'Net zero Activity data'!AF18*Constants!$H94*FracLEACHMM*MMLeachEF*NtoN2O*kgtoGg,"ERROR"))</f>
        <v>3.9965730233416704E-3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3.8999555700251322E-3</v>
      </c>
      <c r="P1214" s="94">
        <f>IF('Net zero activities &amp; levers'!$C$14="Off",Constants!$H76*'Activity data'!AI18*Constants!$H94*FracLEACHMM*MMLeachEF*NtoN2O*kgtoGg,IF('Net zero activities &amp; levers'!$C$14="On",Constants!$H76*'Net zero Activity data'!AI18*Constants!$H94*FracLEACHMM*MMLeachEF*NtoN2O*kgtoGg,"ERROR"))</f>
        <v>3.8177534504158584E-3</v>
      </c>
      <c r="Q1214" s="94">
        <f>IF('Net zero activities &amp; levers'!$C$14="Off",Constants!$H76*'Activity data'!AJ18*Constants!$H94*FracLEACHMM*MMLeachEF*NtoN2O*kgtoGg,IF('Net zero activities &amp; levers'!$C$14="On",Constants!$H76*'Net zero Activity data'!AJ18*Constants!$H94*FracLEACHMM*MMLeachEF*NtoN2O*kgtoGg,"ERROR"))</f>
        <v>3.7580655955978051E-3</v>
      </c>
      <c r="R1214" s="94">
        <f>IF('Net zero activities &amp; levers'!$C$14="Off",Constants!$H76*'Activity data'!AK18*Constants!$H94*FracLEACHMM*MMLeachEF*NtoN2O*kgtoGg,IF('Net zero activities &amp; levers'!$C$14="On",Constants!$H76*'Net zero Activity data'!AK18*Constants!$H94*FracLEACHMM*MMLeachEF*NtoN2O*kgtoGg,"ERROR"))</f>
        <v>3.7036593154610876E-3</v>
      </c>
      <c r="S1214" s="94">
        <f>IF('Net zero activities &amp; levers'!$C$14="Off",Constants!$H76*'Activity data'!AL18*Constants!$H94*FracLEACHMM*MMLeachEF*NtoN2O*kgtoGg,IF('Net zero activities &amp; levers'!$C$14="On",Constants!$H76*'Net zero Activity data'!AL18*Constants!$H94*FracLEACHMM*MMLeachEF*NtoN2O*kgtoGg,"ERROR"))</f>
        <v>3.2999379250946686E-3</v>
      </c>
      <c r="T1214" s="94">
        <f>IF('Net zero activities &amp; levers'!$C$14="Off",Constants!$H76*'Activity data'!AM18*Constants!$H94*FracLEACHMM*MMLeachEF*NtoN2O*kgtoGg,IF('Net zero activities &amp; levers'!$C$14="On",Constants!$H76*'Net zero Activity data'!AM18*Constants!$H94*FracLEACHMM*MMLeachEF*NtoN2O*kgtoGg,"ERROR"))</f>
        <v>3.3514606413530125E-3</v>
      </c>
      <c r="U1214" s="94">
        <f>IF('Net zero activities &amp; levers'!$C$14="Off",Constants!$H76*'Activity data'!AN18*Constants!$H94*FracLEACHMM*MMLeachEF*NtoN2O*kgtoGg,IF('Net zero activities &amp; levers'!$C$14="On",Constants!$H76*'Net zero Activity data'!AN18*Constants!$H94*FracLEACHMM*MMLeachEF*NtoN2O*kgtoGg,"ERROR"))</f>
        <v>3.3733428120890697E-3</v>
      </c>
      <c r="V1214" s="94">
        <f>IF('Net zero activities &amp; levers'!$C$14="Off",Constants!$H76*'Activity data'!AO18*Constants!$H94*FracLEACHMM*MMLeachEF*NtoN2O*kgtoGg,IF('Net zero activities &amp; levers'!$C$14="On",Constants!$H76*'Net zero Activity data'!AO18*Constants!$H94*FracLEACHMM*MMLeachEF*NtoN2O*kgtoGg,"ERROR"))</f>
        <v>3.3877538613126231E-3</v>
      </c>
      <c r="W1214" s="94">
        <f>IF('Net zero activities &amp; levers'!$C$14="Off",Constants!$H76*'Activity data'!AP18*Constants!$H94*FracLEACHMM*MMLeachEF*NtoN2O*kgtoGg,IF('Net zero activities &amp; levers'!$C$14="On",Constants!$H76*'Net zero Activity data'!AP18*Constants!$H94*FracLEACHMM*MMLeachEF*NtoN2O*kgtoGg,"ERROR"))</f>
        <v>3.4144384656789365E-3</v>
      </c>
      <c r="X1214" s="94">
        <f>IF('Net zero activities &amp; levers'!$C$14="Off",Constants!$H76*'Activity data'!AQ18*Constants!$H94*FracLEACHMM*MMLeachEF*NtoN2O*kgtoGg,IF('Net zero activities &amp; levers'!$C$14="On",Constants!$H76*'Net zero Activity data'!AQ18*Constants!$H94*FracLEACHMM*MMLeachEF*NtoN2O*kgtoGg,"ERROR"))</f>
        <v>3.4343133384273955E-3</v>
      </c>
      <c r="Y1214" s="94">
        <f>IF('Net zero activities &amp; levers'!$C$14="Off",Constants!$H76*'Activity data'!AR18*Constants!$H94*FracLEACHMM*MMLeachEF*NtoN2O*kgtoGg,IF('Net zero activities &amp; levers'!$C$14="On",Constants!$H76*'Net zero Activity data'!AR18*Constants!$H94*FracLEACHMM*MMLeachEF*NtoN2O*kgtoGg,"ERROR"))</f>
        <v>3.4447384464755082E-3</v>
      </c>
      <c r="Z1214" s="94">
        <f>IF('Net zero activities &amp; levers'!$C$14="Off",Constants!$H76*'Activity data'!AS18*Constants!$H94*FracLEACHMM*MMLeachEF*NtoN2O*kgtoGg,IF('Net zero activities &amp; levers'!$C$14="On",Constants!$H76*'Net zero Activity data'!AS18*Constants!$H94*FracLEACHMM*MMLeachEF*NtoN2O*kgtoGg,"ERROR"))</f>
        <v>3.4511258517054724E-3</v>
      </c>
      <c r="AA1214" s="94">
        <f>IF('Net zero activities &amp; levers'!$C$14="Off",Constants!$H76*'Activity data'!AT18*Constants!$H94*FracLEACHMM*MMLeachEF*NtoN2O*kgtoGg,IF('Net zero activities &amp; levers'!$C$14="On",Constants!$H76*'Net zero Activity data'!AT18*Constants!$H94*FracLEACHMM*MMLeachEF*NtoN2O*kgtoGg,"ERROR"))</f>
        <v>3.4519923114245724E-3</v>
      </c>
      <c r="AB1214" s="94">
        <f>IF('Net zero activities &amp; levers'!$C$14="Off",Constants!$H76*'Activity data'!AU18*Constants!$H94*FracLEACHMM*MMLeachEF*NtoN2O*kgtoGg,IF('Net zero activities &amp; levers'!$C$14="On",Constants!$H76*'Net zero Activity data'!AU18*Constants!$H94*FracLEACHMM*MMLeachEF*NtoN2O*kgtoGg,"ERROR"))</f>
        <v>3.4720379633884583E-3</v>
      </c>
      <c r="AC1214" s="94">
        <f>IF('Net zero activities &amp; levers'!$C$14="Off",Constants!$H76*'Activity data'!AV18*Constants!$H94*FracLEACHMM*MMLeachEF*NtoN2O*kgtoGg,IF('Net zero activities &amp; levers'!$C$14="On",Constants!$H76*'Net zero Activity data'!AV18*Constants!$H94*FracLEACHMM*MMLeachEF*NtoN2O*kgtoGg,"ERROR"))</f>
        <v>3.4895477166579812E-3</v>
      </c>
      <c r="AD1214" s="94">
        <f>IF('Net zero activities &amp; levers'!$C$14="Off",Constants!$H76*'Activity data'!AW18*Constants!$H94*FracLEACHMM*MMLeachEF*NtoN2O*kgtoGg,IF('Net zero activities &amp; levers'!$C$14="On",Constants!$H76*'Net zero Activity data'!AW18*Constants!$H94*FracLEACHMM*MMLeachEF*NtoN2O*kgtoGg,"ERROR"))</f>
        <v>3.5147410624635305E-3</v>
      </c>
      <c r="AE1214" s="94">
        <f>IF('Net zero activities &amp; levers'!$C$14="Off",Constants!$H76*'Activity data'!AX18*Constants!$H94*FracLEACHMM*MMLeachEF*NtoN2O*kgtoGg,IF('Net zero activities &amp; levers'!$C$14="On",Constants!$H76*'Net zero Activity data'!AX18*Constants!$H94*FracLEACHMM*MMLeachEF*NtoN2O*kgtoGg,"ERROR"))</f>
        <v>3.5572973847981574E-3</v>
      </c>
      <c r="AF1214" s="94">
        <f>IF('Net zero activities &amp; levers'!$C$14="Off",Constants!$H76*'Activity data'!AY18*Constants!$H94*FracLEACHMM*MMLeachEF*NtoN2O*kgtoGg,IF('Net zero activities &amp; levers'!$C$14="On",Constants!$H76*'Net zero Activity data'!AY18*Constants!$H94*FracLEACHMM*MMLeachEF*NtoN2O*kgtoGg,"ERROR"))</f>
        <v>3.6071332057170833E-3</v>
      </c>
      <c r="AG1214" s="94">
        <f>IF('Net zero activities &amp; levers'!$C$14="Off",Constants!$H76*'Activity data'!AZ18*Constants!$H94*FracLEACHMM*MMLeachEF*NtoN2O*kgtoGg,IF('Net zero activities &amp; levers'!$C$14="On",Constants!$H76*'Net zero Activity data'!AZ18*Constants!$H94*FracLEACHMM*MMLeachEF*NtoN2O*kgtoGg,"ERROR"))</f>
        <v>3.6746068719052303E-3</v>
      </c>
      <c r="AH1214" s="94">
        <f>IF('Net zero activities &amp; levers'!$C$14="Off",Constants!$H76*'Activity data'!BA18*Constants!$H94*FracLEACHMM*MMLeachEF*NtoN2O*kgtoGg,IF('Net zero activities &amp; levers'!$C$14="On",Constants!$H76*'Net zero Activity data'!BA18*Constants!$H94*FracLEACHMM*MMLeachEF*NtoN2O*kgtoGg,"ERROR"))</f>
        <v>3.7110320881880462E-3</v>
      </c>
      <c r="AI1214" s="94">
        <f>IF('Net zero activities &amp; levers'!$C$14="Off",Constants!$H76*'Activity data'!BB18*Constants!$H94*FracLEACHMM*MMLeachEF*NtoN2O*kgtoGg,IF('Net zero activities &amp; levers'!$C$14="On",Constants!$H76*'Net zero Activity data'!BB18*Constants!$H94*FracLEACHMM*MMLeachEF*NtoN2O*kgtoGg,"ERROR"))</f>
        <v>3.7428458262513211E-3</v>
      </c>
      <c r="AJ1214" s="94">
        <f>IF('Net zero activities &amp; levers'!$C$14="Off",Constants!$H76*'Activity data'!BC18*Constants!$H94*FracLEACHMM*MMLeachEF*NtoN2O*kgtoGg,IF('Net zero activities &amp; levers'!$C$14="On",Constants!$H76*'Net zero Activity data'!BC18*Constants!$H94*FracLEACHMM*MMLeachEF*NtoN2O*kgtoGg,"ERROR"))</f>
        <v>3.7828265785261059E-3</v>
      </c>
      <c r="AK1214" s="94">
        <f>IF('Net zero activities &amp; levers'!$C$14="Off",Constants!$H76*'Activity data'!BD18*Constants!$H94*FracLEACHMM*MMLeachEF*NtoN2O*kgtoGg,IF('Net zero activities &amp; levers'!$C$14="On",Constants!$H76*'Net zero Activity data'!BD18*Constants!$H94*FracLEACHMM*MMLeachEF*NtoN2O*kgtoGg,"ERROR"))</f>
        <v>3.8175384791798387E-3</v>
      </c>
      <c r="AL1214" s="94">
        <f>IF('Net zero activities &amp; levers'!$C$14="Off",Constants!$H76*'Activity data'!BE18*Constants!$H94*FracLEACHMM*MMLeachEF*NtoN2O*kgtoGg,IF('Net zero activities &amp; levers'!$C$14="On",Constants!$H76*'Net zero Activity data'!BE18*Constants!$H94*FracLEACHMM*MMLeachEF*NtoN2O*kgtoGg,"ERROR"))</f>
        <v>3.8559468381485868E-3</v>
      </c>
      <c r="AM1214" s="94">
        <f>IF('Net zero activities &amp; levers'!$C$14="Off",Constants!$H76*'Activity data'!BF18*Constants!$H94*FracLEACHMM*MMLeachEF*NtoN2O*kgtoGg,IF('Net zero activities &amp; levers'!$C$14="On",Constants!$H76*'Net zero Activity data'!BF18*Constants!$H94*FracLEACHMM*MMLeachEF*NtoN2O*kgtoGg,"ERROR"))</f>
        <v>3.8934111773789473E-3</v>
      </c>
      <c r="AN1214" s="94">
        <f>IF('Net zero activities &amp; levers'!$C$14="Off",Constants!$H76*'Activity data'!BG18*Constants!$H94*FracLEACHMM*MMLeachEF*NtoN2O*kgtoGg,IF('Net zero activities &amp; levers'!$C$14="On",Constants!$H76*'Net zero Activity data'!BG18*Constants!$H94*FracLEACHMM*MMLeachEF*NtoN2O*kgtoGg,"ERROR"))</f>
        <v>3.9438507495282793E-3</v>
      </c>
      <c r="AO1214" s="94">
        <f>IF('Net zero activities &amp; levers'!$C$14="Off",Constants!$H76*'Activity data'!BH18*Constants!$H94*FracLEACHMM*MMLeachEF*NtoN2O*kgtoGg,IF('Net zero activities &amp; levers'!$C$14="On",Constants!$H76*'Net zero Activity data'!BH18*Constants!$H94*FracLEACHMM*MMLeachEF*NtoN2O*kgtoGg,"ERROR"))</f>
        <v>3.9876507881079406E-3</v>
      </c>
      <c r="AP1214" s="94">
        <f>IF('Net zero activities &amp; levers'!$C$14="Off",Constants!$H76*'Activity data'!BI18*Constants!$H94*FracLEACHMM*MMLeachEF*NtoN2O*kgtoGg,IF('Net zero activities &amp; levers'!$C$14="On",Constants!$H76*'Net zero Activity data'!BI18*Constants!$H94*FracLEACHMM*MMLeachEF*NtoN2O*kgtoGg,"ERROR"))</f>
        <v>4.0314119012222708E-3</v>
      </c>
      <c r="AQ1214" s="94">
        <f>IF('Net zero activities &amp; levers'!$C$14="Off",Constants!$H76*'Activity data'!BJ18*Constants!$H94*FracLEACHMM*MMLeachEF*NtoN2O*kgtoGg,IF('Net zero activities &amp; levers'!$C$14="On",Constants!$H76*'Net zero Activity data'!BJ18*Constants!$H94*FracLEACHMM*MMLeachEF*NtoN2O*kgtoGg,"ERROR"))</f>
        <v>4.0767272249499047E-3</v>
      </c>
      <c r="AR1214" s="94">
        <f>IF('Net zero activities &amp; levers'!$C$14="Off",Constants!$H76*'Activity data'!BK18*Constants!$H94*FracLEACHMM*MMLeachEF*NtoN2O*kgtoGg,IF('Net zero activities &amp; levers'!$C$14="On",Constants!$H76*'Net zero Activity data'!BK18*Constants!$H94*FracLEACHMM*MMLeachEF*NtoN2O*kgtoGg,"ERROR"))</f>
        <v>4.1241061477280058E-3</v>
      </c>
      <c r="AS1214" s="94">
        <f>IF('Net zero activities &amp; levers'!$C$14="Off",Constants!$H76*'Activity data'!BL18*Constants!$H94*FracLEACHMM*MMLeachEF*NtoN2O*kgtoGg,IF('Net zero activities &amp; levers'!$C$14="On",Constants!$H76*'Net zero Activity data'!BL18*Constants!$H94*FracLEACHMM*MMLeachEF*NtoN2O*kgtoGg,"ERROR"))</f>
        <v>4.1858502260387767E-3</v>
      </c>
      <c r="AT1214" s="94">
        <f>IF('Net zero activities &amp; levers'!$C$14="Off",Constants!$H76*'Activity data'!BM18*Constants!$H94*FracLEACHMM*MMLeachEF*NtoN2O*kgtoGg,IF('Net zero activities &amp; levers'!$C$14="On",Constants!$H76*'Net zero Activity data'!BM18*Constants!$H94*FracLEACHMM*MMLeachEF*NtoN2O*kgtoGg,"ERROR"))</f>
        <v>4.2049718443745261E-3</v>
      </c>
      <c r="AU1214" s="94">
        <f>IF('Net zero activities &amp; levers'!$C$14="Off",Constants!$H76*'Activity data'!BN18*Constants!$H94*FracLEACHMM*MMLeachEF*NtoN2O*kgtoGg,IF('Net zero activities &amp; levers'!$C$14="On",Constants!$H76*'Net zero Activity data'!BN18*Constants!$H94*FracLEACHMM*MMLeachEF*NtoN2O*kgtoGg,"ERROR"))</f>
        <v>4.2202445627946769E-3</v>
      </c>
      <c r="AV1214" s="94">
        <f>IF('Net zero activities &amp; levers'!$C$14="Off",Constants!$H76*'Activity data'!BO18*Constants!$H94*FracLEACHMM*MMLeachEF*NtoN2O*kgtoGg,IF('Net zero activities &amp; levers'!$C$14="On",Constants!$H76*'Net zero Activity data'!BO18*Constants!$H94*FracLEACHMM*MMLeachEF*NtoN2O*kgtoGg,"ERROR"))</f>
        <v>4.2359951603739652E-3</v>
      </c>
      <c r="AW1214" s="94">
        <f>IF('Net zero activities &amp; levers'!$C$14="Off",Constants!$H76*'Activity data'!BP18*Constants!$H94*FracLEACHMM*MMLeachEF*NtoN2O*kgtoGg,IF('Net zero activities &amp; levers'!$C$14="On",Constants!$H76*'Net zero Activity data'!BP18*Constants!$H94*FracLEACHMM*MMLeachEF*NtoN2O*kgtoGg,"ERROR"))</f>
        <v>4.2504102999253611E-3</v>
      </c>
      <c r="AY1214" s="79"/>
    </row>
    <row r="1215" spans="1:51" x14ac:dyDescent="0.2">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1.7066731126843742E-2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1.8014444056791572E-2</v>
      </c>
      <c r="P1215" s="94">
        <f>IF('Net zero activities &amp; levers'!$C$14="Off",Constants!$H77*'Activity data'!AI19*Constants!$H95*FracLEACHMM*MMLeachEF*NtoN2O*kgtoGg,IF('Net zero activities &amp; levers'!$C$14="On",Constants!$H77*'Net zero Activity data'!AI19*Constants!$H95*FracLEACHMM*MMLeachEF*NtoN2O*kgtoGg,"ERROR"))</f>
        <v>1.8197780265539365E-2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1.8677293946611207E-2</v>
      </c>
      <c r="S1215" s="94">
        <f>IF('Net zero activities &amp; levers'!$C$14="Off",Constants!$H77*'Activity data'!AL19*Constants!$H95*FracLEACHMM*MMLeachEF*NtoN2O*kgtoGg,IF('Net zero activities &amp; levers'!$C$14="On",Constants!$H77*'Net zero Activity data'!AL19*Constants!$H95*FracLEACHMM*MMLeachEF*NtoN2O*kgtoGg,"ERROR"))</f>
        <v>1.7930195532315427E-2</v>
      </c>
      <c r="T1215" s="94">
        <f>IF('Net zero activities &amp; levers'!$C$14="Off",Constants!$H77*'Activity data'!AM19*Constants!$H95*FracLEACHMM*MMLeachEF*NtoN2O*kgtoGg,IF('Net zero activities &amp; levers'!$C$14="On",Constants!$H77*'Net zero Activity data'!AM19*Constants!$H95*FracLEACHMM*MMLeachEF*NtoN2O*kgtoGg,"ERROR"))</f>
        <v>1.8405757792115097E-2</v>
      </c>
      <c r="U1215" s="94">
        <f>IF('Net zero activities &amp; levers'!$C$14="Off",Constants!$H77*'Activity data'!AN19*Constants!$H95*FracLEACHMM*MMLeachEF*NtoN2O*kgtoGg,IF('Net zero activities &amp; levers'!$C$14="On",Constants!$H77*'Net zero Activity data'!AN19*Constants!$H95*FracLEACHMM*MMLeachEF*NtoN2O*kgtoGg,"ERROR"))</f>
        <v>1.880256719318036E-2</v>
      </c>
      <c r="V1215" s="94">
        <f>IF('Net zero activities &amp; levers'!$C$14="Off",Constants!$H77*'Activity data'!AO19*Constants!$H95*FracLEACHMM*MMLeachEF*NtoN2O*kgtoGg,IF('Net zero activities &amp; levers'!$C$14="On",Constants!$H77*'Net zero Activity data'!AO19*Constants!$H95*FracLEACHMM*MMLeachEF*NtoN2O*kgtoGg,"ERROR"))</f>
        <v>1.9182022263661121E-2</v>
      </c>
      <c r="W1215" s="94">
        <f>IF('Net zero activities &amp; levers'!$C$14="Off",Constants!$H77*'Activity data'!AP19*Constants!$H95*FracLEACHMM*MMLeachEF*NtoN2O*kgtoGg,IF('Net zero activities &amp; levers'!$C$14="On",Constants!$H77*'Net zero Activity data'!AP19*Constants!$H95*FracLEACHMM*MMLeachEF*NtoN2O*kgtoGg,"ERROR"))</f>
        <v>1.9603893406791358E-2</v>
      </c>
      <c r="X1215" s="94">
        <f>IF('Net zero activities &amp; levers'!$C$14="Off",Constants!$H77*'Activity data'!AQ19*Constants!$H95*FracLEACHMM*MMLeachEF*NtoN2O*kgtoGg,IF('Net zero activities &amp; levers'!$C$14="On",Constants!$H77*'Net zero Activity data'!AQ19*Constants!$H95*FracLEACHMM*MMLeachEF*NtoN2O*kgtoGg,"ERROR"))</f>
        <v>2.0010576837223248E-2</v>
      </c>
      <c r="Y1215" s="94">
        <f>IF('Net zero activities &amp; levers'!$C$14="Off",Constants!$H77*'Activity data'!AR19*Constants!$H95*FracLEACHMM*MMLeachEF*NtoN2O*kgtoGg,IF('Net zero activities &amp; levers'!$C$14="On",Constants!$H77*'Net zero Activity data'!AR19*Constants!$H95*FracLEACHMM*MMLeachEF*NtoN2O*kgtoGg,"ERROR"))</f>
        <v>2.0375728845723119E-2</v>
      </c>
      <c r="Z1215" s="94">
        <f>IF('Net zero activities &amp; levers'!$C$14="Off",Constants!$H77*'Activity data'!AS19*Constants!$H95*FracLEACHMM*MMLeachEF*NtoN2O*kgtoGg,IF('Net zero activities &amp; levers'!$C$14="On",Constants!$H77*'Net zero Activity data'!AS19*Constants!$H95*FracLEACHMM*MMLeachEF*NtoN2O*kgtoGg,"ERROR"))</f>
        <v>2.0731756448222814E-2</v>
      </c>
      <c r="AA1215" s="94">
        <f>IF('Net zero activities &amp; levers'!$C$14="Off",Constants!$H77*'Activity data'!AT19*Constants!$H95*FracLEACHMM*MMLeachEF*NtoN2O*kgtoGg,IF('Net zero activities &amp; levers'!$C$14="On",Constants!$H77*'Net zero Activity data'!AT19*Constants!$H95*FracLEACHMM*MMLeachEF*NtoN2O*kgtoGg,"ERROR"))</f>
        <v>2.1073019561660463E-2</v>
      </c>
      <c r="AB1215" s="94">
        <f>IF('Net zero activities &amp; levers'!$C$14="Off",Constants!$H77*'Activity data'!AU19*Constants!$H95*FracLEACHMM*MMLeachEF*NtoN2O*kgtoGg,IF('Net zero activities &amp; levers'!$C$14="On",Constants!$H77*'Net zero Activity data'!AU19*Constants!$H95*FracLEACHMM*MMLeachEF*NtoN2O*kgtoGg,"ERROR"))</f>
        <v>2.148336106919314E-2</v>
      </c>
      <c r="AC1215" s="94">
        <f>IF('Net zero activities &amp; levers'!$C$14="Off",Constants!$H77*'Activity data'!AV19*Constants!$H95*FracLEACHMM*MMLeachEF*NtoN2O*kgtoGg,IF('Net zero activities &amp; levers'!$C$14="On",Constants!$H77*'Net zero Activity data'!AV19*Constants!$H95*FracLEACHMM*MMLeachEF*NtoN2O*kgtoGg,"ERROR"))</f>
        <v>2.1890889267126682E-2</v>
      </c>
      <c r="AD1215" s="94">
        <f>IF('Net zero activities &amp; levers'!$C$14="Off",Constants!$H77*'Activity data'!AW19*Constants!$H95*FracLEACHMM*MMLeachEF*NtoN2O*kgtoGg,IF('Net zero activities &amp; levers'!$C$14="On",Constants!$H77*'Net zero Activity data'!AW19*Constants!$H95*FracLEACHMM*MMLeachEF*NtoN2O*kgtoGg,"ERROR"))</f>
        <v>2.231803440740647E-2</v>
      </c>
      <c r="AE1215" s="94">
        <f>IF('Net zero activities &amp; levers'!$C$14="Off",Constants!$H77*'Activity data'!AX19*Constants!$H95*FracLEACHMM*MMLeachEF*NtoN2O*kgtoGg,IF('Net zero activities &amp; levers'!$C$14="On",Constants!$H77*'Net zero Activity data'!AX19*Constants!$H95*FracLEACHMM*MMLeachEF*NtoN2O*kgtoGg,"ERROR"))</f>
        <v>2.2815454137105083E-2</v>
      </c>
      <c r="AF1215" s="94">
        <f>IF('Net zero activities &amp; levers'!$C$14="Off",Constants!$H77*'Activity data'!AY19*Constants!$H95*FracLEACHMM*MMLeachEF*NtoN2O*kgtoGg,IF('Net zero activities &amp; levers'!$C$14="On",Constants!$H77*'Net zero Activity data'!AY19*Constants!$H95*FracLEACHMM*MMLeachEF*NtoN2O*kgtoGg,"ERROR"))</f>
        <v>2.3349632701496571E-2</v>
      </c>
      <c r="AG1215" s="94">
        <f>IF('Net zero activities &amp; levers'!$C$14="Off",Constants!$H77*'Activity data'!AZ19*Constants!$H95*FracLEACHMM*MMLeachEF*NtoN2O*kgtoGg,IF('Net zero activities &amp; levers'!$C$14="On",Constants!$H77*'Net zero Activity data'!AZ19*Constants!$H95*FracLEACHMM*MMLeachEF*NtoN2O*kgtoGg,"ERROR"))</f>
        <v>2.396171160946152E-2</v>
      </c>
      <c r="AH1215" s="94">
        <f>IF('Net zero activities &amp; levers'!$C$14="Off",Constants!$H77*'Activity data'!BA19*Constants!$H95*FracLEACHMM*MMLeachEF*NtoN2O*kgtoGg,IF('Net zero activities &amp; levers'!$C$14="On",Constants!$H77*'Net zero Activity data'!BA19*Constants!$H95*FracLEACHMM*MMLeachEF*NtoN2O*kgtoGg,"ERROR"))</f>
        <v>2.4467658584898602E-2</v>
      </c>
      <c r="AI1215" s="94">
        <f>IF('Net zero activities &amp; levers'!$C$14="Off",Constants!$H77*'Activity data'!BB19*Constants!$H95*FracLEACHMM*MMLeachEF*NtoN2O*kgtoGg,IF('Net zero activities &amp; levers'!$C$14="On",Constants!$H77*'Net zero Activity data'!BB19*Constants!$H95*FracLEACHMM*MMLeachEF*NtoN2O*kgtoGg,"ERROR"))</f>
        <v>2.4951748693606203E-2</v>
      </c>
      <c r="AJ1215" s="94">
        <f>IF('Net zero activities &amp; levers'!$C$14="Off",Constants!$H77*'Activity data'!BC19*Constants!$H95*FracLEACHMM*MMLeachEF*NtoN2O*kgtoGg,IF('Net zero activities &amp; levers'!$C$14="On",Constants!$H77*'Net zero Activity data'!BC19*Constants!$H95*FracLEACHMM*MMLeachEF*NtoN2O*kgtoGg,"ERROR"))</f>
        <v>2.5477604150305377E-2</v>
      </c>
      <c r="AK1215" s="94">
        <f>IF('Net zero activities &amp; levers'!$C$14="Off",Constants!$H77*'Activity data'!BD19*Constants!$H95*FracLEACHMM*MMLeachEF*NtoN2O*kgtoGg,IF('Net zero activities &amp; levers'!$C$14="On",Constants!$H77*'Net zero Activity data'!BD19*Constants!$H95*FracLEACHMM*MMLeachEF*NtoN2O*kgtoGg,"ERROR"))</f>
        <v>2.5992359314301834E-2</v>
      </c>
      <c r="AL1215" s="94">
        <f>IF('Net zero activities &amp; levers'!$C$14="Off",Constants!$H77*'Activity data'!BE19*Constants!$H95*FracLEACHMM*MMLeachEF*NtoN2O*kgtoGg,IF('Net zero activities &amp; levers'!$C$14="On",Constants!$H77*'Net zero Activity data'!BE19*Constants!$H95*FracLEACHMM*MMLeachEF*NtoN2O*kgtoGg,"ERROR"))</f>
        <v>2.6532480091102609E-2</v>
      </c>
      <c r="AM1215" s="94">
        <f>IF('Net zero activities &amp; levers'!$C$14="Off",Constants!$H77*'Activity data'!BF19*Constants!$H95*FracLEACHMM*MMLeachEF*NtoN2O*kgtoGg,IF('Net zero activities &amp; levers'!$C$14="On",Constants!$H77*'Net zero Activity data'!BF19*Constants!$H95*FracLEACHMM*MMLeachEF*NtoN2O*kgtoGg,"ERROR"))</f>
        <v>2.7079400048144214E-2</v>
      </c>
      <c r="AN1215" s="94">
        <f>IF('Net zero activities &amp; levers'!$C$14="Off",Constants!$H77*'Activity data'!BG19*Constants!$H95*FracLEACHMM*MMLeachEF*NtoN2O*kgtoGg,IF('Net zero activities &amp; levers'!$C$14="On",Constants!$H77*'Net zero Activity data'!BG19*Constants!$H95*FracLEACHMM*MMLeachEF*NtoN2O*kgtoGg,"ERROR"))</f>
        <v>2.7680885364723965E-2</v>
      </c>
      <c r="AO1215" s="94">
        <f>IF('Net zero activities &amp; levers'!$C$14="Off",Constants!$H77*'Activity data'!BH19*Constants!$H95*FracLEACHMM*MMLeachEF*NtoN2O*kgtoGg,IF('Net zero activities &amp; levers'!$C$14="On",Constants!$H77*'Net zero Activity data'!BH19*Constants!$H95*FracLEACHMM*MMLeachEF*NtoN2O*kgtoGg,"ERROR"))</f>
        <v>2.8266293672037732E-2</v>
      </c>
      <c r="AP1215" s="94">
        <f>IF('Net zero activities &amp; levers'!$C$14="Off",Constants!$H77*'Activity data'!BI19*Constants!$H95*FracLEACHMM*MMLeachEF*NtoN2O*kgtoGg,IF('Net zero activities &amp; levers'!$C$14="On",Constants!$H77*'Net zero Activity data'!BI19*Constants!$H95*FracLEACHMM*MMLeachEF*NtoN2O*kgtoGg,"ERROR"))</f>
        <v>2.886402430987451E-2</v>
      </c>
      <c r="AQ1215" s="94">
        <f>IF('Net zero activities &amp; levers'!$C$14="Off",Constants!$H77*'Activity data'!BJ19*Constants!$H95*FracLEACHMM*MMLeachEF*NtoN2O*kgtoGg,IF('Net zero activities &amp; levers'!$C$14="On",Constants!$H77*'Net zero Activity data'!BJ19*Constants!$H95*FracLEACHMM*MMLeachEF*NtoN2O*kgtoGg,"ERROR"))</f>
        <v>2.9481723037787178E-2</v>
      </c>
      <c r="AR1215" s="94">
        <f>IF('Net zero activities &amp; levers'!$C$14="Off",Constants!$H77*'Activity data'!BK19*Constants!$H95*FracLEACHMM*MMLeachEF*NtoN2O*kgtoGg,IF('Net zero activities &amp; levers'!$C$14="On",Constants!$H77*'Net zero Activity data'!BK19*Constants!$H95*FracLEACHMM*MMLeachEF*NtoN2O*kgtoGg,"ERROR"))</f>
        <v>3.0122536424733722E-2</v>
      </c>
      <c r="AS1215" s="94">
        <f>IF('Net zero activities &amp; levers'!$C$14="Off",Constants!$H77*'Activity data'!BL19*Constants!$H95*FracLEACHMM*MMLeachEF*NtoN2O*kgtoGg,IF('Net zero activities &amp; levers'!$C$14="On",Constants!$H77*'Net zero Activity data'!BL19*Constants!$H95*FracLEACHMM*MMLeachEF*NtoN2O*kgtoGg,"ERROR"))</f>
        <v>3.0832887052217536E-2</v>
      </c>
      <c r="AT1215" s="94">
        <f>IF('Net zero activities &amp; levers'!$C$14="Off",Constants!$H77*'Activity data'!BM19*Constants!$H95*FracLEACHMM*MMLeachEF*NtoN2O*kgtoGg,IF('Net zero activities &amp; levers'!$C$14="On",Constants!$H77*'Net zero Activity data'!BM19*Constants!$H95*FracLEACHMM*MMLeachEF*NtoN2O*kgtoGg,"ERROR"))</f>
        <v>3.1354014072341549E-2</v>
      </c>
      <c r="AU1215" s="94">
        <f>IF('Net zero activities &amp; levers'!$C$14="Off",Constants!$H77*'Activity data'!BN19*Constants!$H95*FracLEACHMM*MMLeachEF*NtoN2O*kgtoGg,IF('Net zero activities &amp; levers'!$C$14="On",Constants!$H77*'Net zero Activity data'!BN19*Constants!$H95*FracLEACHMM*MMLeachEF*NtoN2O*kgtoGg,"ERROR"))</f>
        <v>3.1866079427096267E-2</v>
      </c>
      <c r="AV1215" s="94">
        <f>IF('Net zero activities &amp; levers'!$C$14="Off",Constants!$H77*'Activity data'!BO19*Constants!$H95*FracLEACHMM*MMLeachEF*NtoN2O*kgtoGg,IF('Net zero activities &amp; levers'!$C$14="On",Constants!$H77*'Net zero Activity data'!BO19*Constants!$H95*FracLEACHMM*MMLeachEF*NtoN2O*kgtoGg,"ERROR"))</f>
        <v>3.2390073533933091E-2</v>
      </c>
      <c r="AW1215" s="94">
        <f>IF('Net zero activities &amp; levers'!$C$14="Off",Constants!$H77*'Activity data'!BP19*Constants!$H95*FracLEACHMM*MMLeachEF*NtoN2O*kgtoGg,IF('Net zero activities &amp; levers'!$C$14="On",Constants!$H77*'Net zero Activity data'!BP19*Constants!$H95*FracLEACHMM*MMLeachEF*NtoN2O*kgtoGg,"ERROR"))</f>
        <v>3.2917174163896501E-2</v>
      </c>
      <c r="AY1215" s="79"/>
    </row>
    <row r="1216" spans="1:51" x14ac:dyDescent="0.2">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7.758579791322931E-2</v>
      </c>
      <c r="L1216" s="94">
        <f>IF('Net zero activities &amp; levers'!$C$14="Off",Constants!$H78*'Activity data'!AE20*Constants!$H96*FracLEACHMM*MMLeachEF*NtoN2O*kgtoGg,IF('Net zero activities &amp; levers'!$C$14="On",Constants!$H78*'Net zero Activity data'!AE20*Constants!$H96*FracLEACHMM*MMLeachEF*NtoN2O*kgtoGg,"ERROR"))</f>
        <v>7.860746419754247E-2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7.8944464359385597E-2</v>
      </c>
      <c r="R1216" s="94">
        <f>IF('Net zero activities &amp; levers'!$C$14="Off",Constants!$H78*'Activity data'!AK20*Constants!$H96*FracLEACHMM*MMLeachEF*NtoN2O*kgtoGg,IF('Net zero activities &amp; levers'!$C$14="On",Constants!$H78*'Net zero Activity data'!AK20*Constants!$H96*FracLEACHMM*MMLeachEF*NtoN2O*kgtoGg,"ERROR"))</f>
        <v>7.8604018955287305E-2</v>
      </c>
      <c r="S1216" s="94">
        <f>IF('Net zero activities &amp; levers'!$C$14="Off",Constants!$H78*'Activity data'!AL20*Constants!$H96*FracLEACHMM*MMLeachEF*NtoN2O*kgtoGg,IF('Net zero activities &amp; levers'!$C$14="On",Constants!$H78*'Net zero Activity data'!AL20*Constants!$H96*FracLEACHMM*MMLeachEF*NtoN2O*kgtoGg,"ERROR"))</f>
        <v>6.7197980387573103E-2</v>
      </c>
      <c r="T1216" s="94">
        <f>IF('Net zero activities &amp; levers'!$C$14="Off",Constants!$H78*'Activity data'!AM20*Constants!$H96*FracLEACHMM*MMLeachEF*NtoN2O*kgtoGg,IF('Net zero activities &amp; levers'!$C$14="On",Constants!$H78*'Net zero Activity data'!AM20*Constants!$H96*FracLEACHMM*MMLeachEF*NtoN2O*kgtoGg,"ERROR"))</f>
        <v>7.0159754352377118E-2</v>
      </c>
      <c r="U1216" s="94">
        <f>IF('Net zero activities &amp; levers'!$C$14="Off",Constants!$H78*'Activity data'!AN20*Constants!$H96*FracLEACHMM*MMLeachEF*NtoN2O*kgtoGg,IF('Net zero activities &amp; levers'!$C$14="On",Constants!$H78*'Net zero Activity data'!AN20*Constants!$H96*FracLEACHMM*MMLeachEF*NtoN2O*kgtoGg,"ERROR"))</f>
        <v>7.2200774862602818E-2</v>
      </c>
      <c r="V1216" s="94">
        <f>IF('Net zero activities &amp; levers'!$C$14="Off",Constants!$H78*'Activity data'!AO20*Constants!$H96*FracLEACHMM*MMLeachEF*NtoN2O*kgtoGg,IF('Net zero activities &amp; levers'!$C$14="On",Constants!$H78*'Net zero Activity data'!AO20*Constants!$H96*FracLEACHMM*MMLeachEF*NtoN2O*kgtoGg,"ERROR"))</f>
        <v>7.4012137517044677E-2</v>
      </c>
      <c r="W1216" s="94">
        <f>IF('Net zero activities &amp; levers'!$C$14="Off",Constants!$H78*'Activity data'!AP20*Constants!$H96*FracLEACHMM*MMLeachEF*NtoN2O*kgtoGg,IF('Net zero activities &amp; levers'!$C$14="On",Constants!$H78*'Net zero Activity data'!AP20*Constants!$H96*FracLEACHMM*MMLeachEF*NtoN2O*kgtoGg,"ERROR"))</f>
        <v>7.624234611790702E-2</v>
      </c>
      <c r="X1216" s="94">
        <f>IF('Net zero activities &amp; levers'!$C$14="Off",Constants!$H78*'Activity data'!AQ20*Constants!$H96*FracLEACHMM*MMLeachEF*NtoN2O*kgtoGg,IF('Net zero activities &amp; levers'!$C$14="On",Constants!$H78*'Net zero Activity data'!AQ20*Constants!$H96*FracLEACHMM*MMLeachEF*NtoN2O*kgtoGg,"ERROR"))</f>
        <v>7.8266654922264395E-2</v>
      </c>
      <c r="Y1216" s="94">
        <f>IF('Net zero activities &amp; levers'!$C$14="Off",Constants!$H78*'Activity data'!AR20*Constants!$H96*FracLEACHMM*MMLeachEF*NtoN2O*kgtoGg,IF('Net zero activities &amp; levers'!$C$14="On",Constants!$H78*'Net zero Activity data'!AR20*Constants!$H96*FracLEACHMM*MMLeachEF*NtoN2O*kgtoGg,"ERROR"))</f>
        <v>8.0053392548698518E-2</v>
      </c>
      <c r="Z1216" s="94">
        <f>IF('Net zero activities &amp; levers'!$C$14="Off",Constants!$H78*'Activity data'!AS20*Constants!$H96*FracLEACHMM*MMLeachEF*NtoN2O*kgtoGg,IF('Net zero activities &amp; levers'!$C$14="On",Constants!$H78*'Net zero Activity data'!AS20*Constants!$H96*FracLEACHMM*MMLeachEF*NtoN2O*kgtoGg,"ERROR"))</f>
        <v>8.1713475036097147E-2</v>
      </c>
      <c r="AA1216" s="94">
        <f>IF('Net zero activities &amp; levers'!$C$14="Off",Constants!$H78*'Activity data'!AT20*Constants!$H96*FracLEACHMM*MMLeachEF*NtoN2O*kgtoGg,IF('Net zero activities &amp; levers'!$C$14="On",Constants!$H78*'Net zero Activity data'!AT20*Constants!$H96*FracLEACHMM*MMLeachEF*NtoN2O*kgtoGg,"ERROR"))</f>
        <v>8.3191126783030381E-2</v>
      </c>
      <c r="AB1216" s="94">
        <f>IF('Net zero activities &amp; levers'!$C$14="Off",Constants!$H78*'Activity data'!AU20*Constants!$H96*FracLEACHMM*MMLeachEF*NtoN2O*kgtoGg,IF('Net zero activities &amp; levers'!$C$14="On",Constants!$H78*'Net zero Activity data'!AU20*Constants!$H96*FracLEACHMM*MMLeachEF*NtoN2O*kgtoGg,"ERROR"))</f>
        <v>8.5356141752823037E-2</v>
      </c>
      <c r="AC1216" s="94">
        <f>IF('Net zero activities &amp; levers'!$C$14="Off",Constants!$H78*'Activity data'!AV20*Constants!$H96*FracLEACHMM*MMLeachEF*NtoN2O*kgtoGg,IF('Net zero activities &amp; levers'!$C$14="On",Constants!$H78*'Net zero Activity data'!AV20*Constants!$H96*FracLEACHMM*MMLeachEF*NtoN2O*kgtoGg,"ERROR"))</f>
        <v>8.7456207764297841E-2</v>
      </c>
      <c r="AD1216" s="94">
        <f>IF('Net zero activities &amp; levers'!$C$14="Off",Constants!$H78*'Activity data'!AW20*Constants!$H96*FracLEACHMM*MMLeachEF*NtoN2O*kgtoGg,IF('Net zero activities &amp; levers'!$C$14="On",Constants!$H78*'Net zero Activity data'!AW20*Constants!$H96*FracLEACHMM*MMLeachEF*NtoN2O*kgtoGg,"ERROR"))</f>
        <v>8.9913243198059017E-2</v>
      </c>
      <c r="AE1216" s="94">
        <f>IF('Net zero activities &amp; levers'!$C$14="Off",Constants!$H78*'Activity data'!AX20*Constants!$H96*FracLEACHMM*MMLeachEF*NtoN2O*kgtoGg,IF('Net zero activities &amp; levers'!$C$14="On",Constants!$H78*'Net zero Activity data'!AX20*Constants!$H96*FracLEACHMM*MMLeachEF*NtoN2O*kgtoGg,"ERROR"))</f>
        <v>9.3044085798014903E-2</v>
      </c>
      <c r="AF1216" s="94">
        <f>IF('Net zero activities &amp; levers'!$C$14="Off",Constants!$H78*'Activity data'!AY20*Constants!$H96*FracLEACHMM*MMLeachEF*NtoN2O*kgtoGg,IF('Net zero activities &amp; levers'!$C$14="On",Constants!$H78*'Net zero Activity data'!AY20*Constants!$H96*FracLEACHMM*MMLeachEF*NtoN2O*kgtoGg,"ERROR"))</f>
        <v>9.6498642598308926E-2</v>
      </c>
      <c r="AG1216" s="94">
        <f>IF('Net zero activities &amp; levers'!$C$14="Off",Constants!$H78*'Activity data'!AZ20*Constants!$H96*FracLEACHMM*MMLeachEF*NtoN2O*kgtoGg,IF('Net zero activities &amp; levers'!$C$14="On",Constants!$H78*'Net zero Activity data'!AZ20*Constants!$H96*FracLEACHMM*MMLeachEF*NtoN2O*kgtoGg,"ERROR"))</f>
        <v>0.10068056666272467</v>
      </c>
      <c r="AH1216" s="94">
        <f>IF('Net zero activities &amp; levers'!$C$14="Off",Constants!$H78*'Activity data'!BA20*Constants!$H96*FracLEACHMM*MMLeachEF*NtoN2O*kgtoGg,IF('Net zero activities &amp; levers'!$C$14="On",Constants!$H78*'Net zero Activity data'!BA20*Constants!$H96*FracLEACHMM*MMLeachEF*NtoN2O*kgtoGg,"ERROR"))</f>
        <v>0.10375441633368165</v>
      </c>
      <c r="AI1216" s="94">
        <f>IF('Net zero activities &amp; levers'!$C$14="Off",Constants!$H78*'Activity data'!BB20*Constants!$H96*FracLEACHMM*MMLeachEF*NtoN2O*kgtoGg,IF('Net zero activities &amp; levers'!$C$14="On",Constants!$H78*'Net zero Activity data'!BB20*Constants!$H96*FracLEACHMM*MMLeachEF*NtoN2O*kgtoGg,"ERROR"))</f>
        <v>0.10675032554756632</v>
      </c>
      <c r="AJ1216" s="94">
        <f>IF('Net zero activities &amp; levers'!$C$14="Off",Constants!$H78*'Activity data'!BC20*Constants!$H96*FracLEACHMM*MMLeachEF*NtoN2O*kgtoGg,IF('Net zero activities &amp; levers'!$C$14="On",Constants!$H78*'Net zero Activity data'!BC20*Constants!$H96*FracLEACHMM*MMLeachEF*NtoN2O*kgtoGg,"ERROR"))</f>
        <v>0.11011636525105389</v>
      </c>
      <c r="AK1216" s="94">
        <f>IF('Net zero activities &amp; levers'!$C$14="Off",Constants!$H78*'Activity data'!BD20*Constants!$H96*FracLEACHMM*MMLeachEF*NtoN2O*kgtoGg,IF('Net zero activities &amp; levers'!$C$14="On",Constants!$H78*'Net zero Activity data'!BD20*Constants!$H96*FracLEACHMM*MMLeachEF*NtoN2O*kgtoGg,"ERROR"))</f>
        <v>0.11333263880247381</v>
      </c>
      <c r="AL1216" s="94">
        <f>IF('Net zero activities &amp; levers'!$C$14="Off",Constants!$H78*'Activity data'!BE20*Constants!$H96*FracLEACHMM*MMLeachEF*NtoN2O*kgtoGg,IF('Net zero activities &amp; levers'!$C$14="On",Constants!$H78*'Net zero Activity data'!BE20*Constants!$H96*FracLEACHMM*MMLeachEF*NtoN2O*kgtoGg,"ERROR"))</f>
        <v>0.11675404817895949</v>
      </c>
      <c r="AM1216" s="94">
        <f>IF('Net zero activities &amp; levers'!$C$14="Off",Constants!$H78*'Activity data'!BF20*Constants!$H96*FracLEACHMM*MMLeachEF*NtoN2O*kgtoGg,IF('Net zero activities &amp; levers'!$C$14="On",Constants!$H78*'Net zero Activity data'!BF20*Constants!$H96*FracLEACHMM*MMLeachEF*NtoN2O*kgtoGg,"ERROR"))</f>
        <v>0.12019911578989917</v>
      </c>
      <c r="AN1216" s="94">
        <f>IF('Net zero activities &amp; levers'!$C$14="Off",Constants!$H78*'Activity data'!BG20*Constants!$H96*FracLEACHMM*MMLeachEF*NtoN2O*kgtoGg,IF('Net zero activities &amp; levers'!$C$14="On",Constants!$H78*'Net zero Activity data'!BG20*Constants!$H96*FracLEACHMM*MMLeachEF*NtoN2O*kgtoGg,"ERROR"))</f>
        <v>0.12428786174834884</v>
      </c>
      <c r="AO1216" s="94">
        <f>IF('Net zero activities &amp; levers'!$C$14="Off",Constants!$H78*'Activity data'!BH20*Constants!$H96*FracLEACHMM*MMLeachEF*NtoN2O*kgtoGg,IF('Net zero activities &amp; levers'!$C$14="On",Constants!$H78*'Net zero Activity data'!BH20*Constants!$H96*FracLEACHMM*MMLeachEF*NtoN2O*kgtoGg,"ERROR"))</f>
        <v>0.12817821089097012</v>
      </c>
      <c r="AP1216" s="94">
        <f>IF('Net zero activities &amp; levers'!$C$14="Off",Constants!$H78*'Activity data'!BI20*Constants!$H96*FracLEACHMM*MMLeachEF*NtoN2O*kgtoGg,IF('Net zero activities &amp; levers'!$C$14="On",Constants!$H78*'Net zero Activity data'!BI20*Constants!$H96*FracLEACHMM*MMLeachEF*NtoN2O*kgtoGg,"ERROR"))</f>
        <v>0.13214154239239112</v>
      </c>
      <c r="AQ1216" s="94">
        <f>IF('Net zero activities &amp; levers'!$C$14="Off",Constants!$H78*'Activity data'!BJ20*Constants!$H96*FracLEACHMM*MMLeachEF*NtoN2O*kgtoGg,IF('Net zero activities &amp; levers'!$C$14="On",Constants!$H78*'Net zero Activity data'!BJ20*Constants!$H96*FracLEACHMM*MMLeachEF*NtoN2O*kgtoGg,"ERROR"))</f>
        <v>0.13624857972153667</v>
      </c>
      <c r="AR1216" s="94">
        <f>IF('Net zero activities &amp; levers'!$C$14="Off",Constants!$H78*'Activity data'!BK20*Constants!$H96*FracLEACHMM*MMLeachEF*NtoN2O*kgtoGg,IF('Net zero activities &amp; levers'!$C$14="On",Constants!$H78*'Net zero Activity data'!BK20*Constants!$H96*FracLEACHMM*MMLeachEF*NtoN2O*kgtoGg,"ERROR"))</f>
        <v>0.14052656296513075</v>
      </c>
      <c r="AS1216" s="94">
        <f>IF('Net zero activities &amp; levers'!$C$14="Off",Constants!$H78*'Activity data'!BL20*Constants!$H96*FracLEACHMM*MMLeachEF*NtoN2O*kgtoGg,IF('Net zero activities &amp; levers'!$C$14="On",Constants!$H78*'Net zero Activity data'!BL20*Constants!$H96*FracLEACHMM*MMLeachEF*NtoN2O*kgtoGg,"ERROR"))</f>
        <v>0.14556766568145355</v>
      </c>
      <c r="AT1216" s="94">
        <f>IF('Net zero activities &amp; levers'!$C$14="Off",Constants!$H78*'Activity data'!BM20*Constants!$H96*FracLEACHMM*MMLeachEF*NtoN2O*kgtoGg,IF('Net zero activities &amp; levers'!$C$14="On",Constants!$H78*'Net zero Activity data'!BM20*Constants!$H96*FracLEACHMM*MMLeachEF*NtoN2O*kgtoGg,"ERROR"))</f>
        <v>0.14881423347183564</v>
      </c>
      <c r="AU1216" s="94">
        <f>IF('Net zero activities &amp; levers'!$C$14="Off",Constants!$H78*'Activity data'!BN20*Constants!$H96*FracLEACHMM*MMLeachEF*NtoN2O*kgtoGg,IF('Net zero activities &amp; levers'!$C$14="On",Constants!$H78*'Net zero Activity data'!BN20*Constants!$H96*FracLEACHMM*MMLeachEF*NtoN2O*kgtoGg,"ERROR"))</f>
        <v>0.15194631854950416</v>
      </c>
      <c r="AV1216" s="94">
        <f>IF('Net zero activities &amp; levers'!$C$14="Off",Constants!$H78*'Activity data'!BO20*Constants!$H96*FracLEACHMM*MMLeachEF*NtoN2O*kgtoGg,IF('Net zero activities &amp; levers'!$C$14="On",Constants!$H78*'Net zero Activity data'!BO20*Constants!$H96*FracLEACHMM*MMLeachEF*NtoN2O*kgtoGg,"ERROR"))</f>
        <v>0.15515723544633972</v>
      </c>
      <c r="AW1216" s="94">
        <f>IF('Net zero activities &amp; levers'!$C$14="Off",Constants!$H78*'Activity data'!BP20*Constants!$H96*FracLEACHMM*MMLeachEF*NtoN2O*kgtoGg,IF('Net zero activities &amp; levers'!$C$14="On",Constants!$H78*'Net zero Activity data'!BP20*Constants!$H96*FracLEACHMM*MMLeachEF*NtoN2O*kgtoGg,"ERROR"))</f>
        <v>0.15836593511039121</v>
      </c>
      <c r="AY1216" s="79"/>
    </row>
    <row r="1220" spans="1:52" x14ac:dyDescent="0.2">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72.649957574793405</v>
      </c>
      <c r="M1220" s="27">
        <f t="shared" si="385"/>
        <v>73.223011790998029</v>
      </c>
      <c r="N1220" s="27">
        <f t="shared" si="385"/>
        <v>73.591260167761035</v>
      </c>
      <c r="O1220" s="27">
        <f t="shared" si="385"/>
        <v>73.83596289834658</v>
      </c>
      <c r="P1220" s="27">
        <f t="shared" si="385"/>
        <v>73.954711561483904</v>
      </c>
      <c r="Q1220" s="27">
        <f t="shared" si="385"/>
        <v>74.217071552078707</v>
      </c>
      <c r="R1220" s="27">
        <f t="shared" si="385"/>
        <v>74.518042528471312</v>
      </c>
      <c r="S1220" s="27">
        <f t="shared" si="385"/>
        <v>72.478094892813189</v>
      </c>
      <c r="T1220" s="27">
        <f t="shared" si="385"/>
        <v>71.891218876728232</v>
      </c>
      <c r="U1220" s="27">
        <f t="shared" si="385"/>
        <v>70.61144005666182</v>
      </c>
      <c r="V1220" s="27">
        <f t="shared" si="385"/>
        <v>68.790632791396845</v>
      </c>
      <c r="W1220" s="27">
        <f t="shared" si="385"/>
        <v>66.559182595428027</v>
      </c>
      <c r="X1220" s="27">
        <f t="shared" si="385"/>
        <v>63.794303330172795</v>
      </c>
      <c r="Y1220" s="27">
        <f t="shared" si="385"/>
        <v>60.439730928884629</v>
      </c>
      <c r="Z1220" s="27">
        <f t="shared" si="385"/>
        <v>56.588238872800957</v>
      </c>
      <c r="AA1220" s="27">
        <f t="shared" si="385"/>
        <v>52.240249671722339</v>
      </c>
      <c r="AB1220" s="27">
        <f t="shared" si="385"/>
        <v>47.523514250483373</v>
      </c>
      <c r="AC1220" s="27">
        <f t="shared" si="385"/>
        <v>42.322916454621932</v>
      </c>
      <c r="AD1220" s="27">
        <f t="shared" si="385"/>
        <v>41.309667282848807</v>
      </c>
      <c r="AE1220" s="27">
        <f t="shared" si="385"/>
        <v>40.342798189242757</v>
      </c>
      <c r="AF1220" s="27">
        <f t="shared" si="385"/>
        <v>39.376624214718653</v>
      </c>
      <c r="AG1220" s="27">
        <f t="shared" si="385"/>
        <v>38.448410216325385</v>
      </c>
      <c r="AH1220" s="27">
        <f t="shared" si="385"/>
        <v>37.366084128152984</v>
      </c>
      <c r="AI1220" s="27">
        <f t="shared" si="385"/>
        <v>36.216061381374054</v>
      </c>
      <c r="AJ1220" s="27">
        <f t="shared" si="385"/>
        <v>35.065462967413758</v>
      </c>
      <c r="AK1220" s="27">
        <f t="shared" si="385"/>
        <v>33.86335047275972</v>
      </c>
      <c r="AL1220" s="27">
        <f t="shared" si="385"/>
        <v>32.640630322642117</v>
      </c>
      <c r="AM1220" s="27">
        <f t="shared" si="385"/>
        <v>31.379528238622775</v>
      </c>
      <c r="AN1220" s="27">
        <f t="shared" si="385"/>
        <v>31.068071741741988</v>
      </c>
      <c r="AO1220" s="27">
        <f t="shared" si="385"/>
        <v>30.712839463120773</v>
      </c>
      <c r="AP1220" s="27">
        <f t="shared" si="385"/>
        <v>30.334622863978055</v>
      </c>
      <c r="AQ1220" s="27">
        <f t="shared" si="385"/>
        <v>29.937601379307992</v>
      </c>
      <c r="AR1220" s="27">
        <f t="shared" si="385"/>
        <v>29.522307494000771</v>
      </c>
      <c r="AS1220" s="27">
        <f t="shared" si="385"/>
        <v>29.112655563133231</v>
      </c>
      <c r="AT1220" s="27">
        <f t="shared" si="385"/>
        <v>28.545454876862266</v>
      </c>
      <c r="AU1220" s="27">
        <f t="shared" si="385"/>
        <v>27.942019987004869</v>
      </c>
      <c r="AV1220" s="27">
        <f t="shared" si="385"/>
        <v>27.314990877117111</v>
      </c>
      <c r="AW1220" s="27">
        <f t="shared" si="385"/>
        <v>26.658306731219469</v>
      </c>
      <c r="AY1220" s="79"/>
      <c r="AZ1220" s="79"/>
    </row>
    <row r="1221" spans="1:52" x14ac:dyDescent="0.2">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58.1066387636453</v>
      </c>
      <c r="M1221" s="27">
        <f t="shared" si="386"/>
        <v>58.564977012483297</v>
      </c>
      <c r="N1221" s="27">
        <f t="shared" si="386"/>
        <v>58.859508160444918</v>
      </c>
      <c r="O1221" s="27">
        <f t="shared" si="386"/>
        <v>59.055225455337663</v>
      </c>
      <c r="P1221" s="27">
        <f t="shared" si="386"/>
        <v>59.150202601958597</v>
      </c>
      <c r="Q1221" s="27">
        <f t="shared" si="386"/>
        <v>59.360042465716688</v>
      </c>
      <c r="R1221" s="27">
        <f t="shared" si="386"/>
        <v>59.600764035107602</v>
      </c>
      <c r="S1221" s="27">
        <f t="shared" si="386"/>
        <v>57.969180145469302</v>
      </c>
      <c r="T1221" s="27">
        <f t="shared" si="386"/>
        <v>56.153982893669173</v>
      </c>
      <c r="U1221" s="27">
        <f t="shared" si="386"/>
        <v>53.991489812032377</v>
      </c>
      <c r="V1221" s="27">
        <f t="shared" si="386"/>
        <v>51.605902237922749</v>
      </c>
      <c r="W1221" s="27">
        <f t="shared" si="386"/>
        <v>49.095801226211414</v>
      </c>
      <c r="X1221" s="27">
        <f t="shared" si="386"/>
        <v>46.369800598520911</v>
      </c>
      <c r="Y1221" s="27">
        <f t="shared" si="386"/>
        <v>43.389696547967361</v>
      </c>
      <c r="Z1221" s="27">
        <f t="shared" si="386"/>
        <v>40.224456947343683</v>
      </c>
      <c r="AA1221" s="27">
        <f t="shared" si="386"/>
        <v>36.874833349544389</v>
      </c>
      <c r="AB1221" s="27">
        <f t="shared" si="386"/>
        <v>33.430894172284354</v>
      </c>
      <c r="AC1221" s="27">
        <f t="shared" si="386"/>
        <v>29.811566809420214</v>
      </c>
      <c r="AD1221" s="27">
        <f t="shared" si="386"/>
        <v>28.98059092947738</v>
      </c>
      <c r="AE1221" s="27">
        <f t="shared" si="386"/>
        <v>28.186570199549067</v>
      </c>
      <c r="AF1221" s="27">
        <f t="shared" si="386"/>
        <v>27.397194492219036</v>
      </c>
      <c r="AG1221" s="27">
        <f t="shared" si="386"/>
        <v>26.638139276349101</v>
      </c>
      <c r="AH1221" s="27">
        <f t="shared" si="386"/>
        <v>25.776414243577172</v>
      </c>
      <c r="AI1221" s="27">
        <f t="shared" si="386"/>
        <v>24.872602340935586</v>
      </c>
      <c r="AJ1221" s="27">
        <f t="shared" si="386"/>
        <v>23.973055777516684</v>
      </c>
      <c r="AK1221" s="27">
        <f t="shared" si="386"/>
        <v>23.042942021875909</v>
      </c>
      <c r="AL1221" s="27">
        <f t="shared" si="386"/>
        <v>22.103497986947872</v>
      </c>
      <c r="AM1221" s="27">
        <f t="shared" si="386"/>
        <v>21.142742740561779</v>
      </c>
      <c r="AN1221" s="27">
        <f t="shared" si="386"/>
        <v>20.231788738143763</v>
      </c>
      <c r="AO1221" s="27">
        <f t="shared" si="386"/>
        <v>19.2864363293737</v>
      </c>
      <c r="AP1221" s="27">
        <f t="shared" si="386"/>
        <v>18.320470830276079</v>
      </c>
      <c r="AQ1221" s="27">
        <f t="shared" si="386"/>
        <v>17.336008176195449</v>
      </c>
      <c r="AR1221" s="27">
        <f t="shared" si="386"/>
        <v>16.332622472040427</v>
      </c>
      <c r="AS1221" s="27">
        <f t="shared" si="386"/>
        <v>15.322002915236368</v>
      </c>
      <c r="AT1221" s="27">
        <f t="shared" si="386"/>
        <v>14.219779745959144</v>
      </c>
      <c r="AU1221" s="27">
        <f t="shared" si="386"/>
        <v>13.093798392010328</v>
      </c>
      <c r="AV1221" s="27">
        <f t="shared" si="386"/>
        <v>11.950331254194637</v>
      </c>
      <c r="AW1221" s="27">
        <f t="shared" si="386"/>
        <v>10.786440140751282</v>
      </c>
      <c r="AY1221" s="79"/>
      <c r="AZ1221" s="79"/>
    </row>
    <row r="1222" spans="1:52" x14ac:dyDescent="0.2">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26.272250579806308</v>
      </c>
      <c r="M1222" s="27">
        <f t="shared" si="387"/>
        <v>26.479482964607669</v>
      </c>
      <c r="N1222" s="27">
        <f t="shared" si="387"/>
        <v>26.61265184663991</v>
      </c>
      <c r="O1222" s="27">
        <f t="shared" si="387"/>
        <v>26.701143177813606</v>
      </c>
      <c r="P1222" s="27">
        <f t="shared" si="387"/>
        <v>26.744086005835889</v>
      </c>
      <c r="Q1222" s="27">
        <f t="shared" si="387"/>
        <v>26.838962694620271</v>
      </c>
      <c r="R1222" s="27">
        <f t="shared" si="387"/>
        <v>26.947802192577246</v>
      </c>
      <c r="S1222" s="27">
        <f t="shared" si="387"/>
        <v>26.210100241429942</v>
      </c>
      <c r="T1222" s="27">
        <f t="shared" si="387"/>
        <v>26.248213205476699</v>
      </c>
      <c r="U1222" s="27">
        <f t="shared" si="387"/>
        <v>26.115882118991316</v>
      </c>
      <c r="V1222" s="27">
        <f t="shared" si="387"/>
        <v>25.867261162361814</v>
      </c>
      <c r="W1222" s="27">
        <f t="shared" si="387"/>
        <v>25.551206207225416</v>
      </c>
      <c r="X1222" s="27">
        <f t="shared" si="387"/>
        <v>25.121439749457622</v>
      </c>
      <c r="Y1222" s="27">
        <f t="shared" si="387"/>
        <v>24.553712055046088</v>
      </c>
      <c r="Z1222" s="27">
        <f t="shared" si="387"/>
        <v>23.882322423247604</v>
      </c>
      <c r="AA1222" s="27">
        <f t="shared" si="387"/>
        <v>23.105461079813676</v>
      </c>
      <c r="AB1222" s="27">
        <f t="shared" si="387"/>
        <v>22.279881178693422</v>
      </c>
      <c r="AC1222" s="27">
        <f t="shared" si="387"/>
        <v>21.35594521765077</v>
      </c>
      <c r="AD1222" s="27">
        <f t="shared" si="387"/>
        <v>21.365007733693968</v>
      </c>
      <c r="AE1222" s="27">
        <f t="shared" si="387"/>
        <v>21.408056006587952</v>
      </c>
      <c r="AF1222" s="27">
        <f t="shared" si="387"/>
        <v>21.463622003571221</v>
      </c>
      <c r="AG1222" s="27">
        <f t="shared" si="387"/>
        <v>21.554434364546889</v>
      </c>
      <c r="AH1222" s="27">
        <f t="shared" si="387"/>
        <v>21.573616619856704</v>
      </c>
      <c r="AI1222" s="27">
        <f t="shared" si="387"/>
        <v>21.566878836032416</v>
      </c>
      <c r="AJ1222" s="27">
        <f t="shared" si="387"/>
        <v>21.573897546834459</v>
      </c>
      <c r="AK1222" s="27">
        <f t="shared" si="387"/>
        <v>21.564676354205634</v>
      </c>
      <c r="AL1222" s="27">
        <f t="shared" si="387"/>
        <v>21.55894737338912</v>
      </c>
      <c r="AM1222" s="27">
        <f t="shared" si="387"/>
        <v>21.546127115578912</v>
      </c>
      <c r="AN1222" s="27">
        <f t="shared" si="387"/>
        <v>21.593979516696571</v>
      </c>
      <c r="AO1222" s="27">
        <f t="shared" si="387"/>
        <v>21.622610571826787</v>
      </c>
      <c r="AP1222" s="27">
        <f t="shared" si="387"/>
        <v>21.646653982791968</v>
      </c>
      <c r="AQ1222" s="27">
        <f t="shared" si="387"/>
        <v>21.669537328435243</v>
      </c>
      <c r="AR1222" s="27">
        <f t="shared" si="387"/>
        <v>21.692244005516812</v>
      </c>
      <c r="AS1222" s="27">
        <f t="shared" si="387"/>
        <v>21.733319331847341</v>
      </c>
      <c r="AT1222" s="27">
        <f t="shared" si="387"/>
        <v>21.670574077306895</v>
      </c>
      <c r="AU1222" s="27">
        <f t="shared" si="387"/>
        <v>21.59304797492085</v>
      </c>
      <c r="AV1222" s="27">
        <f t="shared" si="387"/>
        <v>21.510575980046266</v>
      </c>
      <c r="AW1222" s="27">
        <f t="shared" si="387"/>
        <v>21.418750637673494</v>
      </c>
      <c r="AY1222" s="79"/>
      <c r="AZ1222" s="79"/>
    </row>
    <row r="1223" spans="1:52" x14ac:dyDescent="0.2">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463.23498593143194</v>
      </c>
      <c r="L1223" s="27">
        <f t="shared" si="388"/>
        <v>459.21749683621613</v>
      </c>
      <c r="M1223" s="27">
        <f t="shared" si="388"/>
        <v>457.68816035731248</v>
      </c>
      <c r="N1223" s="27">
        <f t="shared" si="388"/>
        <v>451.57633407663525</v>
      </c>
      <c r="O1223" s="27">
        <f t="shared" si="388"/>
        <v>442.70486896910745</v>
      </c>
      <c r="P1223" s="27">
        <f t="shared" si="388"/>
        <v>431.25721304480408</v>
      </c>
      <c r="Q1223" s="27">
        <f t="shared" si="388"/>
        <v>422.22811200839215</v>
      </c>
      <c r="R1223" s="27">
        <f t="shared" si="388"/>
        <v>413.68555596285586</v>
      </c>
      <c r="S1223" s="27">
        <f t="shared" si="388"/>
        <v>367.15498253629937</v>
      </c>
      <c r="T1223" s="27">
        <f t="shared" si="388"/>
        <v>370.55366769047123</v>
      </c>
      <c r="U1223" s="27">
        <f t="shared" si="388"/>
        <v>369.36747188813553</v>
      </c>
      <c r="V1223" s="27">
        <f t="shared" si="388"/>
        <v>366.04225427934944</v>
      </c>
      <c r="W1223" s="27">
        <f t="shared" si="388"/>
        <v>362.66842826485004</v>
      </c>
      <c r="X1223" s="27">
        <f t="shared" si="388"/>
        <v>357.26550644193975</v>
      </c>
      <c r="Y1223" s="27">
        <f t="shared" si="388"/>
        <v>349.52645096582381</v>
      </c>
      <c r="Z1223" s="27">
        <f t="shared" si="388"/>
        <v>340.19235108641254</v>
      </c>
      <c r="AA1223" s="27">
        <f t="shared" si="388"/>
        <v>329.19669746405367</v>
      </c>
      <c r="AB1223" s="27">
        <f t="shared" si="388"/>
        <v>318.81749762077362</v>
      </c>
      <c r="AC1223" s="27">
        <f t="shared" si="388"/>
        <v>307.03850025870361</v>
      </c>
      <c r="AD1223" s="27">
        <f t="shared" si="388"/>
        <v>304.26457204432887</v>
      </c>
      <c r="AE1223" s="27">
        <f t="shared" si="388"/>
        <v>302.73456496672873</v>
      </c>
      <c r="AF1223" s="27">
        <f t="shared" si="388"/>
        <v>301.56447490966576</v>
      </c>
      <c r="AG1223" s="27">
        <f t="shared" si="388"/>
        <v>301.54072110823182</v>
      </c>
      <c r="AH1223" s="27">
        <f t="shared" si="388"/>
        <v>298.81657950497896</v>
      </c>
      <c r="AI1223" s="27">
        <f t="shared" si="388"/>
        <v>295.48258576514195</v>
      </c>
      <c r="AJ1223" s="27">
        <f t="shared" si="388"/>
        <v>292.57341294028907</v>
      </c>
      <c r="AK1223" s="27">
        <f t="shared" si="388"/>
        <v>289.07564889472775</v>
      </c>
      <c r="AL1223" s="27">
        <f t="shared" si="388"/>
        <v>285.65487157488968</v>
      </c>
      <c r="AM1223" s="27">
        <f t="shared" si="388"/>
        <v>281.97317389171815</v>
      </c>
      <c r="AN1223" s="27">
        <f t="shared" si="388"/>
        <v>280.66068653272816</v>
      </c>
      <c r="AO1223" s="27">
        <f t="shared" si="388"/>
        <v>278.70500172306282</v>
      </c>
      <c r="AP1223" s="27">
        <f t="shared" si="388"/>
        <v>276.56640675028314</v>
      </c>
      <c r="AQ1223" s="27">
        <f t="shared" si="388"/>
        <v>274.3490374368015</v>
      </c>
      <c r="AR1223" s="27">
        <f t="shared" si="388"/>
        <v>272.08036147545181</v>
      </c>
      <c r="AS1223" s="27">
        <f t="shared" si="388"/>
        <v>270.48086736200361</v>
      </c>
      <c r="AT1223" s="27">
        <f t="shared" si="388"/>
        <v>266.06398069315236</v>
      </c>
      <c r="AU1223" s="27">
        <f t="shared" si="388"/>
        <v>261.30883489652251</v>
      </c>
      <c r="AV1223" s="27">
        <f t="shared" si="388"/>
        <v>256.48540732770772</v>
      </c>
      <c r="AW1223" s="27">
        <f t="shared" si="388"/>
        <v>251.491076738949</v>
      </c>
      <c r="AY1223" s="79"/>
      <c r="AZ1223" s="79"/>
    </row>
    <row r="1224" spans="1:52" x14ac:dyDescent="0.2">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326.20040935577742</v>
      </c>
      <c r="L1224" s="27">
        <f t="shared" si="389"/>
        <v>323.37137738012325</v>
      </c>
      <c r="M1224" s="27">
        <f t="shared" si="389"/>
        <v>322.29445054900748</v>
      </c>
      <c r="N1224" s="27">
        <f t="shared" si="389"/>
        <v>317.99063003627219</v>
      </c>
      <c r="O1224" s="27">
        <f t="shared" si="389"/>
        <v>311.74352945546798</v>
      </c>
      <c r="P1224" s="27">
        <f t="shared" si="389"/>
        <v>303.68232906672063</v>
      </c>
      <c r="Q1224" s="27">
        <f t="shared" si="389"/>
        <v>297.32422455466599</v>
      </c>
      <c r="R1224" s="27">
        <f t="shared" si="389"/>
        <v>291.30873487096773</v>
      </c>
      <c r="S1224" s="27">
        <f t="shared" si="389"/>
        <v>258.54287615936238</v>
      </c>
      <c r="T1224" s="27">
        <f t="shared" si="389"/>
        <v>263.37074030924487</v>
      </c>
      <c r="U1224" s="27">
        <f t="shared" si="389"/>
        <v>265.66295243019488</v>
      </c>
      <c r="V1224" s="27">
        <f t="shared" si="389"/>
        <v>267.11596950829903</v>
      </c>
      <c r="W1224" s="27">
        <f t="shared" si="389"/>
        <v>269.24466759099863</v>
      </c>
      <c r="X1224" s="27">
        <f t="shared" si="389"/>
        <v>270.59325659421961</v>
      </c>
      <c r="Y1224" s="27">
        <f t="shared" si="389"/>
        <v>270.88080317078789</v>
      </c>
      <c r="Z1224" s="27">
        <f t="shared" si="389"/>
        <v>270.62100761453365</v>
      </c>
      <c r="AA1224" s="27">
        <f t="shared" si="389"/>
        <v>269.71310018473025</v>
      </c>
      <c r="AB1224" s="27">
        <f t="shared" si="389"/>
        <v>270.02201273439948</v>
      </c>
      <c r="AC1224" s="27">
        <f t="shared" si="389"/>
        <v>269.91207351678941</v>
      </c>
      <c r="AD1224" s="27">
        <f t="shared" si="389"/>
        <v>268.95020793558916</v>
      </c>
      <c r="AE1224" s="27">
        <f t="shared" si="389"/>
        <v>269.1652501751114</v>
      </c>
      <c r="AF1224" s="27">
        <f t="shared" si="389"/>
        <v>269.78769523089812</v>
      </c>
      <c r="AG1224" s="27">
        <f t="shared" si="389"/>
        <v>271.53424393563688</v>
      </c>
      <c r="AH1224" s="27">
        <f t="shared" si="389"/>
        <v>270.94123339317122</v>
      </c>
      <c r="AI1224" s="27">
        <f t="shared" si="389"/>
        <v>269.86885465673112</v>
      </c>
      <c r="AJ1224" s="27">
        <f t="shared" si="389"/>
        <v>269.25804183527231</v>
      </c>
      <c r="AK1224" s="27">
        <f t="shared" si="389"/>
        <v>268.17901993185382</v>
      </c>
      <c r="AL1224" s="27">
        <f t="shared" si="389"/>
        <v>267.24228134523207</v>
      </c>
      <c r="AM1224" s="27">
        <f t="shared" si="389"/>
        <v>266.13186430869399</v>
      </c>
      <c r="AN1224" s="27">
        <f t="shared" si="389"/>
        <v>268.07847260495765</v>
      </c>
      <c r="AO1224" s="27">
        <f t="shared" si="389"/>
        <v>269.51270252959529</v>
      </c>
      <c r="AP1224" s="27">
        <f t="shared" si="389"/>
        <v>270.86665577027509</v>
      </c>
      <c r="AQ1224" s="27">
        <f t="shared" si="389"/>
        <v>272.2411007854015</v>
      </c>
      <c r="AR1224" s="27">
        <f t="shared" si="389"/>
        <v>273.66505656883737</v>
      </c>
      <c r="AS1224" s="27">
        <f t="shared" si="389"/>
        <v>275.87603726930729</v>
      </c>
      <c r="AT1224" s="27">
        <f t="shared" si="389"/>
        <v>275.30122026278082</v>
      </c>
      <c r="AU1224" s="27">
        <f t="shared" si="389"/>
        <v>274.42044872786948</v>
      </c>
      <c r="AV1224" s="27">
        <f t="shared" si="389"/>
        <v>273.50661642230432</v>
      </c>
      <c r="AW1224" s="27">
        <f t="shared" si="389"/>
        <v>272.44588633903493</v>
      </c>
      <c r="AY1224" s="79"/>
      <c r="AZ1224" s="79"/>
    </row>
    <row r="1225" spans="1:52" x14ac:dyDescent="0.2">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31.891995988947272</v>
      </c>
      <c r="L1225" s="27">
        <f t="shared" si="390"/>
        <v>32.967337371253549</v>
      </c>
      <c r="M1225" s="27">
        <f t="shared" si="390"/>
        <v>34.243655078433662</v>
      </c>
      <c r="N1225" s="27">
        <f t="shared" si="390"/>
        <v>35.19550479761466</v>
      </c>
      <c r="O1225" s="27">
        <f t="shared" si="390"/>
        <v>35.929559405213347</v>
      </c>
      <c r="P1225" s="27">
        <f t="shared" si="390"/>
        <v>36.435327957872907</v>
      </c>
      <c r="Q1225" s="27">
        <f t="shared" si="390"/>
        <v>37.125912791560339</v>
      </c>
      <c r="R1225" s="27">
        <f t="shared" si="390"/>
        <v>37.849847328761314</v>
      </c>
      <c r="S1225" s="27">
        <f t="shared" si="390"/>
        <v>34.950230908345851</v>
      </c>
      <c r="T1225" s="27">
        <f t="shared" si="390"/>
        <v>36.552433533532984</v>
      </c>
      <c r="U1225" s="27">
        <f t="shared" si="390"/>
        <v>37.618966563986511</v>
      </c>
      <c r="V1225" s="27">
        <f t="shared" si="390"/>
        <v>38.349275855472172</v>
      </c>
      <c r="W1225" s="27">
        <f t="shared" si="390"/>
        <v>38.934520715373118</v>
      </c>
      <c r="X1225" s="27">
        <f t="shared" si="390"/>
        <v>39.138774519974532</v>
      </c>
      <c r="Y1225" s="27">
        <f t="shared" si="390"/>
        <v>38.893900622271445</v>
      </c>
      <c r="Z1225" s="27">
        <f t="shared" si="390"/>
        <v>38.249022100348391</v>
      </c>
      <c r="AA1225" s="27">
        <f t="shared" si="390"/>
        <v>37.166445205827976</v>
      </c>
      <c r="AB1225" s="27">
        <f t="shared" si="390"/>
        <v>35.873342803518682</v>
      </c>
      <c r="AC1225" s="27">
        <f t="shared" si="390"/>
        <v>34.109243276169749</v>
      </c>
      <c r="AD1225" s="27">
        <f t="shared" si="390"/>
        <v>34.6129089404863</v>
      </c>
      <c r="AE1225" s="27">
        <f t="shared" si="390"/>
        <v>35.257834773221774</v>
      </c>
      <c r="AF1225" s="27">
        <f t="shared" si="390"/>
        <v>35.948460897655536</v>
      </c>
      <c r="AG1225" s="27">
        <f t="shared" si="390"/>
        <v>36.783362913870334</v>
      </c>
      <c r="AH1225" s="27">
        <f t="shared" si="390"/>
        <v>37.291746428997627</v>
      </c>
      <c r="AI1225" s="27">
        <f t="shared" si="390"/>
        <v>37.717002221129547</v>
      </c>
      <c r="AJ1225" s="27">
        <f t="shared" si="390"/>
        <v>38.188139745293036</v>
      </c>
      <c r="AK1225" s="27">
        <f t="shared" si="390"/>
        <v>38.572698482628546</v>
      </c>
      <c r="AL1225" s="27">
        <f t="shared" si="390"/>
        <v>38.955224919800386</v>
      </c>
      <c r="AM1225" s="27">
        <f t="shared" si="390"/>
        <v>39.288101976587186</v>
      </c>
      <c r="AN1225" s="27">
        <f t="shared" si="390"/>
        <v>40.134367387646904</v>
      </c>
      <c r="AO1225" s="27">
        <f t="shared" si="390"/>
        <v>40.901447185563555</v>
      </c>
      <c r="AP1225" s="27">
        <f t="shared" si="390"/>
        <v>41.651613265997085</v>
      </c>
      <c r="AQ1225" s="27">
        <f t="shared" si="390"/>
        <v>42.3989771754757</v>
      </c>
      <c r="AR1225" s="27">
        <f t="shared" si="390"/>
        <v>43.14704516909805</v>
      </c>
      <c r="AS1225" s="27">
        <f t="shared" si="390"/>
        <v>44.012469899860662</v>
      </c>
      <c r="AT1225" s="27">
        <f t="shared" si="390"/>
        <v>44.421649809026803</v>
      </c>
      <c r="AU1225" s="27">
        <f t="shared" si="390"/>
        <v>44.76272302372567</v>
      </c>
      <c r="AV1225" s="27">
        <f t="shared" si="390"/>
        <v>45.077848655391534</v>
      </c>
      <c r="AW1225" s="27">
        <f t="shared" si="390"/>
        <v>45.346628609252434</v>
      </c>
      <c r="AY1225" s="79"/>
      <c r="AZ1225" s="79"/>
    </row>
    <row r="1226" spans="1:52" x14ac:dyDescent="0.2">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135.26278530113291</v>
      </c>
      <c r="T1226" s="27">
        <f t="shared" si="391"/>
        <v>135.34689734942043</v>
      </c>
      <c r="U1226" s="27">
        <f t="shared" si="391"/>
        <v>135.2168188685431</v>
      </c>
      <c r="V1226" s="27">
        <f t="shared" si="391"/>
        <v>134.87948968399303</v>
      </c>
      <c r="W1226" s="27">
        <f t="shared" si="391"/>
        <v>134.34142427282171</v>
      </c>
      <c r="X1226" s="27">
        <f t="shared" si="391"/>
        <v>133.59972726009542</v>
      </c>
      <c r="Y1226" s="27">
        <f t="shared" si="391"/>
        <v>132.50923539285219</v>
      </c>
      <c r="Z1226" s="27">
        <f t="shared" si="391"/>
        <v>131.22040752991435</v>
      </c>
      <c r="AA1226" s="27">
        <f t="shared" si="391"/>
        <v>129.73488278943117</v>
      </c>
      <c r="AB1226" s="27">
        <f t="shared" si="391"/>
        <v>128.06066919551998</v>
      </c>
      <c r="AC1226" s="27">
        <f t="shared" si="391"/>
        <v>126.19419859067889</v>
      </c>
      <c r="AD1226" s="27">
        <f t="shared" si="391"/>
        <v>126.36597472966226</v>
      </c>
      <c r="AE1226" s="27">
        <f t="shared" si="391"/>
        <v>126.55879421338227</v>
      </c>
      <c r="AF1226" s="27">
        <f t="shared" si="391"/>
        <v>126.76957671565779</v>
      </c>
      <c r="AG1226" s="27">
        <f t="shared" si="391"/>
        <v>127.00051125938612</v>
      </c>
      <c r="AH1226" s="27">
        <f t="shared" si="391"/>
        <v>127.2382808420066</v>
      </c>
      <c r="AI1226" s="27">
        <f t="shared" si="391"/>
        <v>127.38400391343852</v>
      </c>
      <c r="AJ1226" s="27">
        <f t="shared" si="391"/>
        <v>127.54498405961918</v>
      </c>
      <c r="AK1226" s="27">
        <f t="shared" si="391"/>
        <v>127.71711776102325</v>
      </c>
      <c r="AL1226" s="27">
        <f t="shared" si="391"/>
        <v>127.90245292513647</v>
      </c>
      <c r="AM1226" s="27">
        <f t="shared" si="391"/>
        <v>128.09931477074238</v>
      </c>
      <c r="AN1226" s="27">
        <f t="shared" si="391"/>
        <v>128.21347858518436</v>
      </c>
      <c r="AO1226" s="27">
        <f t="shared" si="391"/>
        <v>128.3362765283521</v>
      </c>
      <c r="AP1226" s="27">
        <f t="shared" si="391"/>
        <v>128.46927796920525</v>
      </c>
      <c r="AQ1226" s="27">
        <f t="shared" si="391"/>
        <v>128.61266651434815</v>
      </c>
      <c r="AR1226" s="27">
        <f t="shared" si="391"/>
        <v>128.76634192767276</v>
      </c>
      <c r="AS1226" s="27">
        <f t="shared" si="391"/>
        <v>128.83505791181801</v>
      </c>
      <c r="AT1226" s="27">
        <f t="shared" si="391"/>
        <v>128.8990160927618</v>
      </c>
      <c r="AU1226" s="27">
        <f t="shared" si="391"/>
        <v>128.96992023681699</v>
      </c>
      <c r="AV1226" s="27">
        <f t="shared" si="391"/>
        <v>129.04890686848321</v>
      </c>
      <c r="AW1226" s="27">
        <f t="shared" si="391"/>
        <v>129.13516287576707</v>
      </c>
      <c r="AY1226" s="79"/>
      <c r="AZ1226" s="79"/>
    </row>
    <row r="1227" spans="1:52" x14ac:dyDescent="0.2">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14.658944228555331</v>
      </c>
      <c r="T1227" s="27">
        <f t="shared" si="392"/>
        <v>14.67246271837864</v>
      </c>
      <c r="U1227" s="27">
        <f t="shared" si="392"/>
        <v>14.671475282280603</v>
      </c>
      <c r="V1227" s="27">
        <f t="shared" si="392"/>
        <v>14.656591450829604</v>
      </c>
      <c r="W1227" s="27">
        <f t="shared" si="392"/>
        <v>14.628389879987271</v>
      </c>
      <c r="X1227" s="27">
        <f t="shared" si="392"/>
        <v>14.586438821732349</v>
      </c>
      <c r="Y1227" s="27">
        <f t="shared" si="392"/>
        <v>14.51472854380266</v>
      </c>
      <c r="Z1227" s="27">
        <f t="shared" si="392"/>
        <v>14.429516236894123</v>
      </c>
      <c r="AA1227" s="27">
        <f t="shared" si="392"/>
        <v>14.330862341775802</v>
      </c>
      <c r="AB1227" s="27">
        <f t="shared" si="392"/>
        <v>14.21954181949225</v>
      </c>
      <c r="AC1227" s="27">
        <f t="shared" si="392"/>
        <v>14.095060016109008</v>
      </c>
      <c r="AD1227" s="27">
        <f t="shared" si="392"/>
        <v>14.114246278356763</v>
      </c>
      <c r="AE1227" s="27">
        <f t="shared" si="392"/>
        <v>14.135782943478144</v>
      </c>
      <c r="AF1227" s="27">
        <f t="shared" si="392"/>
        <v>14.159325959346537</v>
      </c>
      <c r="AG1227" s="27">
        <f t="shared" si="392"/>
        <v>14.185119825387888</v>
      </c>
      <c r="AH1227" s="27">
        <f t="shared" si="392"/>
        <v>14.211677120211808</v>
      </c>
      <c r="AI1227" s="27">
        <f t="shared" si="392"/>
        <v>14.227953426575358</v>
      </c>
      <c r="AJ1227" s="27">
        <f t="shared" si="392"/>
        <v>14.245933847602304</v>
      </c>
      <c r="AK1227" s="27">
        <f t="shared" si="392"/>
        <v>14.265160047215133</v>
      </c>
      <c r="AL1227" s="27">
        <f t="shared" si="392"/>
        <v>14.285860763178665</v>
      </c>
      <c r="AM1227" s="27">
        <f t="shared" si="392"/>
        <v>14.307848933472433</v>
      </c>
      <c r="AN1227" s="27">
        <f t="shared" si="392"/>
        <v>14.320600278892416</v>
      </c>
      <c r="AO1227" s="27">
        <f t="shared" si="392"/>
        <v>14.334315999568435</v>
      </c>
      <c r="AP1227" s="27">
        <f t="shared" si="392"/>
        <v>14.349171383666837</v>
      </c>
      <c r="AQ1227" s="27">
        <f t="shared" si="392"/>
        <v>14.365186938834844</v>
      </c>
      <c r="AR1227" s="27">
        <f t="shared" si="392"/>
        <v>14.382351469360023</v>
      </c>
      <c r="AS1227" s="27">
        <f t="shared" si="392"/>
        <v>14.390026591761927</v>
      </c>
      <c r="AT1227" s="27">
        <f t="shared" si="392"/>
        <v>14.397170298913217</v>
      </c>
      <c r="AU1227" s="27">
        <f t="shared" si="392"/>
        <v>14.405089824351077</v>
      </c>
      <c r="AV1227" s="27">
        <f t="shared" si="392"/>
        <v>14.413912110369287</v>
      </c>
      <c r="AW1227" s="27">
        <f t="shared" si="392"/>
        <v>14.423546337718829</v>
      </c>
      <c r="AY1227" s="79"/>
      <c r="AZ1227" s="79"/>
    </row>
    <row r="1228" spans="1:52" x14ac:dyDescent="0.2">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15.123414197798356</v>
      </c>
      <c r="L1228" s="27">
        <f t="shared" si="393"/>
        <v>15.162727774721576</v>
      </c>
      <c r="M1228" s="27">
        <f t="shared" si="393"/>
        <v>15.216959464794312</v>
      </c>
      <c r="N1228" s="27">
        <f t="shared" si="393"/>
        <v>15.283027985940226</v>
      </c>
      <c r="O1228" s="27">
        <f t="shared" si="393"/>
        <v>15.360839106953575</v>
      </c>
      <c r="P1228" s="27">
        <f t="shared" si="393"/>
        <v>15.449919228540612</v>
      </c>
      <c r="Q1228" s="27">
        <f t="shared" si="393"/>
        <v>15.545788610572219</v>
      </c>
      <c r="R1228" s="27">
        <f t="shared" si="393"/>
        <v>15.648067752449878</v>
      </c>
      <c r="S1228" s="27">
        <f t="shared" si="393"/>
        <v>15.742031713029512</v>
      </c>
      <c r="T1228" s="27">
        <f t="shared" si="393"/>
        <v>15.78777493593066</v>
      </c>
      <c r="U1228" s="27">
        <f t="shared" si="393"/>
        <v>15.836941189877804</v>
      </c>
      <c r="V1228" s="27">
        <f t="shared" si="393"/>
        <v>15.890131734595759</v>
      </c>
      <c r="W1228" s="27">
        <f t="shared" si="393"/>
        <v>15.947930587680338</v>
      </c>
      <c r="X1228" s="27">
        <f t="shared" si="393"/>
        <v>16.009309310979074</v>
      </c>
      <c r="Y1228" s="27">
        <f t="shared" si="393"/>
        <v>16.047680700733103</v>
      </c>
      <c r="Z1228" s="27">
        <f t="shared" si="393"/>
        <v>16.089188383327485</v>
      </c>
      <c r="AA1228" s="27">
        <f t="shared" si="393"/>
        <v>16.133588234011135</v>
      </c>
      <c r="AB1228" s="27">
        <f t="shared" si="393"/>
        <v>16.181852398556252</v>
      </c>
      <c r="AC1228" s="27">
        <f t="shared" si="393"/>
        <v>16.232869062741507</v>
      </c>
      <c r="AD1228" s="27">
        <f t="shared" si="393"/>
        <v>16.174772953442893</v>
      </c>
      <c r="AE1228" s="27">
        <f t="shared" si="393"/>
        <v>16.119628970080377</v>
      </c>
      <c r="AF1228" s="27">
        <f t="shared" si="393"/>
        <v>16.066825167766172</v>
      </c>
      <c r="AG1228" s="27">
        <f t="shared" si="393"/>
        <v>16.016728171602704</v>
      </c>
      <c r="AH1228" s="27">
        <f t="shared" si="393"/>
        <v>15.966875764352146</v>
      </c>
      <c r="AI1228" s="27">
        <f t="shared" si="393"/>
        <v>15.89946779688462</v>
      </c>
      <c r="AJ1228" s="27">
        <f t="shared" si="393"/>
        <v>15.834096775402255</v>
      </c>
      <c r="AK1228" s="27">
        <f t="shared" si="393"/>
        <v>15.770001069501948</v>
      </c>
      <c r="AL1228" s="27">
        <f t="shared" si="393"/>
        <v>15.707522588629271</v>
      </c>
      <c r="AM1228" s="27">
        <f t="shared" si="393"/>
        <v>15.646340637307107</v>
      </c>
      <c r="AN1228" s="27">
        <f t="shared" si="393"/>
        <v>15.663208554613984</v>
      </c>
      <c r="AO1228" s="27">
        <f t="shared" si="393"/>
        <v>15.681296099328543</v>
      </c>
      <c r="AP1228" s="27">
        <f t="shared" si="393"/>
        <v>15.700882300953488</v>
      </c>
      <c r="AQ1228" s="27">
        <f t="shared" si="393"/>
        <v>15.722003234239409</v>
      </c>
      <c r="AR1228" s="27">
        <f t="shared" si="393"/>
        <v>15.744644955192497</v>
      </c>
      <c r="AS1228" s="27">
        <f t="shared" si="393"/>
        <v>15.752347134607152</v>
      </c>
      <c r="AT1228" s="27">
        <f t="shared" si="393"/>
        <v>15.759032973268098</v>
      </c>
      <c r="AU1228" s="27">
        <f t="shared" si="393"/>
        <v>15.766732268239892</v>
      </c>
      <c r="AV1228" s="27">
        <f t="shared" si="393"/>
        <v>15.775643519060983</v>
      </c>
      <c r="AW1228" s="27">
        <f t="shared" si="393"/>
        <v>15.785628741829379</v>
      </c>
      <c r="AY1228" s="79"/>
      <c r="AZ1228" s="79"/>
    </row>
    <row r="1229" spans="1:52" x14ac:dyDescent="0.2">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22.381101687842737</v>
      </c>
      <c r="L1229" s="27">
        <f t="shared" si="394"/>
        <v>22.439281748993185</v>
      </c>
      <c r="M1229" s="27">
        <f t="shared" si="394"/>
        <v>22.519539087339325</v>
      </c>
      <c r="N1229" s="27">
        <f t="shared" si="394"/>
        <v>22.617313721478972</v>
      </c>
      <c r="O1229" s="27">
        <f t="shared" si="394"/>
        <v>22.73246619889365</v>
      </c>
      <c r="P1229" s="27">
        <f t="shared" si="394"/>
        <v>22.864295641209328</v>
      </c>
      <c r="Q1229" s="27">
        <f t="shared" si="394"/>
        <v>23.006172492556328</v>
      </c>
      <c r="R1229" s="27">
        <f t="shared" si="394"/>
        <v>23.157535130977113</v>
      </c>
      <c r="S1229" s="27">
        <f t="shared" si="394"/>
        <v>23.296592154028918</v>
      </c>
      <c r="T1229" s="27">
        <f t="shared" si="394"/>
        <v>23.36428743168846</v>
      </c>
      <c r="U1229" s="27">
        <f t="shared" si="394"/>
        <v>23.437048444169463</v>
      </c>
      <c r="V1229" s="27">
        <f t="shared" si="394"/>
        <v>23.51576499418881</v>
      </c>
      <c r="W1229" s="27">
        <f t="shared" si="394"/>
        <v>23.601301367881135</v>
      </c>
      <c r="X1229" s="27">
        <f t="shared" si="394"/>
        <v>23.692135582275586</v>
      </c>
      <c r="Y1229" s="27">
        <f t="shared" si="394"/>
        <v>23.748921303063014</v>
      </c>
      <c r="Z1229" s="27">
        <f t="shared" si="394"/>
        <v>23.810348415540492</v>
      </c>
      <c r="AA1229" s="27">
        <f t="shared" si="394"/>
        <v>23.876055640118153</v>
      </c>
      <c r="AB1229" s="27">
        <f t="shared" si="394"/>
        <v>23.947481652818404</v>
      </c>
      <c r="AC1229" s="27">
        <f t="shared" si="394"/>
        <v>24.022981082641</v>
      </c>
      <c r="AD1229" s="27">
        <f t="shared" si="394"/>
        <v>24.004534302294772</v>
      </c>
      <c r="AE1229" s="27">
        <f t="shared" si="394"/>
        <v>23.990759664882049</v>
      </c>
      <c r="AF1229" s="27">
        <f t="shared" si="394"/>
        <v>23.980786392449151</v>
      </c>
      <c r="AG1229" s="27">
        <f t="shared" si="394"/>
        <v>23.975198918085418</v>
      </c>
      <c r="AH1229" s="27">
        <f t="shared" si="394"/>
        <v>23.97034209362084</v>
      </c>
      <c r="AI1229" s="27">
        <f t="shared" si="394"/>
        <v>23.939424261455606</v>
      </c>
      <c r="AJ1229" s="27">
        <f t="shared" si="394"/>
        <v>23.911803974742561</v>
      </c>
      <c r="AK1229" s="27">
        <f t="shared" si="394"/>
        <v>23.886359164531317</v>
      </c>
      <c r="AL1229" s="27">
        <f t="shared" si="394"/>
        <v>23.86363111248259</v>
      </c>
      <c r="AM1229" s="27">
        <f t="shared" si="394"/>
        <v>23.843158223754681</v>
      </c>
      <c r="AN1229" s="27">
        <f t="shared" si="394"/>
        <v>23.868862919221563</v>
      </c>
      <c r="AO1229" s="27">
        <f t="shared" si="394"/>
        <v>23.896426181488792</v>
      </c>
      <c r="AP1229" s="27">
        <f t="shared" si="394"/>
        <v>23.926273218260601</v>
      </c>
      <c r="AQ1229" s="27">
        <f t="shared" si="394"/>
        <v>23.958459003157092</v>
      </c>
      <c r="AR1229" s="27">
        <f t="shared" si="394"/>
        <v>23.992962287193702</v>
      </c>
      <c r="AS1229" s="27">
        <f t="shared" si="394"/>
        <v>24.004699490588948</v>
      </c>
      <c r="AT1229" s="27">
        <f t="shared" si="394"/>
        <v>24.014887911814501</v>
      </c>
      <c r="AU1229" s="27">
        <f t="shared" si="394"/>
        <v>24.026620719662628</v>
      </c>
      <c r="AV1229" s="27">
        <f t="shared" si="394"/>
        <v>24.040200403770505</v>
      </c>
      <c r="AW1229" s="27">
        <f t="shared" si="394"/>
        <v>24.055416693117973</v>
      </c>
      <c r="AY1229" s="79"/>
      <c r="AZ1229" s="79"/>
    </row>
    <row r="1230" spans="1:52" x14ac:dyDescent="0.2">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5.5526214800767892</v>
      </c>
      <c r="L1230" s="27">
        <f t="shared" si="395"/>
        <v>5.579523571019652</v>
      </c>
      <c r="M1230" s="27">
        <f t="shared" si="395"/>
        <v>5.6203482259438022</v>
      </c>
      <c r="N1230" s="27">
        <f t="shared" si="395"/>
        <v>5.629075655008374</v>
      </c>
      <c r="O1230" s="27">
        <f t="shared" si="395"/>
        <v>5.6165815405282284</v>
      </c>
      <c r="P1230" s="27">
        <f t="shared" si="395"/>
        <v>5.5833231296706103</v>
      </c>
      <c r="Q1230" s="27">
        <f t="shared" si="395"/>
        <v>5.5648827699457346</v>
      </c>
      <c r="R1230" s="27">
        <f t="shared" si="395"/>
        <v>5.5483103177944013</v>
      </c>
      <c r="S1230" s="27">
        <f t="shared" si="395"/>
        <v>5.2545848231765602</v>
      </c>
      <c r="T1230" s="27">
        <f t="shared" si="395"/>
        <v>5.3277448648735932</v>
      </c>
      <c r="U1230" s="27">
        <f t="shared" si="395"/>
        <v>5.3771318788227438</v>
      </c>
      <c r="V1230" s="27">
        <f t="shared" si="395"/>
        <v>5.4200550937003218</v>
      </c>
      <c r="W1230" s="27">
        <f t="shared" si="395"/>
        <v>5.4726184084270573</v>
      </c>
      <c r="X1230" s="27">
        <f t="shared" si="395"/>
        <v>5.5193093093258572</v>
      </c>
      <c r="Y1230" s="27">
        <f t="shared" si="395"/>
        <v>5.5623143429133499</v>
      </c>
      <c r="Z1230" s="27">
        <f t="shared" si="395"/>
        <v>5.6016190467987945</v>
      </c>
      <c r="AA1230" s="27">
        <f t="shared" si="395"/>
        <v>5.6358734850599594</v>
      </c>
      <c r="AB1230" s="27">
        <f t="shared" si="395"/>
        <v>5.6864221774832213</v>
      </c>
      <c r="AC1230" s="27">
        <f t="shared" si="395"/>
        <v>5.734761216152096</v>
      </c>
      <c r="AD1230" s="27">
        <f t="shared" si="395"/>
        <v>5.7937893665421401</v>
      </c>
      <c r="AE1230" s="27">
        <f t="shared" si="395"/>
        <v>5.868728906856421</v>
      </c>
      <c r="AF1230" s="27">
        <f t="shared" si="395"/>
        <v>5.95097387412393</v>
      </c>
      <c r="AG1230" s="27">
        <f t="shared" si="395"/>
        <v>6.0502809540907023</v>
      </c>
      <c r="AH1230" s="27">
        <f t="shared" si="395"/>
        <v>6.1220107529838179</v>
      </c>
      <c r="AI1230" s="27">
        <f t="shared" si="395"/>
        <v>6.1941308642978408</v>
      </c>
      <c r="AJ1230" s="27">
        <f t="shared" si="395"/>
        <v>6.2747694866131836</v>
      </c>
      <c r="AK1230" s="27">
        <f t="shared" si="395"/>
        <v>6.3513096084096698</v>
      </c>
      <c r="AL1230" s="27">
        <f t="shared" si="395"/>
        <v>6.4323283925814563</v>
      </c>
      <c r="AM1230" s="27">
        <f t="shared" si="395"/>
        <v>6.5134158744418782</v>
      </c>
      <c r="AN1230" s="27">
        <f t="shared" si="395"/>
        <v>6.6126163316975539</v>
      </c>
      <c r="AO1230" s="27">
        <f t="shared" si="395"/>
        <v>6.7066735285892829</v>
      </c>
      <c r="AP1230" s="27">
        <f t="shared" si="395"/>
        <v>6.8021224333407027</v>
      </c>
      <c r="AQ1230" s="27">
        <f t="shared" si="395"/>
        <v>6.9006513009384864</v>
      </c>
      <c r="AR1230" s="27">
        <f t="shared" si="395"/>
        <v>7.0028965831984893</v>
      </c>
      <c r="AS1230" s="27">
        <f t="shared" si="395"/>
        <v>7.1267607896665828</v>
      </c>
      <c r="AT1230" s="27">
        <f t="shared" si="395"/>
        <v>7.2071584727038323</v>
      </c>
      <c r="AU1230" s="27">
        <f t="shared" si="395"/>
        <v>7.2845566532149562</v>
      </c>
      <c r="AV1230" s="27">
        <f t="shared" si="395"/>
        <v>7.3636089922437549</v>
      </c>
      <c r="AW1230" s="27">
        <f t="shared" si="395"/>
        <v>7.4423534956754249</v>
      </c>
      <c r="AY1230" s="79"/>
      <c r="AZ1230" s="79"/>
    </row>
    <row r="1231" spans="1:52" x14ac:dyDescent="0.2">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2">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1.8400999552016304</v>
      </c>
      <c r="L1232" s="27">
        <f t="shared" si="397"/>
        <v>1.8300977880312255</v>
      </c>
      <c r="M1232" s="27">
        <f t="shared" si="397"/>
        <v>1.8309187348828158</v>
      </c>
      <c r="N1232" s="27">
        <f t="shared" si="397"/>
        <v>1.8141094978660448</v>
      </c>
      <c r="O1232" s="27">
        <f t="shared" si="397"/>
        <v>1.7866561368117302</v>
      </c>
      <c r="P1232" s="27">
        <f t="shared" si="397"/>
        <v>1.7489975228040084</v>
      </c>
      <c r="Q1232" s="27">
        <f t="shared" si="397"/>
        <v>1.7216531928010095</v>
      </c>
      <c r="R1232" s="27">
        <f t="shared" si="397"/>
        <v>1.6967284692901876</v>
      </c>
      <c r="S1232" s="27">
        <f t="shared" si="397"/>
        <v>1.5117747469441463</v>
      </c>
      <c r="T1232" s="27">
        <f t="shared" si="397"/>
        <v>1.5353784458928466</v>
      </c>
      <c r="U1232" s="27">
        <f t="shared" si="397"/>
        <v>1.5454031535928081</v>
      </c>
      <c r="V1232" s="27">
        <f t="shared" si="397"/>
        <v>1.5520051748391652</v>
      </c>
      <c r="W1232" s="27">
        <f t="shared" si="397"/>
        <v>1.564229983889788</v>
      </c>
      <c r="X1232" s="27">
        <f t="shared" si="397"/>
        <v>1.5733351038653358</v>
      </c>
      <c r="Y1232" s="27">
        <f t="shared" si="397"/>
        <v>1.5781110770621192</v>
      </c>
      <c r="Z1232" s="27">
        <f t="shared" si="397"/>
        <v>1.5810372890528743</v>
      </c>
      <c r="AA1232" s="27">
        <f t="shared" si="397"/>
        <v>1.5814342334658642</v>
      </c>
      <c r="AB1232" s="27">
        <f t="shared" si="397"/>
        <v>1.5906175911874081</v>
      </c>
      <c r="AC1232" s="27">
        <f t="shared" si="397"/>
        <v>1.598639197477874</v>
      </c>
      <c r="AD1232" s="27">
        <f t="shared" si="397"/>
        <v>1.6101808279098371</v>
      </c>
      <c r="AE1232" s="27">
        <f t="shared" si="397"/>
        <v>1.6296768229523677</v>
      </c>
      <c r="AF1232" s="27">
        <f t="shared" si="397"/>
        <v>1.6525077177354268</v>
      </c>
      <c r="AG1232" s="27">
        <f t="shared" si="397"/>
        <v>1.6834189005947389</v>
      </c>
      <c r="AH1232" s="27">
        <f t="shared" si="397"/>
        <v>1.7001060999840301</v>
      </c>
      <c r="AI1232" s="27">
        <f t="shared" si="397"/>
        <v>1.714680678931171</v>
      </c>
      <c r="AJ1232" s="27">
        <f t="shared" si="397"/>
        <v>1.7329967482102966</v>
      </c>
      <c r="AK1232" s="27">
        <f t="shared" si="397"/>
        <v>1.7488990397133231</v>
      </c>
      <c r="AL1232" s="27">
        <f t="shared" si="397"/>
        <v>1.7664947607476369</v>
      </c>
      <c r="AM1232" s="27">
        <f t="shared" si="397"/>
        <v>1.7836580054040596</v>
      </c>
      <c r="AN1232" s="27">
        <f t="shared" si="397"/>
        <v>1.8067654920152938</v>
      </c>
      <c r="AO1232" s="27">
        <f t="shared" si="397"/>
        <v>1.8268312610518465</v>
      </c>
      <c r="AP1232" s="27">
        <f t="shared" si="397"/>
        <v>1.8468791974694727</v>
      </c>
      <c r="AQ1232" s="27">
        <f t="shared" si="397"/>
        <v>1.8676391522371276</v>
      </c>
      <c r="AR1232" s="27">
        <f t="shared" si="397"/>
        <v>1.8893444874946981</v>
      </c>
      <c r="AS1232" s="27">
        <f t="shared" si="397"/>
        <v>1.9176308190810374</v>
      </c>
      <c r="AT1232" s="27">
        <f t="shared" si="397"/>
        <v>1.9263908565050327</v>
      </c>
      <c r="AU1232" s="27">
        <f t="shared" si="397"/>
        <v>1.9333876275197814</v>
      </c>
      <c r="AV1232" s="27">
        <f t="shared" si="397"/>
        <v>1.9406033255753634</v>
      </c>
      <c r="AW1232" s="27">
        <f t="shared" si="397"/>
        <v>1.947207220691618</v>
      </c>
      <c r="AY1232" s="79"/>
      <c r="AZ1232" s="79"/>
    </row>
    <row r="1233" spans="1:52" x14ac:dyDescent="0.2">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0.25496723934882609</v>
      </c>
      <c r="L1233" s="27">
        <f t="shared" si="398"/>
        <v>0.25358132281546897</v>
      </c>
      <c r="M1233" s="27">
        <f t="shared" si="398"/>
        <v>0.25369507454499346</v>
      </c>
      <c r="N1233" s="27">
        <f t="shared" si="398"/>
        <v>0.25136595935447842</v>
      </c>
      <c r="O1233" s="27">
        <f t="shared" si="398"/>
        <v>0.24756197704412711</v>
      </c>
      <c r="P1233" s="27">
        <f t="shared" si="398"/>
        <v>0.2423439383043785</v>
      </c>
      <c r="Q1233" s="27">
        <f t="shared" si="398"/>
        <v>0.23855506351363703</v>
      </c>
      <c r="R1233" s="27">
        <f t="shared" si="398"/>
        <v>0.23510145332951488</v>
      </c>
      <c r="S1233" s="27">
        <f t="shared" si="398"/>
        <v>0.20947396507239346</v>
      </c>
      <c r="T1233" s="27">
        <f t="shared" si="398"/>
        <v>0.21274453194695842</v>
      </c>
      <c r="U1233" s="27">
        <f t="shared" si="398"/>
        <v>0.21413357173271183</v>
      </c>
      <c r="V1233" s="27">
        <f t="shared" si="398"/>
        <v>0.21504835852271614</v>
      </c>
      <c r="W1233" s="27">
        <f t="shared" si="398"/>
        <v>0.21674224792605687</v>
      </c>
      <c r="X1233" s="27">
        <f t="shared" si="398"/>
        <v>0.21800386814268849</v>
      </c>
      <c r="Y1233" s="27">
        <f t="shared" si="398"/>
        <v>0.21866563474821746</v>
      </c>
      <c r="Z1233" s="27">
        <f t="shared" si="398"/>
        <v>0.21907109543578676</v>
      </c>
      <c r="AA1233" s="27">
        <f t="shared" si="398"/>
        <v>0.21912609669855451</v>
      </c>
      <c r="AB1233" s="27">
        <f t="shared" si="398"/>
        <v>0.22039855766438188</v>
      </c>
      <c r="AC1233" s="27">
        <f t="shared" si="398"/>
        <v>0.22151004446445585</v>
      </c>
      <c r="AD1233" s="27">
        <f t="shared" si="398"/>
        <v>0.22310927152845497</v>
      </c>
      <c r="AE1233" s="27">
        <f t="shared" si="398"/>
        <v>0.22581066827611573</v>
      </c>
      <c r="AF1233" s="27">
        <f t="shared" si="398"/>
        <v>0.22897415414993735</v>
      </c>
      <c r="AG1233" s="27">
        <f t="shared" si="398"/>
        <v>0.23325725786741008</v>
      </c>
      <c r="AH1233" s="27">
        <f t="shared" si="398"/>
        <v>0.2355694633259906</v>
      </c>
      <c r="AI1233" s="27">
        <f t="shared" si="398"/>
        <v>0.23758894066379471</v>
      </c>
      <c r="AJ1233" s="27">
        <f t="shared" si="398"/>
        <v>0.24012684498068754</v>
      </c>
      <c r="AK1233" s="27">
        <f t="shared" si="398"/>
        <v>0.24233029232733053</v>
      </c>
      <c r="AL1233" s="27">
        <f t="shared" si="398"/>
        <v>0.24476838402109372</v>
      </c>
      <c r="AM1233" s="27">
        <f t="shared" si="398"/>
        <v>0.2471465510853047</v>
      </c>
      <c r="AN1233" s="27">
        <f t="shared" si="398"/>
        <v>0.25034836197220872</v>
      </c>
      <c r="AO1233" s="27">
        <f t="shared" si="398"/>
        <v>0.25312870753017624</v>
      </c>
      <c r="AP1233" s="27">
        <f t="shared" si="398"/>
        <v>0.25590658217149315</v>
      </c>
      <c r="AQ1233" s="27">
        <f t="shared" si="398"/>
        <v>0.25878311523218522</v>
      </c>
      <c r="AR1233" s="27">
        <f t="shared" si="398"/>
        <v>0.26179064174949174</v>
      </c>
      <c r="AS1233" s="27">
        <f t="shared" si="398"/>
        <v>0.26571004181006297</v>
      </c>
      <c r="AT1233" s="27">
        <f t="shared" si="398"/>
        <v>0.26692384682770609</v>
      </c>
      <c r="AU1233" s="27">
        <f t="shared" si="398"/>
        <v>0.26789333078695698</v>
      </c>
      <c r="AV1233" s="27">
        <f t="shared" si="398"/>
        <v>0.26889314963267008</v>
      </c>
      <c r="AW1233" s="27">
        <f t="shared" si="398"/>
        <v>0.26980819606913181</v>
      </c>
      <c r="AY1233" s="79"/>
      <c r="AZ1233" s="79"/>
    </row>
    <row r="1234" spans="1:52" x14ac:dyDescent="0.2">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7.3515566449446608</v>
      </c>
      <c r="L1234" s="27">
        <f t="shared" si="399"/>
        <v>7.3926556060474695</v>
      </c>
      <c r="M1234" s="27">
        <f t="shared" si="399"/>
        <v>7.4509679933552357</v>
      </c>
      <c r="N1234" s="27">
        <f t="shared" si="399"/>
        <v>7.4884399137495778</v>
      </c>
      <c r="O1234" s="27">
        <f t="shared" si="399"/>
        <v>7.5133401762337781</v>
      </c>
      <c r="P1234" s="27">
        <f t="shared" si="399"/>
        <v>7.5254237066246787</v>
      </c>
      <c r="Q1234" s="27">
        <f t="shared" si="399"/>
        <v>7.5521207222874409</v>
      </c>
      <c r="R1234" s="27">
        <f t="shared" si="399"/>
        <v>7.5827466834051176</v>
      </c>
      <c r="S1234" s="27">
        <f t="shared" si="399"/>
        <v>7.3751673422986102</v>
      </c>
      <c r="T1234" s="27">
        <f t="shared" si="399"/>
        <v>6.874701967980049</v>
      </c>
      <c r="U1234" s="27">
        <f t="shared" si="399"/>
        <v>6.3540271831706479</v>
      </c>
      <c r="V1234" s="27">
        <f t="shared" si="399"/>
        <v>5.8290265658466058</v>
      </c>
      <c r="W1234" s="27">
        <f t="shared" si="399"/>
        <v>5.3105083221122173</v>
      </c>
      <c r="X1234" s="27">
        <f t="shared" si="399"/>
        <v>4.7878128726658016</v>
      </c>
      <c r="Y1234" s="27">
        <f t="shared" si="399"/>
        <v>4.2573632327638924</v>
      </c>
      <c r="Z1234" s="27">
        <f t="shared" si="399"/>
        <v>3.7264571022890651</v>
      </c>
      <c r="AA1234" s="27">
        <f t="shared" si="399"/>
        <v>3.1951107755972634</v>
      </c>
      <c r="AB1234" s="27">
        <f t="shared" si="399"/>
        <v>2.6706144760391384</v>
      </c>
      <c r="AC1234" s="27">
        <f t="shared" si="399"/>
        <v>2.1453317312465341</v>
      </c>
      <c r="AD1234" s="27">
        <f t="shared" si="399"/>
        <v>2.029014831957312</v>
      </c>
      <c r="AE1234" s="27">
        <f t="shared" si="399"/>
        <v>1.9144450457782245</v>
      </c>
      <c r="AF1234" s="27">
        <f t="shared" si="399"/>
        <v>1.7991338533472652</v>
      </c>
      <c r="AG1234" s="27">
        <f t="shared" si="399"/>
        <v>1.6845143667116451</v>
      </c>
      <c r="AH1234" s="27">
        <f t="shared" si="399"/>
        <v>1.5621005163750592</v>
      </c>
      <c r="AI1234" s="27">
        <f t="shared" si="399"/>
        <v>1.4360307500071539</v>
      </c>
      <c r="AJ1234" s="27">
        <f t="shared" si="399"/>
        <v>1.309024249087849</v>
      </c>
      <c r="AK1234" s="27">
        <f t="shared" si="399"/>
        <v>1.1790442385352717</v>
      </c>
      <c r="AL1234" s="27">
        <f t="shared" si="399"/>
        <v>1.0471846581168345</v>
      </c>
      <c r="AM1234" s="27">
        <f t="shared" si="399"/>
        <v>0.91276571663399331</v>
      </c>
      <c r="AN1234" s="27">
        <f t="shared" si="399"/>
        <v>0.92233629444364418</v>
      </c>
      <c r="AO1234" s="27">
        <f t="shared" si="399"/>
        <v>0.9314921388987063</v>
      </c>
      <c r="AP1234" s="27">
        <f t="shared" si="399"/>
        <v>0.94086607435020397</v>
      </c>
      <c r="AQ1234" s="27">
        <f t="shared" si="399"/>
        <v>0.95062217903321766</v>
      </c>
      <c r="AR1234" s="27">
        <f t="shared" si="399"/>
        <v>0.96082298525115029</v>
      </c>
      <c r="AS1234" s="27">
        <f t="shared" si="399"/>
        <v>0.9723198862976723</v>
      </c>
      <c r="AT1234" s="27">
        <f t="shared" si="399"/>
        <v>0.97963857071647631</v>
      </c>
      <c r="AU1234" s="27">
        <f t="shared" si="399"/>
        <v>0.98672183846965922</v>
      </c>
      <c r="AV1234" s="27">
        <f t="shared" si="399"/>
        <v>0.99402264044195654</v>
      </c>
      <c r="AW1234" s="27">
        <f t="shared" si="399"/>
        <v>1.0013488402119819</v>
      </c>
      <c r="AY1234" s="79"/>
      <c r="AZ1234" s="79"/>
    </row>
    <row r="1235" spans="1:52" x14ac:dyDescent="0.2">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2.0944278303167523</v>
      </c>
      <c r="L1235" s="27">
        <f t="shared" si="400"/>
        <v>2.1061367529420063</v>
      </c>
      <c r="M1235" s="27">
        <f t="shared" si="400"/>
        <v>2.1227497089087644</v>
      </c>
      <c r="N1235" s="27">
        <f t="shared" si="400"/>
        <v>2.1334253027618426</v>
      </c>
      <c r="O1235" s="27">
        <f t="shared" si="400"/>
        <v>2.1405192837032749</v>
      </c>
      <c r="P1235" s="27">
        <f t="shared" si="400"/>
        <v>2.1439618311203019</v>
      </c>
      <c r="Q1235" s="27">
        <f t="shared" si="400"/>
        <v>2.1515676995493975</v>
      </c>
      <c r="R1235" s="27">
        <f t="shared" si="400"/>
        <v>2.1602929081539135</v>
      </c>
      <c r="S1235" s="27">
        <f t="shared" si="400"/>
        <v>2.1011544195303857</v>
      </c>
      <c r="T1235" s="27">
        <f t="shared" si="400"/>
        <v>1.939981406944459</v>
      </c>
      <c r="U1235" s="27">
        <f t="shared" si="400"/>
        <v>1.7730223077483207</v>
      </c>
      <c r="V1235" s="27">
        <f t="shared" si="400"/>
        <v>1.6048360006375673</v>
      </c>
      <c r="W1235" s="27">
        <f t="shared" si="400"/>
        <v>1.4383970720843853</v>
      </c>
      <c r="X1235" s="27">
        <f t="shared" si="400"/>
        <v>1.2707676812969984</v>
      </c>
      <c r="Y1235" s="27">
        <f t="shared" si="400"/>
        <v>1.1010774313099985</v>
      </c>
      <c r="Z1235" s="27">
        <f t="shared" si="400"/>
        <v>0.93132922893776193</v>
      </c>
      <c r="AA1235" s="27">
        <f t="shared" si="400"/>
        <v>0.76157049395056098</v>
      </c>
      <c r="AB1235" s="27">
        <f t="shared" si="400"/>
        <v>0.59349837410145545</v>
      </c>
      <c r="AC1235" s="27">
        <f t="shared" si="400"/>
        <v>0.42522635776774198</v>
      </c>
      <c r="AD1235" s="27">
        <f t="shared" si="400"/>
        <v>0.38600966102847334</v>
      </c>
      <c r="AE1235" s="27">
        <f t="shared" si="400"/>
        <v>0.3468353450937387</v>
      </c>
      <c r="AF1235" s="27">
        <f t="shared" si="400"/>
        <v>0.3071621102699762</v>
      </c>
      <c r="AG1235" s="27">
        <f t="shared" si="400"/>
        <v>0.26715359433804808</v>
      </c>
      <c r="AH1235" s="27">
        <f t="shared" si="400"/>
        <v>0.22543760721629269</v>
      </c>
      <c r="AI1235" s="27">
        <f t="shared" si="400"/>
        <v>0.18277008475982104</v>
      </c>
      <c r="AJ1235" s="27">
        <f t="shared" si="400"/>
        <v>0.13951140218900537</v>
      </c>
      <c r="AK1235" s="27">
        <f t="shared" si="400"/>
        <v>9.5391848402647916E-2</v>
      </c>
      <c r="AL1235" s="27">
        <f t="shared" si="400"/>
        <v>5.0501642147569914E-2</v>
      </c>
      <c r="AM1235" s="27">
        <f t="shared" si="400"/>
        <v>4.7572308972734234E-3</v>
      </c>
      <c r="AN1235" s="27">
        <f t="shared" si="400"/>
        <v>4.8071116581644979E-3</v>
      </c>
      <c r="AO1235" s="27">
        <f t="shared" si="400"/>
        <v>4.8548308760736347E-3</v>
      </c>
      <c r="AP1235" s="27">
        <f t="shared" si="400"/>
        <v>4.9036867594032252E-3</v>
      </c>
      <c r="AQ1235" s="27">
        <f t="shared" si="400"/>
        <v>4.9545344652153211E-3</v>
      </c>
      <c r="AR1235" s="27">
        <f t="shared" si="400"/>
        <v>5.0076999047501403E-3</v>
      </c>
      <c r="AS1235" s="27">
        <f t="shared" si="400"/>
        <v>5.0676204428299343E-3</v>
      </c>
      <c r="AT1235" s="27">
        <f t="shared" si="400"/>
        <v>5.1057645919909689E-3</v>
      </c>
      <c r="AU1235" s="27">
        <f t="shared" si="400"/>
        <v>5.1426817763187138E-3</v>
      </c>
      <c r="AV1235" s="27">
        <f t="shared" si="400"/>
        <v>5.1807327242068268E-3</v>
      </c>
      <c r="AW1235" s="27">
        <f t="shared" si="400"/>
        <v>5.2189160425220038E-3</v>
      </c>
      <c r="AY1235" s="79"/>
      <c r="AZ1235" s="79"/>
    </row>
    <row r="1236" spans="1:52" x14ac:dyDescent="0.2">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0.43500213637199753</v>
      </c>
      <c r="M1236" s="27">
        <f t="shared" si="401"/>
        <v>0.43843338143569016</v>
      </c>
      <c r="N1236" s="27">
        <f t="shared" si="401"/>
        <v>0.44063832189202168</v>
      </c>
      <c r="O1236" s="27">
        <f t="shared" si="401"/>
        <v>0.44210351490980404</v>
      </c>
      <c r="P1236" s="27">
        <f t="shared" si="401"/>
        <v>0.44281453971808232</v>
      </c>
      <c r="Q1236" s="27">
        <f t="shared" si="401"/>
        <v>0.44438545813589125</v>
      </c>
      <c r="R1236" s="27">
        <f t="shared" si="401"/>
        <v>0.44618756541973886</v>
      </c>
      <c r="S1236" s="27">
        <f t="shared" si="401"/>
        <v>0.43397308368814624</v>
      </c>
      <c r="T1236" s="27">
        <f t="shared" si="401"/>
        <v>0.43896037848337277</v>
      </c>
      <c r="U1236" s="27">
        <f t="shared" si="401"/>
        <v>0.4428684500840781</v>
      </c>
      <c r="V1236" s="27">
        <f t="shared" si="401"/>
        <v>0.44657091850477143</v>
      </c>
      <c r="W1236" s="27">
        <f t="shared" si="401"/>
        <v>0.45089946579138956</v>
      </c>
      <c r="X1236" s="27">
        <f t="shared" si="401"/>
        <v>0.45504479906495582</v>
      </c>
      <c r="Y1236" s="27">
        <f t="shared" si="401"/>
        <v>0.4585214616244665</v>
      </c>
      <c r="Z1236" s="27">
        <f t="shared" si="401"/>
        <v>0.46190156120605425</v>
      </c>
      <c r="AA1236" s="27">
        <f t="shared" si="401"/>
        <v>0.46510763087689888</v>
      </c>
      <c r="AB1236" s="27">
        <f t="shared" si="401"/>
        <v>0.46927815761763869</v>
      </c>
      <c r="AC1236" s="27">
        <f t="shared" si="401"/>
        <v>0.47342723886594434</v>
      </c>
      <c r="AD1236" s="27">
        <f t="shared" si="401"/>
        <v>0.4777559304899795</v>
      </c>
      <c r="AE1236" s="27">
        <f t="shared" si="401"/>
        <v>0.48303683706827621</v>
      </c>
      <c r="AF1236" s="27">
        <f t="shared" si="401"/>
        <v>0.48881007506008173</v>
      </c>
      <c r="AG1236" s="27">
        <f t="shared" si="401"/>
        <v>0.49561553537468644</v>
      </c>
      <c r="AH1236" s="27">
        <f t="shared" si="401"/>
        <v>0.50100547707002141</v>
      </c>
      <c r="AI1236" s="27">
        <f t="shared" si="401"/>
        <v>0.50601267449357823</v>
      </c>
      <c r="AJ1236" s="27">
        <f t="shared" si="401"/>
        <v>0.51156883118915397</v>
      </c>
      <c r="AK1236" s="27">
        <f t="shared" si="401"/>
        <v>0.51697580022400658</v>
      </c>
      <c r="AL1236" s="27">
        <f t="shared" si="401"/>
        <v>0.52271015284978539</v>
      </c>
      <c r="AM1236" s="27">
        <f t="shared" si="401"/>
        <v>0.52852693757963265</v>
      </c>
      <c r="AN1236" s="27">
        <f t="shared" si="401"/>
        <v>0.5349553415888797</v>
      </c>
      <c r="AO1236" s="27">
        <f t="shared" si="401"/>
        <v>0.54116418060264715</v>
      </c>
      <c r="AP1236" s="27">
        <f t="shared" si="401"/>
        <v>0.54752061851039679</v>
      </c>
      <c r="AQ1236" s="27">
        <f t="shared" si="401"/>
        <v>0.55412103591201056</v>
      </c>
      <c r="AR1236" s="27">
        <f t="shared" si="401"/>
        <v>0.56100316732391087</v>
      </c>
      <c r="AS1236" s="27">
        <f t="shared" si="401"/>
        <v>0.56866636942385063</v>
      </c>
      <c r="AT1236" s="27">
        <f t="shared" si="401"/>
        <v>0.57390752295656533</v>
      </c>
      <c r="AU1236" s="27">
        <f t="shared" si="401"/>
        <v>0.57902813673368103</v>
      </c>
      <c r="AV1236" s="27">
        <f t="shared" si="401"/>
        <v>0.58429385018566193</v>
      </c>
      <c r="AW1236" s="27">
        <f t="shared" si="401"/>
        <v>0.5895922674079066</v>
      </c>
      <c r="AY1236" s="79"/>
      <c r="AZ1236" s="79"/>
    </row>
    <row r="1237" spans="1:52" x14ac:dyDescent="0.2">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9.4871637196006553E-2</v>
      </c>
      <c r="L1237" s="27">
        <f t="shared" si="402"/>
        <v>9.4048845784615531E-2</v>
      </c>
      <c r="M1237" s="27">
        <f t="shared" si="402"/>
        <v>9.3735634002294246E-2</v>
      </c>
      <c r="N1237" s="27">
        <f t="shared" si="402"/>
        <v>9.2483917307495084E-2</v>
      </c>
      <c r="O1237" s="27">
        <f t="shared" si="402"/>
        <v>9.0667019955957398E-2</v>
      </c>
      <c r="P1237" s="27">
        <f t="shared" si="402"/>
        <v>8.8322512540543865E-2</v>
      </c>
      <c r="Q1237" s="27">
        <f t="shared" si="402"/>
        <v>8.6473330972337892E-2</v>
      </c>
      <c r="R1237" s="27">
        <f t="shared" si="402"/>
        <v>8.4723794986300283E-2</v>
      </c>
      <c r="S1237" s="27">
        <f t="shared" si="402"/>
        <v>7.5194221843696937E-2</v>
      </c>
      <c r="T1237" s="27">
        <f t="shared" si="402"/>
        <v>7.6632536915557561E-2</v>
      </c>
      <c r="U1237" s="27">
        <f t="shared" si="402"/>
        <v>7.7401549005272907E-2</v>
      </c>
      <c r="V1237" s="27">
        <f t="shared" si="402"/>
        <v>7.7993527400119084E-2</v>
      </c>
      <c r="W1237" s="27">
        <f t="shared" si="402"/>
        <v>7.8850028173398812E-2</v>
      </c>
      <c r="X1237" s="27">
        <f t="shared" si="402"/>
        <v>7.9545124288710786E-2</v>
      </c>
      <c r="Y1237" s="27">
        <f t="shared" si="402"/>
        <v>7.9993221888415164E-2</v>
      </c>
      <c r="Z1237" s="27">
        <f t="shared" si="402"/>
        <v>8.0342032341122221E-2</v>
      </c>
      <c r="AA1237" s="27">
        <f t="shared" si="402"/>
        <v>8.0558218611879576E-2</v>
      </c>
      <c r="AB1237" s="27">
        <f t="shared" si="402"/>
        <v>8.1198214942881639E-2</v>
      </c>
      <c r="AC1237" s="27">
        <f t="shared" si="402"/>
        <v>8.1774057106542911E-2</v>
      </c>
      <c r="AD1237" s="27">
        <f t="shared" si="402"/>
        <v>8.1803756887802739E-2</v>
      </c>
      <c r="AE1237" s="27">
        <f t="shared" si="402"/>
        <v>8.2189518118440233E-2</v>
      </c>
      <c r="AF1237" s="27">
        <f t="shared" si="402"/>
        <v>8.2699636683975147E-2</v>
      </c>
      <c r="AG1237" s="27">
        <f t="shared" si="402"/>
        <v>8.3556074547621109E-2</v>
      </c>
      <c r="AH1237" s="27">
        <f t="shared" si="402"/>
        <v>8.3692861347297365E-2</v>
      </c>
      <c r="AI1237" s="27">
        <f t="shared" si="402"/>
        <v>8.3678502694708126E-2</v>
      </c>
      <c r="AJ1237" s="27">
        <f t="shared" si="402"/>
        <v>8.380415826329729E-2</v>
      </c>
      <c r="AK1237" s="27">
        <f t="shared" si="402"/>
        <v>8.3780965761712248E-2</v>
      </c>
      <c r="AL1237" s="27">
        <f t="shared" si="402"/>
        <v>8.3798710851856847E-2</v>
      </c>
      <c r="AM1237" s="27">
        <f t="shared" si="402"/>
        <v>8.3758438816059183E-2</v>
      </c>
      <c r="AN1237" s="27">
        <f t="shared" si="402"/>
        <v>8.4359602001058728E-2</v>
      </c>
      <c r="AO1237" s="27">
        <f t="shared" si="402"/>
        <v>8.4799386999346651E-2</v>
      </c>
      <c r="AP1237" s="27">
        <f t="shared" si="402"/>
        <v>8.5213797519739967E-2</v>
      </c>
      <c r="AQ1237" s="27">
        <f t="shared" si="402"/>
        <v>8.5634541045958551E-2</v>
      </c>
      <c r="AR1237" s="27">
        <f t="shared" si="402"/>
        <v>8.6070741793779534E-2</v>
      </c>
      <c r="AS1237" s="27">
        <f t="shared" si="402"/>
        <v>8.6754318409979284E-2</v>
      </c>
      <c r="AT1237" s="27">
        <f t="shared" si="402"/>
        <v>8.6561782662480824E-2</v>
      </c>
      <c r="AU1237" s="27">
        <f t="shared" si="402"/>
        <v>8.6273112387571071E-2</v>
      </c>
      <c r="AV1237" s="27">
        <f t="shared" si="402"/>
        <v>8.5974128279328724E-2</v>
      </c>
      <c r="AW1237" s="27">
        <f t="shared" si="402"/>
        <v>8.5629055859458861E-2</v>
      </c>
      <c r="AY1237" s="79"/>
      <c r="AZ1237" s="79"/>
    </row>
    <row r="1238" spans="1:52" x14ac:dyDescent="0.2">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6.9689449734106304E-2</v>
      </c>
      <c r="L1238" s="27">
        <f t="shared" si="403"/>
        <v>6.908505539244103E-2</v>
      </c>
      <c r="M1238" s="27">
        <f t="shared" si="403"/>
        <v>6.8854980763127793E-2</v>
      </c>
      <c r="N1238" s="27">
        <f t="shared" si="403"/>
        <v>6.7935512624264269E-2</v>
      </c>
      <c r="O1238" s="27">
        <f t="shared" si="403"/>
        <v>6.6600882165738284E-2</v>
      </c>
      <c r="P1238" s="27">
        <f t="shared" si="403"/>
        <v>6.4878687456057696E-2</v>
      </c>
      <c r="Q1238" s="27">
        <f t="shared" si="403"/>
        <v>6.3520342119606069E-2</v>
      </c>
      <c r="R1238" s="27">
        <f t="shared" si="403"/>
        <v>6.2235193009075998E-2</v>
      </c>
      <c r="S1238" s="27">
        <f t="shared" si="403"/>
        <v>5.5235095528552075E-2</v>
      </c>
      <c r="T1238" s="27">
        <f t="shared" si="403"/>
        <v>5.629163243320303E-2</v>
      </c>
      <c r="U1238" s="27">
        <f t="shared" si="403"/>
        <v>5.6856522330279623E-2</v>
      </c>
      <c r="V1238" s="27">
        <f t="shared" si="403"/>
        <v>5.7291369348952612E-2</v>
      </c>
      <c r="W1238" s="27">
        <f t="shared" si="403"/>
        <v>5.7920525431327162E-2</v>
      </c>
      <c r="X1238" s="27">
        <f t="shared" si="403"/>
        <v>5.8431119189589487E-2</v>
      </c>
      <c r="Y1238" s="27">
        <f t="shared" si="403"/>
        <v>5.8760276312556113E-2</v>
      </c>
      <c r="Z1238" s="27">
        <f t="shared" si="403"/>
        <v>5.9016500503780274E-2</v>
      </c>
      <c r="AA1238" s="27">
        <f t="shared" si="403"/>
        <v>5.9175303521145986E-2</v>
      </c>
      <c r="AB1238" s="27">
        <f t="shared" si="403"/>
        <v>5.9645422868272187E-2</v>
      </c>
      <c r="AC1238" s="27">
        <f t="shared" si="403"/>
        <v>6.0068416765134525E-2</v>
      </c>
      <c r="AD1238" s="27">
        <f t="shared" si="403"/>
        <v>6.0090233205478502E-2</v>
      </c>
      <c r="AE1238" s="27">
        <f t="shared" si="403"/>
        <v>6.0373600170426478E-2</v>
      </c>
      <c r="AF1238" s="27">
        <f t="shared" si="403"/>
        <v>6.0748315767015518E-2</v>
      </c>
      <c r="AG1238" s="27">
        <f t="shared" si="403"/>
        <v>6.1377425638131498E-2</v>
      </c>
      <c r="AH1238" s="27">
        <f t="shared" si="403"/>
        <v>6.1477904528156692E-2</v>
      </c>
      <c r="AI1238" s="27">
        <f t="shared" si="403"/>
        <v>6.1467357154595496E-2</v>
      </c>
      <c r="AJ1238" s="27">
        <f t="shared" si="403"/>
        <v>6.1559659424165428E-2</v>
      </c>
      <c r="AK1238" s="27">
        <f t="shared" si="403"/>
        <v>6.1542623008212359E-2</v>
      </c>
      <c r="AL1238" s="27">
        <f t="shared" si="403"/>
        <v>6.155565794261645E-2</v>
      </c>
      <c r="AM1238" s="27">
        <f t="shared" si="403"/>
        <v>6.1526075486812389E-2</v>
      </c>
      <c r="AN1238" s="27">
        <f t="shared" si="403"/>
        <v>6.1967669337211172E-2</v>
      </c>
      <c r="AO1238" s="27">
        <f t="shared" si="403"/>
        <v>6.2290720308374216E-2</v>
      </c>
      <c r="AP1238" s="27">
        <f t="shared" si="403"/>
        <v>6.2595132058648639E-2</v>
      </c>
      <c r="AQ1238" s="27">
        <f t="shared" si="403"/>
        <v>6.2904195817723246E-2</v>
      </c>
      <c r="AR1238" s="27">
        <f t="shared" si="403"/>
        <v>6.3224613921465334E-2</v>
      </c>
      <c r="AS1238" s="27">
        <f t="shared" si="403"/>
        <v>6.3726745850902156E-2</v>
      </c>
      <c r="AT1238" s="27">
        <f t="shared" si="403"/>
        <v>6.3585315696496877E-2</v>
      </c>
      <c r="AU1238" s="27">
        <f t="shared" si="403"/>
        <v>6.3373268416533846E-2</v>
      </c>
      <c r="AV1238" s="27">
        <f t="shared" si="403"/>
        <v>6.3153644948461887E-2</v>
      </c>
      <c r="AW1238" s="27">
        <f t="shared" si="403"/>
        <v>6.2900166587911782E-2</v>
      </c>
      <c r="AY1238" s="79"/>
      <c r="AZ1238" s="79"/>
    </row>
    <row r="1239" spans="1:52" x14ac:dyDescent="0.2">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0.47107022937833831</v>
      </c>
      <c r="L1239" s="27">
        <f t="shared" si="404"/>
        <v>0.48695387967725956</v>
      </c>
      <c r="M1239" s="27">
        <f t="shared" si="404"/>
        <v>0.50580611066616787</v>
      </c>
      <c r="N1239" s="27">
        <f t="shared" si="404"/>
        <v>0.51986569055899412</v>
      </c>
      <c r="O1239" s="27">
        <f t="shared" si="404"/>
        <v>0.53070826286138573</v>
      </c>
      <c r="P1239" s="27">
        <f t="shared" si="404"/>
        <v>0.53817886796858128</v>
      </c>
      <c r="Q1239" s="27">
        <f t="shared" si="404"/>
        <v>0.54837935702304741</v>
      </c>
      <c r="R1239" s="27">
        <f t="shared" si="404"/>
        <v>0.55907244781022658</v>
      </c>
      <c r="S1239" s="27">
        <f t="shared" si="404"/>
        <v>0.51624279949509155</v>
      </c>
      <c r="T1239" s="27">
        <f t="shared" si="404"/>
        <v>0.51905442293179982</v>
      </c>
      <c r="U1239" s="27">
        <f t="shared" si="404"/>
        <v>0.5161981327255647</v>
      </c>
      <c r="V1239" s="27">
        <f t="shared" si="404"/>
        <v>0.51106755933786785</v>
      </c>
      <c r="W1239" s="27">
        <f t="shared" si="404"/>
        <v>0.50652343318716742</v>
      </c>
      <c r="X1239" s="27">
        <f t="shared" si="404"/>
        <v>0.49973740882416545</v>
      </c>
      <c r="Y1239" s="27">
        <f t="shared" si="404"/>
        <v>0.49020663760246297</v>
      </c>
      <c r="Z1239" s="27">
        <f t="shared" si="404"/>
        <v>0.47888613966015275</v>
      </c>
      <c r="AA1239" s="27">
        <f t="shared" si="404"/>
        <v>0.46559485729025601</v>
      </c>
      <c r="AB1239" s="27">
        <f t="shared" si="404"/>
        <v>0.45347725040911635</v>
      </c>
      <c r="AC1239" s="27">
        <f t="shared" si="404"/>
        <v>0.43960709972912054</v>
      </c>
      <c r="AD1239" s="27">
        <f t="shared" si="404"/>
        <v>0.44653753633833149</v>
      </c>
      <c r="AE1239" s="27">
        <f t="shared" si="404"/>
        <v>0.4554563002724214</v>
      </c>
      <c r="AF1239" s="27">
        <f t="shared" si="404"/>
        <v>0.46515149422032559</v>
      </c>
      <c r="AG1239" s="27">
        <f t="shared" si="404"/>
        <v>0.47692385099328688</v>
      </c>
      <c r="AH1239" s="27">
        <f t="shared" si="404"/>
        <v>0.48468956644495981</v>
      </c>
      <c r="AI1239" s="27">
        <f t="shared" si="404"/>
        <v>0.49161099424364796</v>
      </c>
      <c r="AJ1239" s="27">
        <f t="shared" si="404"/>
        <v>0.49938765146593456</v>
      </c>
      <c r="AK1239" s="27">
        <f t="shared" si="404"/>
        <v>0.50631172370544741</v>
      </c>
      <c r="AL1239" s="27">
        <f t="shared" si="404"/>
        <v>0.51351101219376194</v>
      </c>
      <c r="AM1239" s="27">
        <f t="shared" si="404"/>
        <v>0.52038364028053741</v>
      </c>
      <c r="AN1239" s="27">
        <f t="shared" si="404"/>
        <v>0.53834616711159067</v>
      </c>
      <c r="AO1239" s="27">
        <f t="shared" si="404"/>
        <v>0.55589596797837271</v>
      </c>
      <c r="AP1239" s="27">
        <f t="shared" si="404"/>
        <v>0.57389373030995405</v>
      </c>
      <c r="AQ1239" s="27">
        <f t="shared" si="404"/>
        <v>0.592575534019812</v>
      </c>
      <c r="AR1239" s="27">
        <f t="shared" si="404"/>
        <v>0.61204214806273571</v>
      </c>
      <c r="AS1239" s="27">
        <f t="shared" si="404"/>
        <v>0.63403214261351171</v>
      </c>
      <c r="AT1239" s="27">
        <f t="shared" si="404"/>
        <v>0.65029386997693461</v>
      </c>
      <c r="AU1239" s="27">
        <f t="shared" si="404"/>
        <v>0.66634139549797</v>
      </c>
      <c r="AV1239" s="27">
        <f t="shared" si="404"/>
        <v>0.68282168968967683</v>
      </c>
      <c r="AW1239" s="27">
        <f t="shared" si="404"/>
        <v>0.69946362201810119</v>
      </c>
      <c r="AY1239" s="79"/>
      <c r="AZ1239" s="79"/>
    </row>
    <row r="1240" spans="1:52" x14ac:dyDescent="0.2">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3.6781380176720842E-2</v>
      </c>
      <c r="T1240" s="27">
        <f t="shared" si="405"/>
        <v>3.6837395233082854E-2</v>
      </c>
      <c r="U1240" s="27">
        <f t="shared" si="405"/>
        <v>3.6900705652170011E-2</v>
      </c>
      <c r="V1240" s="27">
        <f t="shared" si="405"/>
        <v>3.6972125402225033E-2</v>
      </c>
      <c r="W1240" s="27">
        <f t="shared" si="405"/>
        <v>3.7052467371172147E-2</v>
      </c>
      <c r="X1240" s="27">
        <f t="shared" si="405"/>
        <v>3.7140056258746688E-2</v>
      </c>
      <c r="Y1240" s="27">
        <f t="shared" si="405"/>
        <v>3.7193327101982677E-2</v>
      </c>
      <c r="Z1240" s="27">
        <f t="shared" si="405"/>
        <v>3.725282757032642E-2</v>
      </c>
      <c r="AA1240" s="27">
        <f t="shared" si="405"/>
        <v>3.7318121191736012E-2</v>
      </c>
      <c r="AB1240" s="27">
        <f t="shared" si="405"/>
        <v>3.7390686259807883E-2</v>
      </c>
      <c r="AC1240" s="27">
        <f t="shared" si="405"/>
        <v>3.7468739847843706E-2</v>
      </c>
      <c r="AD1240" s="27">
        <f t="shared" si="405"/>
        <v>3.751974247344389E-2</v>
      </c>
      <c r="AE1240" s="27">
        <f t="shared" si="405"/>
        <v>3.7576993148623769E-2</v>
      </c>
      <c r="AF1240" s="27">
        <f t="shared" si="405"/>
        <v>3.7639577283476555E-2</v>
      </c>
      <c r="AG1240" s="27">
        <f t="shared" si="405"/>
        <v>3.7708144828082185E-2</v>
      </c>
      <c r="AH1240" s="27">
        <f t="shared" si="405"/>
        <v>3.7778741786852331E-2</v>
      </c>
      <c r="AI1240" s="27">
        <f t="shared" si="405"/>
        <v>3.7822008909384815E-2</v>
      </c>
      <c r="AJ1240" s="27">
        <f t="shared" si="405"/>
        <v>3.7869806060801224E-2</v>
      </c>
      <c r="AK1240" s="27">
        <f t="shared" si="405"/>
        <v>3.7920914851450743E-2</v>
      </c>
      <c r="AL1240" s="27">
        <f t="shared" si="405"/>
        <v>3.7975943332366417E-2</v>
      </c>
      <c r="AM1240" s="27">
        <f t="shared" si="405"/>
        <v>3.8034394238678673E-2</v>
      </c>
      <c r="AN1240" s="27">
        <f t="shared" si="405"/>
        <v>3.8068290997096535E-2</v>
      </c>
      <c r="AO1240" s="27">
        <f t="shared" si="405"/>
        <v>3.8104751343434065E-2</v>
      </c>
      <c r="AP1240" s="27">
        <f t="shared" si="405"/>
        <v>3.8144241244256513E-2</v>
      </c>
      <c r="AQ1240" s="27">
        <f t="shared" si="405"/>
        <v>3.8186815214812375E-2</v>
      </c>
      <c r="AR1240" s="27">
        <f t="shared" si="405"/>
        <v>3.8232443493664919E-2</v>
      </c>
      <c r="AS1240" s="27">
        <f t="shared" si="405"/>
        <v>3.825284618540576E-2</v>
      </c>
      <c r="AT1240" s="27">
        <f t="shared" si="405"/>
        <v>3.8271836221950122E-2</v>
      </c>
      <c r="AU1240" s="27">
        <f t="shared" si="405"/>
        <v>3.8292888607538426E-2</v>
      </c>
      <c r="AV1240" s="27">
        <f t="shared" si="405"/>
        <v>3.8316340791445545E-2</v>
      </c>
      <c r="AW1240" s="27">
        <f t="shared" si="405"/>
        <v>3.8341951349881082E-2</v>
      </c>
      <c r="AY1240" s="79"/>
      <c r="AZ1240" s="79"/>
    </row>
    <row r="1241" spans="1:52" x14ac:dyDescent="0.2">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4.2006089356439562E-3</v>
      </c>
      <c r="T1241" s="27">
        <f t="shared" si="406"/>
        <v>4.2070061220778072E-3</v>
      </c>
      <c r="U1241" s="27">
        <f t="shared" si="406"/>
        <v>4.2142364737084185E-3</v>
      </c>
      <c r="V1241" s="27">
        <f t="shared" si="406"/>
        <v>4.2223929495889085E-3</v>
      </c>
      <c r="W1241" s="27">
        <f t="shared" si="406"/>
        <v>4.2315683853948781E-3</v>
      </c>
      <c r="X1241" s="27">
        <f t="shared" si="406"/>
        <v>4.2415714538507386E-3</v>
      </c>
      <c r="Y1241" s="27">
        <f t="shared" si="406"/>
        <v>4.2476552380652311E-3</v>
      </c>
      <c r="Z1241" s="27">
        <f t="shared" si="406"/>
        <v>4.2544504751607076E-3</v>
      </c>
      <c r="AA1241" s="27">
        <f t="shared" si="406"/>
        <v>4.261907317949531E-3</v>
      </c>
      <c r="AB1241" s="27">
        <f t="shared" si="406"/>
        <v>4.2701945946067351E-3</v>
      </c>
      <c r="AC1241" s="27">
        <f t="shared" si="406"/>
        <v>4.2791086864050034E-3</v>
      </c>
      <c r="AD1241" s="27">
        <f t="shared" si="406"/>
        <v>4.284933429353965E-3</v>
      </c>
      <c r="AE1241" s="27">
        <f t="shared" si="406"/>
        <v>4.2914717293464286E-3</v>
      </c>
      <c r="AF1241" s="27">
        <f t="shared" si="406"/>
        <v>4.2986191358556219E-3</v>
      </c>
      <c r="AG1241" s="27">
        <f t="shared" si="406"/>
        <v>4.3064498762786759E-3</v>
      </c>
      <c r="AH1241" s="27">
        <f t="shared" si="406"/>
        <v>4.3145123854725761E-3</v>
      </c>
      <c r="AI1241" s="27">
        <f t="shared" si="406"/>
        <v>4.3194536970997174E-3</v>
      </c>
      <c r="AJ1241" s="27">
        <f t="shared" si="406"/>
        <v>4.3249123596179112E-3</v>
      </c>
      <c r="AK1241" s="27">
        <f t="shared" si="406"/>
        <v>4.3307492271215465E-3</v>
      </c>
      <c r="AL1241" s="27">
        <f t="shared" si="406"/>
        <v>4.3370337419368866E-3</v>
      </c>
      <c r="AM1241" s="27">
        <f t="shared" si="406"/>
        <v>4.3437091140456031E-3</v>
      </c>
      <c r="AN1241" s="27">
        <f t="shared" si="406"/>
        <v>4.3475802854267562E-3</v>
      </c>
      <c r="AO1241" s="27">
        <f t="shared" si="406"/>
        <v>4.3517442307677472E-3</v>
      </c>
      <c r="AP1241" s="27">
        <f t="shared" si="406"/>
        <v>4.3562541656713728E-3</v>
      </c>
      <c r="AQ1241" s="27">
        <f t="shared" si="406"/>
        <v>4.3611163160388556E-3</v>
      </c>
      <c r="AR1241" s="27">
        <f t="shared" si="406"/>
        <v>4.3663272829722651E-3</v>
      </c>
      <c r="AS1241" s="27">
        <f t="shared" si="406"/>
        <v>4.3686573676190608E-3</v>
      </c>
      <c r="AT1241" s="27">
        <f t="shared" si="406"/>
        <v>4.3708261203089602E-3</v>
      </c>
      <c r="AU1241" s="27">
        <f t="shared" si="406"/>
        <v>4.3732304030899213E-3</v>
      </c>
      <c r="AV1241" s="27">
        <f t="shared" si="406"/>
        <v>4.3759087542775948E-3</v>
      </c>
      <c r="AW1241" s="27">
        <f t="shared" si="406"/>
        <v>4.3788336021243655E-3</v>
      </c>
      <c r="AY1241" s="79"/>
      <c r="AZ1241" s="79"/>
    </row>
    <row r="1242" spans="1:52" x14ac:dyDescent="0.2">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1.5789672763163298E-2</v>
      </c>
      <c r="L1242" s="27">
        <f t="shared" si="407"/>
        <v>1.5830718290757027E-2</v>
      </c>
      <c r="M1242" s="27">
        <f t="shared" si="407"/>
        <v>1.588733914557475E-2</v>
      </c>
      <c r="N1242" s="27">
        <f t="shared" si="407"/>
        <v>1.5956318300360574E-2</v>
      </c>
      <c r="O1242" s="27">
        <f t="shared" si="407"/>
        <v>1.6037557372574476E-2</v>
      </c>
      <c r="P1242" s="27">
        <f t="shared" si="407"/>
        <v>1.6130561898613765E-2</v>
      </c>
      <c r="Q1242" s="27">
        <f t="shared" si="407"/>
        <v>1.623065478441902E-2</v>
      </c>
      <c r="R1242" s="27">
        <f t="shared" si="407"/>
        <v>1.6337439810579345E-2</v>
      </c>
      <c r="S1242" s="27">
        <f t="shared" si="407"/>
        <v>1.643554333202487E-2</v>
      </c>
      <c r="T1242" s="27">
        <f t="shared" si="407"/>
        <v>1.6483301762184554E-2</v>
      </c>
      <c r="U1242" s="27">
        <f t="shared" si="407"/>
        <v>1.6534634024242746E-2</v>
      </c>
      <c r="V1242" s="27">
        <f t="shared" si="407"/>
        <v>1.6590167866284391E-2</v>
      </c>
      <c r="W1242" s="27">
        <f t="shared" si="407"/>
        <v>1.6650513034667372E-2</v>
      </c>
      <c r="X1242" s="27">
        <f t="shared" si="407"/>
        <v>1.6714595783630822E-2</v>
      </c>
      <c r="Y1242" s="27">
        <f t="shared" si="407"/>
        <v>1.675465761621437E-2</v>
      </c>
      <c r="Z1242" s="27">
        <f t="shared" si="407"/>
        <v>1.6797993910304499E-2</v>
      </c>
      <c r="AA1242" s="27">
        <f t="shared" si="407"/>
        <v>1.6844349786289844E-2</v>
      </c>
      <c r="AB1242" s="27">
        <f t="shared" si="407"/>
        <v>1.6894740217603017E-2</v>
      </c>
      <c r="AC1242" s="27">
        <f t="shared" si="407"/>
        <v>1.6948004409300596E-2</v>
      </c>
      <c r="AD1242" s="27">
        <f t="shared" si="407"/>
        <v>1.6982631842965532E-2</v>
      </c>
      <c r="AE1242" s="27">
        <f t="shared" si="407"/>
        <v>1.7020769407942386E-2</v>
      </c>
      <c r="AF1242" s="27">
        <f t="shared" si="407"/>
        <v>1.706182735565186E-2</v>
      </c>
      <c r="AG1242" s="27">
        <f t="shared" si="407"/>
        <v>1.7106247534338585E-2</v>
      </c>
      <c r="AH1242" s="27">
        <f t="shared" si="407"/>
        <v>1.7151443283113514E-2</v>
      </c>
      <c r="AI1242" s="27">
        <f t="shared" si="407"/>
        <v>1.7178196369350997E-2</v>
      </c>
      <c r="AJ1242" s="27">
        <f t="shared" si="407"/>
        <v>1.7207475551738096E-2</v>
      </c>
      <c r="AK1242" s="27">
        <f t="shared" si="407"/>
        <v>1.7238492794342867E-2</v>
      </c>
      <c r="AL1242" s="27">
        <f t="shared" si="407"/>
        <v>1.7271654863993541E-2</v>
      </c>
      <c r="AM1242" s="27">
        <f t="shared" si="407"/>
        <v>1.7306645282033659E-2</v>
      </c>
      <c r="AN1242" s="27">
        <f t="shared" si="407"/>
        <v>1.7325303131063272E-2</v>
      </c>
      <c r="AO1242" s="27">
        <f t="shared" si="407"/>
        <v>1.7345310027733502E-2</v>
      </c>
      <c r="AP1242" s="27">
        <f t="shared" si="407"/>
        <v>1.73669746106416E-2</v>
      </c>
      <c r="AQ1242" s="27">
        <f t="shared" si="407"/>
        <v>1.7390336782594662E-2</v>
      </c>
      <c r="AR1242" s="27">
        <f t="shared" si="407"/>
        <v>1.7415381119938025E-2</v>
      </c>
      <c r="AS1242" s="27">
        <f t="shared" si="407"/>
        <v>1.7423900612777786E-2</v>
      </c>
      <c r="AT1242" s="27">
        <f t="shared" si="407"/>
        <v>1.7431295916305947E-2</v>
      </c>
      <c r="AU1242" s="27">
        <f t="shared" si="407"/>
        <v>1.7439812218621446E-2</v>
      </c>
      <c r="AV1242" s="27">
        <f t="shared" si="407"/>
        <v>1.7449669082955088E-2</v>
      </c>
      <c r="AW1242" s="27">
        <f t="shared" si="407"/>
        <v>1.7460713883303017E-2</v>
      </c>
      <c r="AY1242" s="79"/>
      <c r="AZ1242" s="79"/>
    </row>
    <row r="1243" spans="1:52" x14ac:dyDescent="0.2">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2.6592218800664796E-2</v>
      </c>
      <c r="L1243" s="27">
        <f t="shared" si="408"/>
        <v>2.6661345733624896E-2</v>
      </c>
      <c r="M1243" s="27">
        <f t="shared" si="408"/>
        <v>2.6756703894783639E-2</v>
      </c>
      <c r="N1243" s="27">
        <f t="shared" si="408"/>
        <v>2.6872875319249701E-2</v>
      </c>
      <c r="O1243" s="27">
        <f t="shared" si="408"/>
        <v>2.7009694315810229E-2</v>
      </c>
      <c r="P1243" s="27">
        <f t="shared" si="408"/>
        <v>2.7166328132291764E-2</v>
      </c>
      <c r="Q1243" s="27">
        <f t="shared" si="408"/>
        <v>2.7334899828466049E-2</v>
      </c>
      <c r="R1243" s="27">
        <f t="shared" si="408"/>
        <v>2.7514742110372921E-2</v>
      </c>
      <c r="S1243" s="27">
        <f t="shared" si="408"/>
        <v>2.7679963413342622E-2</v>
      </c>
      <c r="T1243" s="27">
        <f t="shared" si="408"/>
        <v>2.7760395898767241E-2</v>
      </c>
      <c r="U1243" s="27">
        <f t="shared" si="408"/>
        <v>2.7846847262557959E-2</v>
      </c>
      <c r="V1243" s="27">
        <f t="shared" si="408"/>
        <v>2.7940374728298613E-2</v>
      </c>
      <c r="W1243" s="27">
        <f t="shared" si="408"/>
        <v>2.8042005201917224E-2</v>
      </c>
      <c r="X1243" s="27">
        <f t="shared" si="408"/>
        <v>2.8149930331674167E-2</v>
      </c>
      <c r="Y1243" s="27">
        <f t="shared" si="408"/>
        <v>2.8217400572102636E-2</v>
      </c>
      <c r="Z1243" s="27">
        <f t="shared" si="408"/>
        <v>2.8290385505466368E-2</v>
      </c>
      <c r="AA1243" s="27">
        <f t="shared" si="408"/>
        <v>2.8368455875599344E-2</v>
      </c>
      <c r="AB1243" s="27">
        <f t="shared" si="408"/>
        <v>2.8453321052670396E-2</v>
      </c>
      <c r="AC1243" s="27">
        <f t="shared" si="408"/>
        <v>2.8543026080830765E-2</v>
      </c>
      <c r="AD1243" s="27">
        <f t="shared" si="408"/>
        <v>2.8601343964065915E-2</v>
      </c>
      <c r="AE1243" s="27">
        <f t="shared" si="408"/>
        <v>2.8665573444157176E-2</v>
      </c>
      <c r="AF1243" s="27">
        <f t="shared" si="408"/>
        <v>2.87347212944878E-2</v>
      </c>
      <c r="AG1243" s="27">
        <f t="shared" si="408"/>
        <v>2.8809531654937933E-2</v>
      </c>
      <c r="AH1243" s="27">
        <f t="shared" si="408"/>
        <v>2.8885648193786462E-2</v>
      </c>
      <c r="AI1243" s="27">
        <f t="shared" si="408"/>
        <v>2.8930704474147112E-2</v>
      </c>
      <c r="AJ1243" s="27">
        <f t="shared" si="408"/>
        <v>2.8980015085964157E-2</v>
      </c>
      <c r="AK1243" s="27">
        <f t="shared" si="408"/>
        <v>2.9032252856455738E-2</v>
      </c>
      <c r="AL1243" s="27">
        <f t="shared" si="408"/>
        <v>2.9088102843042599E-2</v>
      </c>
      <c r="AM1243" s="27">
        <f t="shared" si="408"/>
        <v>2.914703204736533E-2</v>
      </c>
      <c r="AN1243" s="27">
        <f t="shared" si="408"/>
        <v>2.9178454712748408E-2</v>
      </c>
      <c r="AO1243" s="27">
        <f t="shared" si="408"/>
        <v>2.9212149380254012E-2</v>
      </c>
      <c r="AP1243" s="27">
        <f t="shared" si="408"/>
        <v>2.9248635844385265E-2</v>
      </c>
      <c r="AQ1243" s="27">
        <f t="shared" si="408"/>
        <v>2.9287981307559392E-2</v>
      </c>
      <c r="AR1243" s="27">
        <f t="shared" si="408"/>
        <v>2.9330159793987943E-2</v>
      </c>
      <c r="AS1243" s="27">
        <f t="shared" si="408"/>
        <v>2.9344507920200803E-2</v>
      </c>
      <c r="AT1243" s="27">
        <f t="shared" si="408"/>
        <v>2.9356962740035762E-2</v>
      </c>
      <c r="AU1243" s="27">
        <f t="shared" si="408"/>
        <v>2.9371305492918821E-2</v>
      </c>
      <c r="AV1243" s="27">
        <f t="shared" si="408"/>
        <v>2.9387905956841046E-2</v>
      </c>
      <c r="AW1243" s="27">
        <f t="shared" si="408"/>
        <v>2.9406507086317708E-2</v>
      </c>
      <c r="AY1243" s="79"/>
      <c r="AZ1243" s="79"/>
    </row>
    <row r="1244" spans="1:52" x14ac:dyDescent="0.2">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4.1336182129460544E-3</v>
      </c>
      <c r="L1244" s="27">
        <f t="shared" si="409"/>
        <v>4.1536453250924079E-3</v>
      </c>
      <c r="M1244" s="27">
        <f t="shared" si="409"/>
        <v>4.1840370126470534E-3</v>
      </c>
      <c r="N1244" s="27">
        <f t="shared" si="409"/>
        <v>4.1905340987284569E-3</v>
      </c>
      <c r="O1244" s="27">
        <f t="shared" si="409"/>
        <v>4.1812329246154597E-3</v>
      </c>
      <c r="P1244" s="27">
        <f t="shared" si="409"/>
        <v>4.1564738854214548E-3</v>
      </c>
      <c r="Q1244" s="27">
        <f t="shared" si="409"/>
        <v>4.1427460620707141E-3</v>
      </c>
      <c r="R1244" s="27">
        <f t="shared" si="409"/>
        <v>4.1304087921358321E-3</v>
      </c>
      <c r="S1244" s="27">
        <f t="shared" si="409"/>
        <v>3.9117464794758833E-3</v>
      </c>
      <c r="T1244" s="27">
        <f t="shared" si="409"/>
        <v>3.9662100660725645E-3</v>
      </c>
      <c r="U1244" s="27">
        <f t="shared" si="409"/>
        <v>4.0029759542347092E-3</v>
      </c>
      <c r="V1244" s="27">
        <f t="shared" si="409"/>
        <v>4.034929903088018E-3</v>
      </c>
      <c r="W1244" s="27">
        <f t="shared" si="409"/>
        <v>4.0740603707179208E-3</v>
      </c>
      <c r="X1244" s="27">
        <f t="shared" si="409"/>
        <v>4.1088191524981379E-3</v>
      </c>
      <c r="Y1244" s="27">
        <f t="shared" si="409"/>
        <v>4.1408340108354943E-3</v>
      </c>
      <c r="Z1244" s="27">
        <f t="shared" si="409"/>
        <v>4.1700941792835473E-3</v>
      </c>
      <c r="AA1244" s="27">
        <f t="shared" si="409"/>
        <v>4.1955947055446379E-3</v>
      </c>
      <c r="AB1244" s="27">
        <f t="shared" si="409"/>
        <v>4.2332253987930647E-3</v>
      </c>
      <c r="AC1244" s="27">
        <f t="shared" si="409"/>
        <v>4.2692111275798939E-3</v>
      </c>
      <c r="AD1244" s="27">
        <f t="shared" si="409"/>
        <v>4.3131543062035933E-3</v>
      </c>
      <c r="AE1244" s="27">
        <f t="shared" si="409"/>
        <v>4.3689426306597803E-3</v>
      </c>
      <c r="AF1244" s="27">
        <f t="shared" si="409"/>
        <v>4.4301694396255923E-3</v>
      </c>
      <c r="AG1244" s="27">
        <f t="shared" si="409"/>
        <v>4.5040980436008553E-3</v>
      </c>
      <c r="AH1244" s="27">
        <f t="shared" si="409"/>
        <v>4.5574968938879535E-3</v>
      </c>
      <c r="AI1244" s="27">
        <f t="shared" si="409"/>
        <v>4.6111863100883922E-3</v>
      </c>
      <c r="AJ1244" s="27">
        <f t="shared" si="409"/>
        <v>4.6712172844787037E-3</v>
      </c>
      <c r="AK1244" s="27">
        <f t="shared" si="409"/>
        <v>4.7281971529271986E-3</v>
      </c>
      <c r="AL1244" s="27">
        <f t="shared" si="409"/>
        <v>4.7885111366995289E-3</v>
      </c>
      <c r="AM1244" s="27">
        <f t="shared" si="409"/>
        <v>4.8488762620845097E-3</v>
      </c>
      <c r="AN1244" s="27">
        <f t="shared" si="409"/>
        <v>4.9227254913748455E-3</v>
      </c>
      <c r="AO1244" s="27">
        <f t="shared" si="409"/>
        <v>4.9927458490609099E-3</v>
      </c>
      <c r="AP1244" s="27">
        <f t="shared" si="409"/>
        <v>5.0638022559314124E-3</v>
      </c>
      <c r="AQ1244" s="27">
        <f t="shared" si="409"/>
        <v>5.1371515240319849E-3</v>
      </c>
      <c r="AR1244" s="27">
        <f t="shared" si="409"/>
        <v>5.2132674563810976E-3</v>
      </c>
      <c r="AS1244" s="27">
        <f t="shared" si="409"/>
        <v>5.3054774767517902E-3</v>
      </c>
      <c r="AT1244" s="27">
        <f t="shared" si="409"/>
        <v>5.3653290852350754E-3</v>
      </c>
      <c r="AU1244" s="27">
        <f t="shared" si="409"/>
        <v>5.4229477307266892E-3</v>
      </c>
      <c r="AV1244" s="27">
        <f t="shared" si="409"/>
        <v>5.4817978053370176E-3</v>
      </c>
      <c r="AW1244" s="27">
        <f t="shared" si="409"/>
        <v>5.5404187134472614E-3</v>
      </c>
      <c r="AY1244" s="79"/>
      <c r="AZ1244" s="79"/>
    </row>
    <row r="1245" spans="1:52" x14ac:dyDescent="0.2">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2">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23.279051307908379</v>
      </c>
      <c r="L1246" s="27">
        <f t="shared" si="411"/>
        <v>23.152514180350749</v>
      </c>
      <c r="M1246" s="27">
        <f t="shared" si="411"/>
        <v>23.162899955224127</v>
      </c>
      <c r="N1246" s="27">
        <f t="shared" si="411"/>
        <v>22.950246783936304</v>
      </c>
      <c r="O1246" s="27">
        <f t="shared" si="411"/>
        <v>22.602935107333447</v>
      </c>
      <c r="P1246" s="27">
        <f t="shared" si="411"/>
        <v>22.126517070806507</v>
      </c>
      <c r="Q1246" s="27">
        <f t="shared" si="411"/>
        <v>21.780584742880094</v>
      </c>
      <c r="R1246" s="27">
        <f t="shared" si="411"/>
        <v>21.465262786698489</v>
      </c>
      <c r="S1246" s="27">
        <f t="shared" si="411"/>
        <v>19.125418595130999</v>
      </c>
      <c r="T1246" s="27">
        <f t="shared" si="411"/>
        <v>17.876849249976093</v>
      </c>
      <c r="U1246" s="27">
        <f t="shared" si="411"/>
        <v>16.436288968108887</v>
      </c>
      <c r="V1246" s="27">
        <f t="shared" si="411"/>
        <v>14.942571845332175</v>
      </c>
      <c r="W1246" s="27">
        <f t="shared" si="411"/>
        <v>13.484018908591063</v>
      </c>
      <c r="X1246" s="27">
        <f t="shared" si="411"/>
        <v>11.977079674528257</v>
      </c>
      <c r="Y1246" s="27">
        <f t="shared" si="411"/>
        <v>10.423196847987404</v>
      </c>
      <c r="Z1246" s="27">
        <f t="shared" si="411"/>
        <v>8.8493352318962462</v>
      </c>
      <c r="AA1246" s="27">
        <f t="shared" si="411"/>
        <v>7.2579681764792738</v>
      </c>
      <c r="AB1246" s="27">
        <f t="shared" si="411"/>
        <v>5.6972722958537538</v>
      </c>
      <c r="AC1246" s="27">
        <f t="shared" si="411"/>
        <v>4.1150780573341024</v>
      </c>
      <c r="AD1246" s="27">
        <f t="shared" si="411"/>
        <v>3.7391484301160887</v>
      </c>
      <c r="AE1246" s="27">
        <f t="shared" si="411"/>
        <v>3.3738713181477635</v>
      </c>
      <c r="AF1246" s="27">
        <f t="shared" si="411"/>
        <v>3.0048352981814759</v>
      </c>
      <c r="AG1246" s="27">
        <f t="shared" si="411"/>
        <v>2.6369532775916191</v>
      </c>
      <c r="AH1246" s="27">
        <f t="shared" si="411"/>
        <v>2.2347993678894369</v>
      </c>
      <c r="AI1246" s="27">
        <f t="shared" si="411"/>
        <v>1.8219928937851648</v>
      </c>
      <c r="AJ1246" s="27">
        <f t="shared" si="411"/>
        <v>1.4048762090446765</v>
      </c>
      <c r="AK1246" s="27">
        <f t="shared" si="411"/>
        <v>0.97718242509100151</v>
      </c>
      <c r="AL1246" s="27">
        <f t="shared" si="411"/>
        <v>0.54199596255564586</v>
      </c>
      <c r="AM1246" s="27">
        <f t="shared" si="411"/>
        <v>9.7920278569439745E-2</v>
      </c>
      <c r="AN1246" s="27">
        <f t="shared" si="411"/>
        <v>9.9188846601627745E-2</v>
      </c>
      <c r="AO1246" s="27">
        <f t="shared" si="411"/>
        <v>0.10029042868060145</v>
      </c>
      <c r="AP1246" s="27">
        <f t="shared" si="411"/>
        <v>0.10139103177424857</v>
      </c>
      <c r="AQ1246" s="27">
        <f t="shared" si="411"/>
        <v>0.10253072365900451</v>
      </c>
      <c r="AR1246" s="27">
        <f t="shared" si="411"/>
        <v>0.10372231558325495</v>
      </c>
      <c r="AS1246" s="27">
        <f t="shared" si="411"/>
        <v>0.10527519481248504</v>
      </c>
      <c r="AT1246" s="27">
        <f t="shared" si="411"/>
        <v>0.10575610836330895</v>
      </c>
      <c r="AU1246" s="27">
        <f t="shared" si="411"/>
        <v>0.10614022110508614</v>
      </c>
      <c r="AV1246" s="27">
        <f t="shared" si="411"/>
        <v>0.10653635262891825</v>
      </c>
      <c r="AW1246" s="27">
        <f t="shared" si="411"/>
        <v>0.10689889704464761</v>
      </c>
      <c r="AY1246" s="79"/>
      <c r="AZ1246" s="79"/>
    </row>
    <row r="1247" spans="1:52" x14ac:dyDescent="0.2">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7.7932061732677804E-2</v>
      </c>
      <c r="L1247" s="27">
        <f t="shared" si="412"/>
        <v>7.7508449141861155E-2</v>
      </c>
      <c r="M1247" s="27">
        <f t="shared" si="412"/>
        <v>7.7543217949140639E-2</v>
      </c>
      <c r="N1247" s="27">
        <f t="shared" si="412"/>
        <v>7.6831311787104645E-2</v>
      </c>
      <c r="O1247" s="27">
        <f t="shared" si="412"/>
        <v>7.5668604825232078E-2</v>
      </c>
      <c r="P1247" s="27">
        <f t="shared" si="412"/>
        <v>7.4073684167079407E-2</v>
      </c>
      <c r="Q1247" s="27">
        <f t="shared" si="412"/>
        <v>7.2915594897087044E-2</v>
      </c>
      <c r="R1247" s="27">
        <f t="shared" si="412"/>
        <v>7.1859980996426709E-2</v>
      </c>
      <c r="S1247" s="27">
        <f t="shared" si="412"/>
        <v>6.4026806028504468E-2</v>
      </c>
      <c r="T1247" s="27">
        <f t="shared" si="412"/>
        <v>5.9984140914923822E-2</v>
      </c>
      <c r="U1247" s="27">
        <f t="shared" si="412"/>
        <v>5.530053305506763E-2</v>
      </c>
      <c r="V1247" s="27">
        <f t="shared" si="412"/>
        <v>5.0439844385975541E-2</v>
      </c>
      <c r="W1247" s="27">
        <f t="shared" si="412"/>
        <v>4.5700066021236524E-2</v>
      </c>
      <c r="X1247" s="27">
        <f t="shared" si="412"/>
        <v>4.0799094228377908E-2</v>
      </c>
      <c r="Y1247" s="27">
        <f t="shared" si="412"/>
        <v>3.5740273890825076E-2</v>
      </c>
      <c r="Z1247" s="27">
        <f t="shared" si="412"/>
        <v>3.0614266363631751E-2</v>
      </c>
      <c r="AA1247" s="27">
        <f t="shared" si="412"/>
        <v>2.542837003626465E-2</v>
      </c>
      <c r="AB1247" s="27">
        <f t="shared" si="412"/>
        <v>2.035229052928432E-2</v>
      </c>
      <c r="AC1247" s="27">
        <f t="shared" si="412"/>
        <v>1.5204843404628077E-2</v>
      </c>
      <c r="AD1247" s="27">
        <f t="shared" si="412"/>
        <v>1.3992619916682068E-2</v>
      </c>
      <c r="AE1247" s="27">
        <f t="shared" si="412"/>
        <v>1.2824037952140765E-2</v>
      </c>
      <c r="AF1247" s="27">
        <f t="shared" si="412"/>
        <v>1.1646947143909389E-2</v>
      </c>
      <c r="AG1247" s="27">
        <f t="shared" si="412"/>
        <v>1.048268302040864E-2</v>
      </c>
      <c r="AH1247" s="27">
        <f t="shared" si="412"/>
        <v>9.1907664492359709E-3</v>
      </c>
      <c r="AI1247" s="27">
        <f t="shared" si="412"/>
        <v>7.8617623871390652E-3</v>
      </c>
      <c r="AJ1247" s="27">
        <f t="shared" si="412"/>
        <v>6.5229089372106364E-3</v>
      </c>
      <c r="AK1247" s="27">
        <f t="shared" si="412"/>
        <v>5.1468760550988646E-3</v>
      </c>
      <c r="AL1247" s="27">
        <f t="shared" si="412"/>
        <v>3.7483241306626724E-3</v>
      </c>
      <c r="AM1247" s="27">
        <f t="shared" si="412"/>
        <v>2.3203165860716801E-3</v>
      </c>
      <c r="AN1247" s="27">
        <f t="shared" si="412"/>
        <v>2.3503765439133878E-3</v>
      </c>
      <c r="AO1247" s="27">
        <f t="shared" si="412"/>
        <v>2.3764796065894878E-3</v>
      </c>
      <c r="AP1247" s="27">
        <f t="shared" si="412"/>
        <v>2.4025594712526743E-3</v>
      </c>
      <c r="AQ1247" s="27">
        <f t="shared" si="412"/>
        <v>2.429565582977869E-3</v>
      </c>
      <c r="AR1247" s="27">
        <f t="shared" si="412"/>
        <v>2.4578015168013889E-3</v>
      </c>
      <c r="AS1247" s="27">
        <f t="shared" si="412"/>
        <v>2.4945985059888071E-3</v>
      </c>
      <c r="AT1247" s="27">
        <f t="shared" si="412"/>
        <v>2.5059942220217735E-3</v>
      </c>
      <c r="AU1247" s="27">
        <f t="shared" si="412"/>
        <v>2.5150961483917794E-3</v>
      </c>
      <c r="AV1247" s="27">
        <f t="shared" si="412"/>
        <v>2.5244828715347417E-3</v>
      </c>
      <c r="AW1247" s="27">
        <f t="shared" si="412"/>
        <v>2.5330737153649446E-3</v>
      </c>
      <c r="AY1247" s="79"/>
      <c r="AZ1247" s="79"/>
    </row>
    <row r="1248" spans="1:52" x14ac:dyDescent="0.2">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0.5905201523722613</v>
      </c>
      <c r="O1248" s="27">
        <f t="shared" si="413"/>
        <v>0.59866182774590171</v>
      </c>
      <c r="P1248" s="27">
        <f t="shared" si="413"/>
        <v>0.60475451589519702</v>
      </c>
      <c r="Q1248" s="27">
        <f t="shared" si="413"/>
        <v>0.61256702388185857</v>
      </c>
      <c r="R1248" s="27">
        <f t="shared" si="413"/>
        <v>0.6206898695388976</v>
      </c>
      <c r="S1248" s="27">
        <f t="shared" si="413"/>
        <v>0.59586205354866417</v>
      </c>
      <c r="T1248" s="27">
        <f t="shared" si="413"/>
        <v>0.58584597468575483</v>
      </c>
      <c r="U1248" s="27">
        <f t="shared" si="413"/>
        <v>0.57209944446450112</v>
      </c>
      <c r="V1248" s="27">
        <f t="shared" si="413"/>
        <v>0.55673591405569012</v>
      </c>
      <c r="W1248" s="27">
        <f t="shared" si="413"/>
        <v>0.54147933780810953</v>
      </c>
      <c r="X1248" s="27">
        <f t="shared" si="413"/>
        <v>0.52464094180501697</v>
      </c>
      <c r="Y1248" s="27">
        <f t="shared" si="413"/>
        <v>0.50563091484712019</v>
      </c>
      <c r="Z1248" s="27">
        <f t="shared" si="413"/>
        <v>0.48538277137321989</v>
      </c>
      <c r="AA1248" s="27">
        <f t="shared" si="413"/>
        <v>0.46381077478864324</v>
      </c>
      <c r="AB1248" s="27">
        <f t="shared" si="413"/>
        <v>0.44270480050544991</v>
      </c>
      <c r="AC1248" s="27">
        <f t="shared" si="413"/>
        <v>0.42039352196627527</v>
      </c>
      <c r="AD1248" s="27">
        <f t="shared" si="413"/>
        <v>0.42076934202763672</v>
      </c>
      <c r="AE1248" s="27">
        <f t="shared" si="413"/>
        <v>0.42214582091094555</v>
      </c>
      <c r="AF1248" s="27">
        <f t="shared" si="413"/>
        <v>0.42384064595855953</v>
      </c>
      <c r="AG1248" s="27">
        <f t="shared" si="413"/>
        <v>0.42654751114733552</v>
      </c>
      <c r="AH1248" s="27">
        <f t="shared" si="413"/>
        <v>0.42697299970980634</v>
      </c>
      <c r="AI1248" s="27">
        <f t="shared" si="413"/>
        <v>0.42666986190335426</v>
      </c>
      <c r="AJ1248" s="27">
        <f t="shared" si="413"/>
        <v>0.42672670805929658</v>
      </c>
      <c r="AK1248" s="27">
        <f t="shared" si="413"/>
        <v>0.42623268490111271</v>
      </c>
      <c r="AL1248" s="27">
        <f t="shared" si="413"/>
        <v>0.4257846643468336</v>
      </c>
      <c r="AM1248" s="27">
        <f t="shared" si="413"/>
        <v>0.42506452196783956</v>
      </c>
      <c r="AN1248" s="27">
        <f t="shared" si="413"/>
        <v>0.4345060187553641</v>
      </c>
      <c r="AO1248" s="27">
        <f t="shared" si="413"/>
        <v>0.44369515521562258</v>
      </c>
      <c r="AP1248" s="27">
        <f t="shared" si="413"/>
        <v>0.45307771492469684</v>
      </c>
      <c r="AQ1248" s="27">
        <f t="shared" si="413"/>
        <v>0.46277371313859872</v>
      </c>
      <c r="AR1248" s="27">
        <f t="shared" si="413"/>
        <v>0.47283254145491116</v>
      </c>
      <c r="AS1248" s="27">
        <f t="shared" si="413"/>
        <v>0.48398289372874803</v>
      </c>
      <c r="AT1248" s="27">
        <f t="shared" si="413"/>
        <v>0.49216300877190688</v>
      </c>
      <c r="AU1248" s="27">
        <f t="shared" si="413"/>
        <v>0.50020088312835953</v>
      </c>
      <c r="AV1248" s="27">
        <f t="shared" si="413"/>
        <v>0.50842600274476801</v>
      </c>
      <c r="AW1248" s="27">
        <f t="shared" si="413"/>
        <v>0.51669988536055722</v>
      </c>
      <c r="AY1248" s="79"/>
      <c r="AZ1248" s="79"/>
    </row>
    <row r="1249" spans="1:52" x14ac:dyDescent="0.2">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2.2100196981344111</v>
      </c>
      <c r="L1249" s="27">
        <f t="shared" si="414"/>
        <v>2.239121707445149</v>
      </c>
      <c r="M1249" s="27">
        <f t="shared" si="414"/>
        <v>2.2858678822724823</v>
      </c>
      <c r="N1249" s="27">
        <f t="shared" si="414"/>
        <v>2.2992900748078591</v>
      </c>
      <c r="O1249" s="27">
        <f t="shared" si="414"/>
        <v>2.2910596881616572</v>
      </c>
      <c r="P1249" s="27">
        <f t="shared" si="414"/>
        <v>2.2612642885898917</v>
      </c>
      <c r="Q1249" s="27">
        <f t="shared" si="414"/>
        <v>2.2487211059946204</v>
      </c>
      <c r="R1249" s="27">
        <f t="shared" si="414"/>
        <v>2.2390235702415171</v>
      </c>
      <c r="S1249" s="27">
        <f t="shared" si="414"/>
        <v>1.9141242898278399</v>
      </c>
      <c r="T1249" s="27">
        <f t="shared" si="414"/>
        <v>1.9984899724616512</v>
      </c>
      <c r="U1249" s="27">
        <f t="shared" si="414"/>
        <v>2.0566281324498989</v>
      </c>
      <c r="V1249" s="27">
        <f t="shared" si="414"/>
        <v>2.1082245232127885</v>
      </c>
      <c r="W1249" s="27">
        <f t="shared" si="414"/>
        <v>2.1717516772979577</v>
      </c>
      <c r="X1249" s="27">
        <f t="shared" si="414"/>
        <v>2.2294138068766221</v>
      </c>
      <c r="Y1249" s="27">
        <f t="shared" si="414"/>
        <v>2.2803087574477758</v>
      </c>
      <c r="Z1249" s="27">
        <f t="shared" si="414"/>
        <v>2.3275959555736767</v>
      </c>
      <c r="AA1249" s="27">
        <f t="shared" si="414"/>
        <v>2.3696866416984408</v>
      </c>
      <c r="AB1249" s="27">
        <f t="shared" si="414"/>
        <v>2.4313567650804138</v>
      </c>
      <c r="AC1249" s="27">
        <f t="shared" si="414"/>
        <v>2.4911768272254537</v>
      </c>
      <c r="AD1249" s="27">
        <f t="shared" si="414"/>
        <v>2.5611651092780447</v>
      </c>
      <c r="AE1249" s="27">
        <f t="shared" si="414"/>
        <v>2.6503466863676968</v>
      </c>
      <c r="AF1249" s="27">
        <f t="shared" si="414"/>
        <v>2.7487492134063758</v>
      </c>
      <c r="AG1249" s="27">
        <f t="shared" si="414"/>
        <v>2.8678706867563997</v>
      </c>
      <c r="AH1249" s="27">
        <f t="shared" si="414"/>
        <v>2.9554288288988109</v>
      </c>
      <c r="AI1249" s="27">
        <f t="shared" si="414"/>
        <v>3.0407668489306769</v>
      </c>
      <c r="AJ1249" s="27">
        <f t="shared" si="414"/>
        <v>3.1366479798785045</v>
      </c>
      <c r="AK1249" s="27">
        <f t="shared" si="414"/>
        <v>3.228263044676527</v>
      </c>
      <c r="AL1249" s="27">
        <f t="shared" si="414"/>
        <v>3.3257213723703618</v>
      </c>
      <c r="AM1249" s="27">
        <f t="shared" si="414"/>
        <v>3.4238536012880374</v>
      </c>
      <c r="AN1249" s="27">
        <f t="shared" si="414"/>
        <v>3.5403209104075128</v>
      </c>
      <c r="AO1249" s="27">
        <f t="shared" si="414"/>
        <v>3.6511369162882397</v>
      </c>
      <c r="AP1249" s="27">
        <f t="shared" si="414"/>
        <v>3.7640318136014432</v>
      </c>
      <c r="AQ1249" s="27">
        <f t="shared" si="414"/>
        <v>3.8810201496437728</v>
      </c>
      <c r="AR1249" s="27">
        <f t="shared" si="414"/>
        <v>4.0028778541582692</v>
      </c>
      <c r="AS1249" s="27">
        <f t="shared" si="414"/>
        <v>4.1464729012292834</v>
      </c>
      <c r="AT1249" s="27">
        <f t="shared" si="414"/>
        <v>4.2389508928341062</v>
      </c>
      <c r="AU1249" s="27">
        <f t="shared" si="414"/>
        <v>4.3281678617131494</v>
      </c>
      <c r="AV1249" s="27">
        <f t="shared" si="414"/>
        <v>4.4196303430169497</v>
      </c>
      <c r="AW1249" s="27">
        <f t="shared" si="414"/>
        <v>4.5110296667808401</v>
      </c>
      <c r="AY1249" s="79"/>
      <c r="AZ1249" s="79"/>
    </row>
    <row r="1250" spans="1:52" x14ac:dyDescent="0.2">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2.3161053423012622E-2</v>
      </c>
      <c r="L1250" s="27">
        <f t="shared" si="415"/>
        <v>2.3631963555267661E-2</v>
      </c>
      <c r="M1250" s="27">
        <f t="shared" si="415"/>
        <v>2.4182412868997839E-2</v>
      </c>
      <c r="N1250" s="27">
        <f t="shared" si="415"/>
        <v>2.460500634884424E-2</v>
      </c>
      <c r="O1250" s="27">
        <f t="shared" si="415"/>
        <v>2.4944242822745932E-2</v>
      </c>
      <c r="P1250" s="27">
        <f t="shared" si="415"/>
        <v>2.5198104828966564E-2</v>
      </c>
      <c r="Q1250" s="27">
        <f t="shared" si="415"/>
        <v>2.5523625995077459E-2</v>
      </c>
      <c r="R1250" s="27">
        <f t="shared" si="415"/>
        <v>2.5862077897454098E-2</v>
      </c>
      <c r="S1250" s="27">
        <f t="shared" si="415"/>
        <v>2.4827585564527698E-2</v>
      </c>
      <c r="T1250" s="27">
        <f t="shared" si="415"/>
        <v>2.5486087178475895E-2</v>
      </c>
      <c r="U1250" s="27">
        <f t="shared" si="415"/>
        <v>2.6035541273385285E-2</v>
      </c>
      <c r="V1250" s="27">
        <f t="shared" si="415"/>
        <v>2.6560965171483649E-2</v>
      </c>
      <c r="W1250" s="27">
        <f t="shared" si="415"/>
        <v>2.7145121762770889E-2</v>
      </c>
      <c r="X1250" s="27">
        <f t="shared" si="415"/>
        <v>2.7708248229993501E-2</v>
      </c>
      <c r="Y1250" s="27">
        <f t="shared" si="415"/>
        <v>2.8213866962301819E-2</v>
      </c>
      <c r="Z1250" s="27">
        <f t="shared" si="415"/>
        <v>2.8706851310880941E-2</v>
      </c>
      <c r="AA1250" s="27">
        <f t="shared" si="415"/>
        <v>2.9179391564757153E-2</v>
      </c>
      <c r="AB1250" s="27">
        <f t="shared" si="415"/>
        <v>2.9747583298672345E-2</v>
      </c>
      <c r="AC1250" s="27">
        <f t="shared" si="415"/>
        <v>3.0311879498672922E-2</v>
      </c>
      <c r="AD1250" s="27">
        <f t="shared" si="415"/>
        <v>3.0903338889043501E-2</v>
      </c>
      <c r="AE1250" s="27">
        <f t="shared" si="415"/>
        <v>3.1592106107355133E-2</v>
      </c>
      <c r="AF1250" s="27">
        <f t="shared" si="415"/>
        <v>3.2331772553839976E-2</v>
      </c>
      <c r="AG1250" s="27">
        <f t="shared" si="415"/>
        <v>3.3179306058555749E-2</v>
      </c>
      <c r="AH1250" s="27">
        <f t="shared" si="415"/>
        <v>3.3879880784644982E-2</v>
      </c>
      <c r="AI1250" s="27">
        <f t="shared" si="415"/>
        <v>3.4550190741567552E-2</v>
      </c>
      <c r="AJ1250" s="27">
        <f t="shared" si="415"/>
        <v>3.5278332346172038E-2</v>
      </c>
      <c r="AK1250" s="27">
        <f t="shared" si="415"/>
        <v>3.5991103595981948E-2</v>
      </c>
      <c r="AL1250" s="27">
        <f t="shared" si="415"/>
        <v>3.6738998105945983E-2</v>
      </c>
      <c r="AM1250" s="27">
        <f t="shared" si="415"/>
        <v>3.7496307305721614E-2</v>
      </c>
      <c r="AN1250" s="27">
        <f t="shared" si="415"/>
        <v>3.8329172074891393E-2</v>
      </c>
      <c r="AO1250" s="27">
        <f t="shared" si="415"/>
        <v>3.9139775328705488E-2</v>
      </c>
      <c r="AP1250" s="27">
        <f t="shared" si="415"/>
        <v>3.9967441068807751E-2</v>
      </c>
      <c r="AQ1250" s="27">
        <f t="shared" si="415"/>
        <v>4.0822756226565615E-2</v>
      </c>
      <c r="AR1250" s="27">
        <f t="shared" si="415"/>
        <v>4.1710077793507598E-2</v>
      </c>
      <c r="AS1250" s="27">
        <f t="shared" si="415"/>
        <v>4.2693686196041997E-2</v>
      </c>
      <c r="AT1250" s="27">
        <f t="shared" si="415"/>
        <v>4.3415280428452788E-2</v>
      </c>
      <c r="AU1250" s="27">
        <f t="shared" si="415"/>
        <v>4.4124327152839558E-2</v>
      </c>
      <c r="AV1250" s="27">
        <f t="shared" si="415"/>
        <v>4.4849891383265984E-2</v>
      </c>
      <c r="AW1250" s="27">
        <f t="shared" si="415"/>
        <v>4.5579757154553702E-2</v>
      </c>
      <c r="AY1250" s="79"/>
      <c r="AZ1250" s="79"/>
    </row>
    <row r="1251" spans="1:52" x14ac:dyDescent="0.2">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9.2084154088933862E-2</v>
      </c>
      <c r="L1251" s="27">
        <f t="shared" si="416"/>
        <v>9.3296737810214622E-2</v>
      </c>
      <c r="M1251" s="27">
        <f t="shared" si="416"/>
        <v>9.5244495094686854E-2</v>
      </c>
      <c r="N1251" s="27">
        <f t="shared" si="416"/>
        <v>9.5803753116994225E-2</v>
      </c>
      <c r="O1251" s="27">
        <f t="shared" si="416"/>
        <v>9.5460820340069155E-2</v>
      </c>
      <c r="P1251" s="27">
        <f t="shared" si="416"/>
        <v>9.4219345357912251E-2</v>
      </c>
      <c r="Q1251" s="27">
        <f t="shared" si="416"/>
        <v>9.3696712749775937E-2</v>
      </c>
      <c r="R1251" s="27">
        <f t="shared" si="416"/>
        <v>9.3292648760063296E-2</v>
      </c>
      <c r="S1251" s="27">
        <f t="shared" si="416"/>
        <v>7.9755178742826727E-2</v>
      </c>
      <c r="T1251" s="27">
        <f t="shared" si="416"/>
        <v>8.3270415519235544E-2</v>
      </c>
      <c r="U1251" s="27">
        <f t="shared" si="416"/>
        <v>8.5692838852079192E-2</v>
      </c>
      <c r="V1251" s="27">
        <f t="shared" si="416"/>
        <v>8.7842688467199587E-2</v>
      </c>
      <c r="W1251" s="27">
        <f t="shared" si="416"/>
        <v>9.0489653220748326E-2</v>
      </c>
      <c r="X1251" s="27">
        <f t="shared" si="416"/>
        <v>9.289224195319265E-2</v>
      </c>
      <c r="Y1251" s="27">
        <f t="shared" si="416"/>
        <v>9.5012864893657414E-2</v>
      </c>
      <c r="Z1251" s="27">
        <f t="shared" si="416"/>
        <v>9.6983164815569928E-2</v>
      </c>
      <c r="AA1251" s="27">
        <f t="shared" si="416"/>
        <v>9.8736943404101787E-2</v>
      </c>
      <c r="AB1251" s="27">
        <f t="shared" si="416"/>
        <v>0.10130653187835065</v>
      </c>
      <c r="AC1251" s="27">
        <f t="shared" si="416"/>
        <v>0.10379903446772733</v>
      </c>
      <c r="AD1251" s="27">
        <f t="shared" si="416"/>
        <v>0.1067152128865853</v>
      </c>
      <c r="AE1251" s="27">
        <f t="shared" si="416"/>
        <v>0.11043111193198749</v>
      </c>
      <c r="AF1251" s="27">
        <f t="shared" si="416"/>
        <v>0.11453121722526576</v>
      </c>
      <c r="AG1251" s="27">
        <f t="shared" si="416"/>
        <v>0.11949461194818344</v>
      </c>
      <c r="AH1251" s="27">
        <f t="shared" si="416"/>
        <v>0.12314286787078389</v>
      </c>
      <c r="AI1251" s="27">
        <f t="shared" si="416"/>
        <v>0.12669861870544499</v>
      </c>
      <c r="AJ1251" s="27">
        <f t="shared" si="416"/>
        <v>0.13069366582827113</v>
      </c>
      <c r="AK1251" s="27">
        <f t="shared" si="416"/>
        <v>0.13451096019485542</v>
      </c>
      <c r="AL1251" s="27">
        <f t="shared" si="416"/>
        <v>0.13857172384876518</v>
      </c>
      <c r="AM1251" s="27">
        <f t="shared" si="416"/>
        <v>0.14266056672033503</v>
      </c>
      <c r="AN1251" s="27">
        <f t="shared" si="416"/>
        <v>0.14751337126697986</v>
      </c>
      <c r="AO1251" s="27">
        <f t="shared" si="416"/>
        <v>0.15213070484534344</v>
      </c>
      <c r="AP1251" s="27">
        <f t="shared" si="416"/>
        <v>0.15683465890006026</v>
      </c>
      <c r="AQ1251" s="27">
        <f t="shared" si="416"/>
        <v>0.16170917290182402</v>
      </c>
      <c r="AR1251" s="27">
        <f t="shared" si="416"/>
        <v>0.16678657725659471</v>
      </c>
      <c r="AS1251" s="27">
        <f t="shared" si="416"/>
        <v>0.17276970421788695</v>
      </c>
      <c r="AT1251" s="27">
        <f t="shared" si="416"/>
        <v>0.17662295386808796</v>
      </c>
      <c r="AU1251" s="27">
        <f t="shared" si="416"/>
        <v>0.18034032757138141</v>
      </c>
      <c r="AV1251" s="27">
        <f t="shared" si="416"/>
        <v>0.18415126429237305</v>
      </c>
      <c r="AW1251" s="27">
        <f t="shared" si="416"/>
        <v>0.18795956944920184</v>
      </c>
      <c r="AY1251" s="79"/>
      <c r="AZ1251" s="79"/>
    </row>
    <row r="1252" spans="1:52" x14ac:dyDescent="0.2">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5.9806569587962537E-2</v>
      </c>
      <c r="M1252" s="27">
        <f t="shared" si="417"/>
        <v>6.0278316688762053E-2</v>
      </c>
      <c r="N1252" s="27">
        <f t="shared" si="417"/>
        <v>6.0581464452445992E-2</v>
      </c>
      <c r="O1252" s="27">
        <f t="shared" si="417"/>
        <v>6.0782907527895308E-2</v>
      </c>
      <c r="P1252" s="27">
        <f t="shared" si="417"/>
        <v>6.0880663265441157E-2</v>
      </c>
      <c r="Q1252" s="27">
        <f t="shared" si="417"/>
        <v>6.1096642070638009E-2</v>
      </c>
      <c r="R1252" s="27">
        <f t="shared" si="417"/>
        <v>6.1344406036983767E-2</v>
      </c>
      <c r="S1252" s="27">
        <f t="shared" si="417"/>
        <v>5.9665089567979834E-2</v>
      </c>
      <c r="T1252" s="27">
        <f t="shared" si="417"/>
        <v>6.0350771242359769E-2</v>
      </c>
      <c r="U1252" s="27">
        <f t="shared" si="417"/>
        <v>6.0888075169397142E-2</v>
      </c>
      <c r="V1252" s="27">
        <f t="shared" si="417"/>
        <v>6.139711160102531E-2</v>
      </c>
      <c r="W1252" s="27">
        <f t="shared" si="417"/>
        <v>6.1992224918562065E-2</v>
      </c>
      <c r="X1252" s="27">
        <f t="shared" si="417"/>
        <v>6.2562148930794551E-2</v>
      </c>
      <c r="Y1252" s="27">
        <f t="shared" si="417"/>
        <v>6.3040140287419597E-2</v>
      </c>
      <c r="Z1252" s="27">
        <f t="shared" si="417"/>
        <v>6.3504855616237185E-2</v>
      </c>
      <c r="AA1252" s="27">
        <f t="shared" si="417"/>
        <v>6.3945644322408624E-2</v>
      </c>
      <c r="AB1252" s="27">
        <f t="shared" si="417"/>
        <v>6.4519032075900526E-2</v>
      </c>
      <c r="AC1252" s="27">
        <f t="shared" si="417"/>
        <v>6.5089471381032354E-2</v>
      </c>
      <c r="AD1252" s="27">
        <f t="shared" si="417"/>
        <v>6.5684604542898692E-2</v>
      </c>
      <c r="AE1252" s="27">
        <f t="shared" si="417"/>
        <v>6.6410653636350389E-2</v>
      </c>
      <c r="AF1252" s="27">
        <f t="shared" si="417"/>
        <v>6.7204391254708923E-2</v>
      </c>
      <c r="AG1252" s="27">
        <f t="shared" si="417"/>
        <v>6.8140044673053207E-2</v>
      </c>
      <c r="AH1252" s="27">
        <f t="shared" si="417"/>
        <v>6.888108453498494E-2</v>
      </c>
      <c r="AI1252" s="27">
        <f t="shared" si="417"/>
        <v>6.9569502535986497E-2</v>
      </c>
      <c r="AJ1252" s="27">
        <f t="shared" si="417"/>
        <v>7.0333394582188791E-2</v>
      </c>
      <c r="AK1252" s="27">
        <f t="shared" si="417"/>
        <v>7.1076775459671046E-2</v>
      </c>
      <c r="AL1252" s="27">
        <f t="shared" si="417"/>
        <v>7.1865166896586383E-2</v>
      </c>
      <c r="AM1252" s="27">
        <f t="shared" si="417"/>
        <v>7.2664891568343645E-2</v>
      </c>
      <c r="AN1252" s="27">
        <f t="shared" si="417"/>
        <v>7.3548705139755158E-2</v>
      </c>
      <c r="AO1252" s="27">
        <f t="shared" si="417"/>
        <v>7.4402331665901211E-2</v>
      </c>
      <c r="AP1252" s="27">
        <f t="shared" si="417"/>
        <v>7.5276250928073038E-2</v>
      </c>
      <c r="AQ1252" s="27">
        <f t="shared" si="417"/>
        <v>7.6183713879707002E-2</v>
      </c>
      <c r="AR1252" s="27">
        <f t="shared" si="417"/>
        <v>7.7129908476892481E-2</v>
      </c>
      <c r="AS1252" s="27">
        <f t="shared" si="417"/>
        <v>7.8183489117849933E-2</v>
      </c>
      <c r="AT1252" s="27">
        <f t="shared" si="417"/>
        <v>7.890407273633461E-2</v>
      </c>
      <c r="AU1252" s="27">
        <f t="shared" si="417"/>
        <v>7.960808386314952E-2</v>
      </c>
      <c r="AV1252" s="27">
        <f t="shared" si="417"/>
        <v>8.0332044119121343E-2</v>
      </c>
      <c r="AW1252" s="27">
        <f t="shared" si="417"/>
        <v>8.1060500675567429E-2</v>
      </c>
      <c r="AY1252" s="79"/>
      <c r="AZ1252" s="79"/>
    </row>
    <row r="1253" spans="1:52" x14ac:dyDescent="0.2">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0.26187096745907495</v>
      </c>
      <c r="M1253" s="27">
        <f t="shared" si="418"/>
        <v>0.26393657447404822</v>
      </c>
      <c r="N1253" s="27">
        <f t="shared" si="418"/>
        <v>0.26526394701365208</v>
      </c>
      <c r="O1253" s="27">
        <f t="shared" si="418"/>
        <v>0.26614599213711054</v>
      </c>
      <c r="P1253" s="27">
        <f t="shared" si="418"/>
        <v>0.26657402855087203</v>
      </c>
      <c r="Q1253" s="27">
        <f t="shared" si="418"/>
        <v>0.26751972028770321</v>
      </c>
      <c r="R1253" s="27">
        <f t="shared" si="418"/>
        <v>0.26860458755254496</v>
      </c>
      <c r="S1253" s="27">
        <f t="shared" si="418"/>
        <v>0.26125147849717245</v>
      </c>
      <c r="T1253" s="27">
        <f t="shared" si="418"/>
        <v>0.26425382631073058</v>
      </c>
      <c r="U1253" s="27">
        <f t="shared" si="418"/>
        <v>0.26660648255171249</v>
      </c>
      <c r="V1253" s="27">
        <f t="shared" si="418"/>
        <v>0.26883536582893036</v>
      </c>
      <c r="W1253" s="27">
        <f t="shared" si="418"/>
        <v>0.27144114812483544</v>
      </c>
      <c r="X1253" s="27">
        <f t="shared" si="418"/>
        <v>0.27393663571908672</v>
      </c>
      <c r="Y1253" s="27">
        <f t="shared" si="418"/>
        <v>0.27602958403327432</v>
      </c>
      <c r="Z1253" s="27">
        <f t="shared" si="418"/>
        <v>0.27806440150548434</v>
      </c>
      <c r="AA1253" s="27">
        <f t="shared" si="418"/>
        <v>0.27999445309890292</v>
      </c>
      <c r="AB1253" s="27">
        <f t="shared" si="418"/>
        <v>0.28250510714193849</v>
      </c>
      <c r="AC1253" s="27">
        <f t="shared" si="418"/>
        <v>0.2850028510142375</v>
      </c>
      <c r="AD1253" s="27">
        <f t="shared" si="418"/>
        <v>0.2876087202011619</v>
      </c>
      <c r="AE1253" s="27">
        <f t="shared" si="418"/>
        <v>0.29078782209305915</v>
      </c>
      <c r="AF1253" s="27">
        <f t="shared" si="418"/>
        <v>0.29426330713525839</v>
      </c>
      <c r="AG1253" s="27">
        <f t="shared" si="418"/>
        <v>0.29836018925968516</v>
      </c>
      <c r="AH1253" s="27">
        <f t="shared" si="418"/>
        <v>0.30160493021217166</v>
      </c>
      <c r="AI1253" s="27">
        <f t="shared" si="418"/>
        <v>0.30461925939340617</v>
      </c>
      <c r="AJ1253" s="27">
        <f t="shared" si="418"/>
        <v>0.30796406165428591</v>
      </c>
      <c r="AK1253" s="27">
        <f t="shared" si="418"/>
        <v>0.31121905305268976</v>
      </c>
      <c r="AL1253" s="27">
        <f t="shared" si="418"/>
        <v>0.31467112913302436</v>
      </c>
      <c r="AM1253" s="27">
        <f t="shared" si="418"/>
        <v>0.31817282927962681</v>
      </c>
      <c r="AN1253" s="27">
        <f t="shared" si="418"/>
        <v>0.32204272378442023</v>
      </c>
      <c r="AO1253" s="27">
        <f t="shared" si="418"/>
        <v>0.32578044032276504</v>
      </c>
      <c r="AP1253" s="27">
        <f t="shared" si="418"/>
        <v>0.32960701128717151</v>
      </c>
      <c r="AQ1253" s="27">
        <f t="shared" si="418"/>
        <v>0.33358045772817063</v>
      </c>
      <c r="AR1253" s="27">
        <f t="shared" si="418"/>
        <v>0.33772349579700817</v>
      </c>
      <c r="AS1253" s="27">
        <f t="shared" si="418"/>
        <v>0.34233673784791513</v>
      </c>
      <c r="AT1253" s="27">
        <f t="shared" si="418"/>
        <v>0.34549190843549077</v>
      </c>
      <c r="AU1253" s="27">
        <f t="shared" si="418"/>
        <v>0.34857451417849072</v>
      </c>
      <c r="AV1253" s="27">
        <f t="shared" si="418"/>
        <v>0.35174446981947466</v>
      </c>
      <c r="AW1253" s="27">
        <f t="shared" si="418"/>
        <v>0.3549341131062021</v>
      </c>
      <c r="AY1253" s="79"/>
      <c r="AZ1253" s="79"/>
    </row>
    <row r="1254" spans="1:52" x14ac:dyDescent="0.2">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1.1651711689683767E-2</v>
      </c>
      <c r="M1254" s="27">
        <f t="shared" si="419"/>
        <v>1.1743619004328788E-2</v>
      </c>
      <c r="N1254" s="27">
        <f t="shared" si="419"/>
        <v>1.1802679244134426E-2</v>
      </c>
      <c r="O1254" s="27">
        <f t="shared" si="419"/>
        <v>1.1841925043604104E-2</v>
      </c>
      <c r="P1254" s="27">
        <f t="shared" si="419"/>
        <v>1.1860970136438286E-2</v>
      </c>
      <c r="Q1254" s="27">
        <f t="shared" si="419"/>
        <v>1.1903047834366352E-2</v>
      </c>
      <c r="R1254" s="27">
        <f t="shared" si="419"/>
        <v>1.1951318021451857E-2</v>
      </c>
      <c r="S1254" s="27">
        <f t="shared" si="419"/>
        <v>1.1624148088994974E-2</v>
      </c>
      <c r="T1254" s="27">
        <f t="shared" si="419"/>
        <v>1.1757734837671872E-2</v>
      </c>
      <c r="U1254" s="27">
        <f t="shared" si="419"/>
        <v>1.1862414147833051E-2</v>
      </c>
      <c r="V1254" s="27">
        <f t="shared" si="419"/>
        <v>1.1961586291992786E-2</v>
      </c>
      <c r="W1254" s="27">
        <f t="shared" si="419"/>
        <v>1.2077528216874986E-2</v>
      </c>
      <c r="X1254" s="27">
        <f t="shared" si="419"/>
        <v>1.218856267882977E-2</v>
      </c>
      <c r="Y1254" s="27">
        <f t="shared" si="419"/>
        <v>1.2281686519837978E-2</v>
      </c>
      <c r="Z1254" s="27">
        <f t="shared" si="419"/>
        <v>1.2372223881643949E-2</v>
      </c>
      <c r="AA1254" s="27">
        <f t="shared" si="419"/>
        <v>1.2458099780491892E-2</v>
      </c>
      <c r="AB1254" s="27">
        <f t="shared" si="419"/>
        <v>1.256980905985888E-2</v>
      </c>
      <c r="AC1254" s="27">
        <f t="shared" si="419"/>
        <v>1.2680943912863346E-2</v>
      </c>
      <c r="AD1254" s="27">
        <f t="shared" si="419"/>
        <v>1.2796889703882807E-2</v>
      </c>
      <c r="AE1254" s="27">
        <f t="shared" si="419"/>
        <v>1.2938340965303392E-2</v>
      </c>
      <c r="AF1254" s="27">
        <f t="shared" si="419"/>
        <v>1.3092979526753859E-2</v>
      </c>
      <c r="AG1254" s="27">
        <f t="shared" si="419"/>
        <v>1.3275266588980031E-2</v>
      </c>
      <c r="AH1254" s="27">
        <f t="shared" si="419"/>
        <v>1.3419638400994631E-2</v>
      </c>
      <c r="AI1254" s="27">
        <f t="shared" si="419"/>
        <v>1.3553758249782499E-2</v>
      </c>
      <c r="AJ1254" s="27">
        <f t="shared" si="419"/>
        <v>1.3702582199153161E-2</v>
      </c>
      <c r="AK1254" s="27">
        <f t="shared" si="419"/>
        <v>1.3847410095481636E-2</v>
      </c>
      <c r="AL1254" s="27">
        <f t="shared" si="419"/>
        <v>1.4001007096360315E-2</v>
      </c>
      <c r="AM1254" s="27">
        <f t="shared" si="419"/>
        <v>1.4156812075155119E-2</v>
      </c>
      <c r="AN1254" s="27">
        <f t="shared" si="419"/>
        <v>1.432899952868179E-2</v>
      </c>
      <c r="AO1254" s="27">
        <f t="shared" si="419"/>
        <v>1.4495305843219548E-2</v>
      </c>
      <c r="AP1254" s="27">
        <f t="shared" si="419"/>
        <v>1.4665565655026861E-2</v>
      </c>
      <c r="AQ1254" s="27">
        <f t="shared" si="419"/>
        <v>1.4842360558234895E-2</v>
      </c>
      <c r="AR1254" s="27">
        <f t="shared" si="419"/>
        <v>1.5026701287433988E-2</v>
      </c>
      <c r="AS1254" s="27">
        <f t="shared" si="419"/>
        <v>1.5231963317255199E-2</v>
      </c>
      <c r="AT1254" s="27">
        <f t="shared" si="419"/>
        <v>1.5372349776949124E-2</v>
      </c>
      <c r="AU1254" s="27">
        <f t="shared" si="419"/>
        <v>1.550950752955876E-2</v>
      </c>
      <c r="AV1254" s="27">
        <f t="shared" si="419"/>
        <v>1.5650551836822808E-2</v>
      </c>
      <c r="AW1254" s="27">
        <f t="shared" si="419"/>
        <v>1.5792472128065831E-2</v>
      </c>
      <c r="AY1254" s="79"/>
      <c r="AZ1254" s="79"/>
    </row>
    <row r="1255" spans="1:52" x14ac:dyDescent="0.2">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0.52525224947331306</v>
      </c>
      <c r="L1255" s="27">
        <f t="shared" si="420"/>
        <v>0.5206969044571037</v>
      </c>
      <c r="M1255" s="27">
        <f t="shared" si="420"/>
        <v>0.51896282251134873</v>
      </c>
      <c r="N1255" s="27">
        <f t="shared" si="420"/>
        <v>0.51203275332440912</v>
      </c>
      <c r="O1255" s="27">
        <f t="shared" si="420"/>
        <v>0.50197358865556707</v>
      </c>
      <c r="P1255" s="27">
        <f t="shared" si="420"/>
        <v>0.48899333628247271</v>
      </c>
      <c r="Q1255" s="27">
        <f t="shared" si="420"/>
        <v>0.47875543160314177</v>
      </c>
      <c r="R1255" s="27">
        <f t="shared" si="420"/>
        <v>0.46906920988966794</v>
      </c>
      <c r="S1255" s="27">
        <f t="shared" si="420"/>
        <v>0.41630918721469751</v>
      </c>
      <c r="T1255" s="27">
        <f t="shared" si="420"/>
        <v>0.4242723493279994</v>
      </c>
      <c r="U1255" s="27">
        <f t="shared" si="420"/>
        <v>0.42852994772024217</v>
      </c>
      <c r="V1255" s="27">
        <f t="shared" si="420"/>
        <v>0.43180740758836011</v>
      </c>
      <c r="W1255" s="27">
        <f t="shared" si="420"/>
        <v>0.43654938286292333</v>
      </c>
      <c r="X1255" s="27">
        <f t="shared" si="420"/>
        <v>0.44039774902333312</v>
      </c>
      <c r="Y1255" s="27">
        <f t="shared" si="420"/>
        <v>0.44287861979972809</v>
      </c>
      <c r="Z1255" s="27">
        <f t="shared" si="420"/>
        <v>0.44480979206932508</v>
      </c>
      <c r="AA1255" s="27">
        <f t="shared" si="420"/>
        <v>0.44600669694391831</v>
      </c>
      <c r="AB1255" s="27">
        <f t="shared" si="420"/>
        <v>0.44955000580259225</v>
      </c>
      <c r="AC1255" s="27">
        <f t="shared" si="420"/>
        <v>0.45273812820401932</v>
      </c>
      <c r="AD1255" s="27">
        <f t="shared" si="420"/>
        <v>0.45290255961235854</v>
      </c>
      <c r="AE1255" s="27">
        <f t="shared" si="420"/>
        <v>0.45503830808408913</v>
      </c>
      <c r="AF1255" s="27">
        <f t="shared" si="420"/>
        <v>0.45786255495032313</v>
      </c>
      <c r="AG1255" s="27">
        <f t="shared" si="420"/>
        <v>0.46260418192872943</v>
      </c>
      <c r="AH1255" s="27">
        <f t="shared" si="420"/>
        <v>0.46336149545626742</v>
      </c>
      <c r="AI1255" s="27">
        <f t="shared" si="420"/>
        <v>0.46328199946784754</v>
      </c>
      <c r="AJ1255" s="27">
        <f t="shared" si="420"/>
        <v>0.46397768547065105</v>
      </c>
      <c r="AK1255" s="27">
        <f t="shared" si="420"/>
        <v>0.46384928130278269</v>
      </c>
      <c r="AL1255" s="27">
        <f t="shared" si="420"/>
        <v>0.46394752613960677</v>
      </c>
      <c r="AM1255" s="27">
        <f t="shared" si="420"/>
        <v>0.46372456195327277</v>
      </c>
      <c r="AN1255" s="27">
        <f t="shared" si="420"/>
        <v>0.46705287296965353</v>
      </c>
      <c r="AO1255" s="27">
        <f t="shared" si="420"/>
        <v>0.46948772142871509</v>
      </c>
      <c r="AP1255" s="27">
        <f t="shared" si="420"/>
        <v>0.47178208531317378</v>
      </c>
      <c r="AQ1255" s="27">
        <f t="shared" si="420"/>
        <v>0.47411151157933035</v>
      </c>
      <c r="AR1255" s="27">
        <f t="shared" si="420"/>
        <v>0.47652651600833112</v>
      </c>
      <c r="AS1255" s="27">
        <f t="shared" si="420"/>
        <v>0.48031110501678759</v>
      </c>
      <c r="AT1255" s="27">
        <f t="shared" si="420"/>
        <v>0.47924514012499747</v>
      </c>
      <c r="AU1255" s="27">
        <f t="shared" si="420"/>
        <v>0.47764693105288908</v>
      </c>
      <c r="AV1255" s="27">
        <f t="shared" si="420"/>
        <v>0.47599161993934092</v>
      </c>
      <c r="AW1255" s="27">
        <f t="shared" si="420"/>
        <v>0.4740811431084902</v>
      </c>
      <c r="AY1255" s="79"/>
      <c r="AZ1255" s="79"/>
    </row>
    <row r="1256" spans="1:52" x14ac:dyDescent="0.2">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0.80452586370517887</v>
      </c>
      <c r="L1256" s="27">
        <f t="shared" si="421"/>
        <v>0.79754846782098077</v>
      </c>
      <c r="M1256" s="27">
        <f t="shared" si="421"/>
        <v>0.79489238443144172</v>
      </c>
      <c r="N1256" s="27">
        <f t="shared" si="421"/>
        <v>0.78427763712907439</v>
      </c>
      <c r="O1256" s="27">
        <f t="shared" si="421"/>
        <v>0.76887007218962333</v>
      </c>
      <c r="P1256" s="27">
        <f t="shared" si="421"/>
        <v>0.74898829393537225</v>
      </c>
      <c r="Q1256" s="27">
        <f t="shared" si="421"/>
        <v>0.73330695394505496</v>
      </c>
      <c r="R1256" s="27">
        <f t="shared" si="421"/>
        <v>0.71847062359542491</v>
      </c>
      <c r="S1256" s="27">
        <f t="shared" si="421"/>
        <v>0.63765839888958464</v>
      </c>
      <c r="T1256" s="27">
        <f t="shared" si="421"/>
        <v>0.64985552871330754</v>
      </c>
      <c r="U1256" s="27">
        <f t="shared" si="421"/>
        <v>0.65637686779803062</v>
      </c>
      <c r="V1256" s="27">
        <f t="shared" si="421"/>
        <v>0.66139693431616664</v>
      </c>
      <c r="W1256" s="27">
        <f t="shared" si="421"/>
        <v>0.66866019069871818</v>
      </c>
      <c r="X1256" s="27">
        <f t="shared" si="421"/>
        <v>0.67455471111659759</v>
      </c>
      <c r="Y1256" s="27">
        <f t="shared" si="421"/>
        <v>0.67835464668302581</v>
      </c>
      <c r="Z1256" s="27">
        <f t="shared" si="421"/>
        <v>0.68131261219334738</v>
      </c>
      <c r="AA1256" s="27">
        <f t="shared" si="421"/>
        <v>0.68314590453806523</v>
      </c>
      <c r="AB1256" s="27">
        <f t="shared" si="421"/>
        <v>0.68857317043317978</v>
      </c>
      <c r="AC1256" s="27">
        <f t="shared" si="421"/>
        <v>0.69345639926499891</v>
      </c>
      <c r="AD1256" s="27">
        <f t="shared" si="421"/>
        <v>0.69370825791186275</v>
      </c>
      <c r="AE1256" s="27">
        <f t="shared" si="421"/>
        <v>0.69697957161989321</v>
      </c>
      <c r="AF1256" s="27">
        <f t="shared" si="421"/>
        <v>0.70130545437746739</v>
      </c>
      <c r="AG1256" s="27">
        <f t="shared" si="421"/>
        <v>0.70856817727678933</v>
      </c>
      <c r="AH1256" s="27">
        <f t="shared" si="421"/>
        <v>0.70972815007166834</v>
      </c>
      <c r="AI1256" s="27">
        <f t="shared" si="421"/>
        <v>0.70960638652128127</v>
      </c>
      <c r="AJ1256" s="27">
        <f t="shared" si="421"/>
        <v>0.71067196478931216</v>
      </c>
      <c r="AK1256" s="27">
        <f t="shared" si="421"/>
        <v>0.71047528886043954</v>
      </c>
      <c r="AL1256" s="27">
        <f t="shared" si="421"/>
        <v>0.71062576991459914</v>
      </c>
      <c r="AM1256" s="27">
        <f t="shared" si="421"/>
        <v>0.71028425694675268</v>
      </c>
      <c r="AN1256" s="27">
        <f t="shared" si="421"/>
        <v>0.71538221187758488</v>
      </c>
      <c r="AO1256" s="27">
        <f t="shared" si="421"/>
        <v>0.71911165532400878</v>
      </c>
      <c r="AP1256" s="27">
        <f t="shared" si="421"/>
        <v>0.7226259193517196</v>
      </c>
      <c r="AQ1256" s="27">
        <f t="shared" si="421"/>
        <v>0.72619388822876152</v>
      </c>
      <c r="AR1256" s="27">
        <f t="shared" si="421"/>
        <v>0.72989293668793909</v>
      </c>
      <c r="AS1256" s="27">
        <f t="shared" si="421"/>
        <v>0.73568977000726443</v>
      </c>
      <c r="AT1256" s="27">
        <f t="shared" si="421"/>
        <v>0.73405703768463881</v>
      </c>
      <c r="AU1256" s="27">
        <f t="shared" si="421"/>
        <v>0.73160906999785846</v>
      </c>
      <c r="AV1256" s="27">
        <f t="shared" si="421"/>
        <v>0.72907363944108583</v>
      </c>
      <c r="AW1256" s="27">
        <f t="shared" si="421"/>
        <v>0.72614737301582033</v>
      </c>
      <c r="AY1256" s="79"/>
      <c r="AZ1256" s="79"/>
    </row>
    <row r="1257" spans="1:52" x14ac:dyDescent="0.2">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0.97926119892671493</v>
      </c>
      <c r="L1257" s="27">
        <f t="shared" si="422"/>
        <v>1.0122801448609147</v>
      </c>
      <c r="M1257" s="27">
        <f t="shared" si="422"/>
        <v>1.0514701788925804</v>
      </c>
      <c r="N1257" s="27">
        <f t="shared" si="422"/>
        <v>1.0806972456941153</v>
      </c>
      <c r="O1257" s="27">
        <f t="shared" si="422"/>
        <v>1.1032367943433716</v>
      </c>
      <c r="P1257" s="27">
        <f t="shared" si="422"/>
        <v>1.1187666946803865</v>
      </c>
      <c r="Q1257" s="27">
        <f t="shared" si="422"/>
        <v>1.1399714801203362</v>
      </c>
      <c r="R1257" s="27">
        <f t="shared" si="422"/>
        <v>1.1622002864669057</v>
      </c>
      <c r="S1257" s="27">
        <f t="shared" si="422"/>
        <v>1.0731659766272925</v>
      </c>
      <c r="T1257" s="27">
        <f t="shared" si="422"/>
        <v>1.1200435177813</v>
      </c>
      <c r="U1257" s="27">
        <f t="shared" si="422"/>
        <v>1.1581646088835691</v>
      </c>
      <c r="V1257" s="27">
        <f t="shared" si="422"/>
        <v>1.1944005912440496</v>
      </c>
      <c r="W1257" s="27">
        <f t="shared" si="422"/>
        <v>1.2355118571945767</v>
      </c>
      <c r="X1257" s="27">
        <f t="shared" si="422"/>
        <v>1.2749845608108272</v>
      </c>
      <c r="Y1257" s="27">
        <f t="shared" si="422"/>
        <v>1.3112710404440306</v>
      </c>
      <c r="Z1257" s="27">
        <f t="shared" si="422"/>
        <v>1.3466036234744594</v>
      </c>
      <c r="AA1257" s="27">
        <f t="shared" si="422"/>
        <v>1.3803261318564077</v>
      </c>
      <c r="AB1257" s="27">
        <f t="shared" si="422"/>
        <v>1.4220578435636848</v>
      </c>
      <c r="AC1257" s="27">
        <f t="shared" si="422"/>
        <v>1.4635769863229917</v>
      </c>
      <c r="AD1257" s="27">
        <f t="shared" si="422"/>
        <v>1.5126623536535566</v>
      </c>
      <c r="AE1257" s="27">
        <f t="shared" si="422"/>
        <v>1.5702927620533913</v>
      </c>
      <c r="AF1257" s="27">
        <f t="shared" si="422"/>
        <v>1.6326718662100064</v>
      </c>
      <c r="AG1257" s="27">
        <f t="shared" si="422"/>
        <v>1.7047038536562504</v>
      </c>
      <c r="AH1257" s="27">
        <f t="shared" si="422"/>
        <v>1.7647703233064436</v>
      </c>
      <c r="AI1257" s="27">
        <f t="shared" si="422"/>
        <v>1.823914760279997</v>
      </c>
      <c r="AJ1257" s="27">
        <f t="shared" si="422"/>
        <v>1.8885037105241573</v>
      </c>
      <c r="AK1257" s="27">
        <f t="shared" si="422"/>
        <v>1.9522655918668117</v>
      </c>
      <c r="AL1257" s="27">
        <f t="shared" si="422"/>
        <v>2.0195785012565346</v>
      </c>
      <c r="AM1257" s="27">
        <f t="shared" si="422"/>
        <v>2.0882359976906724</v>
      </c>
      <c r="AN1257" s="27">
        <f t="shared" si="422"/>
        <v>2.1625669468600144</v>
      </c>
      <c r="AO1257" s="27">
        <f t="shared" si="422"/>
        <v>2.2353883436386872</v>
      </c>
      <c r="AP1257" s="27">
        <f t="shared" si="422"/>
        <v>2.310159637098629</v>
      </c>
      <c r="AQ1257" s="27">
        <f t="shared" si="422"/>
        <v>2.387837748545981</v>
      </c>
      <c r="AR1257" s="27">
        <f t="shared" si="422"/>
        <v>2.4688377318111754</v>
      </c>
      <c r="AS1257" s="27">
        <f t="shared" si="422"/>
        <v>2.5601896833945608</v>
      </c>
      <c r="AT1257" s="27">
        <f t="shared" si="422"/>
        <v>2.6285710200523447</v>
      </c>
      <c r="AU1257" s="27">
        <f t="shared" si="422"/>
        <v>2.6962215322627681</v>
      </c>
      <c r="AV1257" s="27">
        <f t="shared" si="422"/>
        <v>2.7657590792696469</v>
      </c>
      <c r="AW1257" s="27">
        <f t="shared" si="422"/>
        <v>2.8360897430204677</v>
      </c>
      <c r="AY1257" s="79"/>
      <c r="AZ1257" s="79"/>
    </row>
    <row r="1258" spans="1:52" x14ac:dyDescent="0.2">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0.1195503235691774</v>
      </c>
      <c r="T1258" s="27">
        <f t="shared" si="423"/>
        <v>0.11973238900774033</v>
      </c>
      <c r="U1258" s="27">
        <f t="shared" si="423"/>
        <v>0.11993816652481025</v>
      </c>
      <c r="V1258" s="27">
        <f t="shared" si="423"/>
        <v>0.12017030175701968</v>
      </c>
      <c r="W1258" s="27">
        <f t="shared" si="423"/>
        <v>0.12043143682964785</v>
      </c>
      <c r="X1258" s="27">
        <f t="shared" si="423"/>
        <v>0.12071612652319091</v>
      </c>
      <c r="Y1258" s="27">
        <f t="shared" si="423"/>
        <v>0.12088927246048492</v>
      </c>
      <c r="Z1258" s="27">
        <f t="shared" si="423"/>
        <v>0.12108266651499933</v>
      </c>
      <c r="AA1258" s="27">
        <f t="shared" si="423"/>
        <v>0.12129489002398719</v>
      </c>
      <c r="AB1258" s="27">
        <f t="shared" si="423"/>
        <v>0.12153074787723062</v>
      </c>
      <c r="AC1258" s="27">
        <f t="shared" si="423"/>
        <v>0.12178444503760315</v>
      </c>
      <c r="AD1258" s="27">
        <f t="shared" si="423"/>
        <v>0.12195021859922818</v>
      </c>
      <c r="AE1258" s="27">
        <f t="shared" si="423"/>
        <v>0.12213630016303641</v>
      </c>
      <c r="AF1258" s="27">
        <f t="shared" si="423"/>
        <v>0.12233971704233786</v>
      </c>
      <c r="AG1258" s="27">
        <f t="shared" si="423"/>
        <v>0.12256258176640643</v>
      </c>
      <c r="AH1258" s="27">
        <f t="shared" si="423"/>
        <v>0.12279204268449652</v>
      </c>
      <c r="AI1258" s="27">
        <f t="shared" si="423"/>
        <v>0.12293267358180958</v>
      </c>
      <c r="AJ1258" s="27">
        <f t="shared" si="423"/>
        <v>0.1230880284078129</v>
      </c>
      <c r="AK1258" s="27">
        <f t="shared" si="423"/>
        <v>0.12325414703713089</v>
      </c>
      <c r="AL1258" s="27">
        <f t="shared" si="423"/>
        <v>0.12343300581478904</v>
      </c>
      <c r="AM1258" s="27">
        <f t="shared" si="423"/>
        <v>0.12362298848343736</v>
      </c>
      <c r="AN1258" s="27">
        <f t="shared" si="423"/>
        <v>0.12373316293630814</v>
      </c>
      <c r="AO1258" s="27">
        <f t="shared" si="423"/>
        <v>0.12385166980530417</v>
      </c>
      <c r="AP1258" s="27">
        <f t="shared" si="423"/>
        <v>0.12398002361906417</v>
      </c>
      <c r="AQ1258" s="27">
        <f t="shared" si="423"/>
        <v>0.12411840156820916</v>
      </c>
      <c r="AR1258" s="27">
        <f t="shared" si="423"/>
        <v>0.12426670691930036</v>
      </c>
      <c r="AS1258" s="27">
        <f t="shared" si="423"/>
        <v>0.12433302167931155</v>
      </c>
      <c r="AT1258" s="27">
        <f t="shared" si="423"/>
        <v>0.12439474489368146</v>
      </c>
      <c r="AU1258" s="27">
        <f t="shared" si="423"/>
        <v>0.1244631713501356</v>
      </c>
      <c r="AV1258" s="27">
        <f t="shared" si="423"/>
        <v>0.12453939785824997</v>
      </c>
      <c r="AW1258" s="27">
        <f t="shared" si="423"/>
        <v>0.12462263971956801</v>
      </c>
      <c r="AY1258" s="79"/>
      <c r="AZ1258" s="79"/>
    </row>
    <row r="1259" spans="1:52" x14ac:dyDescent="0.2">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6.3928512589691663E-2</v>
      </c>
      <c r="T1259" s="27">
        <f t="shared" si="424"/>
        <v>6.4025870525110232E-2</v>
      </c>
      <c r="U1259" s="27">
        <f t="shared" si="424"/>
        <v>6.4135908291616708E-2</v>
      </c>
      <c r="V1259" s="27">
        <f t="shared" si="424"/>
        <v>6.4260040620762821E-2</v>
      </c>
      <c r="W1259" s="27">
        <f t="shared" si="424"/>
        <v>6.4399680366434092E-2</v>
      </c>
      <c r="X1259" s="27">
        <f t="shared" si="424"/>
        <v>6.4551915744093219E-2</v>
      </c>
      <c r="Y1259" s="27">
        <f t="shared" si="424"/>
        <v>6.4644504052528431E-2</v>
      </c>
      <c r="Z1259" s="27">
        <f t="shared" si="424"/>
        <v>6.4747919868393122E-2</v>
      </c>
      <c r="AA1259" s="27">
        <f t="shared" si="424"/>
        <v>6.4861404573922254E-2</v>
      </c>
      <c r="AB1259" s="27">
        <f t="shared" si="424"/>
        <v>6.4987527542813464E-2</v>
      </c>
      <c r="AC1259" s="27">
        <f t="shared" si="424"/>
        <v>6.5123189928548972E-2</v>
      </c>
      <c r="AD1259" s="27">
        <f t="shared" si="424"/>
        <v>6.5211835922177344E-2</v>
      </c>
      <c r="AE1259" s="27">
        <f t="shared" si="424"/>
        <v>6.5311341446206636E-2</v>
      </c>
      <c r="AF1259" s="27">
        <f t="shared" si="424"/>
        <v>6.5420116881865359E-2</v>
      </c>
      <c r="AG1259" s="27">
        <f t="shared" si="424"/>
        <v>6.5539291886106743E-2</v>
      </c>
      <c r="AH1259" s="27">
        <f t="shared" si="424"/>
        <v>6.5661994148660446E-2</v>
      </c>
      <c r="AI1259" s="27">
        <f t="shared" si="424"/>
        <v>6.5737195317682587E-2</v>
      </c>
      <c r="AJ1259" s="27">
        <f t="shared" si="424"/>
        <v>6.5820269981585744E-2</v>
      </c>
      <c r="AK1259" s="27">
        <f t="shared" si="424"/>
        <v>6.5909100497210327E-2</v>
      </c>
      <c r="AL1259" s="27">
        <f t="shared" si="424"/>
        <v>6.6004743698148058E-2</v>
      </c>
      <c r="AM1259" s="27">
        <f t="shared" si="424"/>
        <v>6.6106335304610589E-2</v>
      </c>
      <c r="AN1259" s="27">
        <f t="shared" si="424"/>
        <v>6.6165250150569468E-2</v>
      </c>
      <c r="AO1259" s="27">
        <f t="shared" si="424"/>
        <v>6.6228620684754519E-2</v>
      </c>
      <c r="AP1259" s="27">
        <f t="shared" si="424"/>
        <v>6.6297256788396222E-2</v>
      </c>
      <c r="AQ1259" s="27">
        <f t="shared" si="424"/>
        <v>6.6371253212662962E-2</v>
      </c>
      <c r="AR1259" s="27">
        <f t="shared" si="424"/>
        <v>6.6450558230176079E-2</v>
      </c>
      <c r="AS1259" s="27">
        <f t="shared" si="424"/>
        <v>6.6486019480666153E-2</v>
      </c>
      <c r="AT1259" s="27">
        <f t="shared" si="424"/>
        <v>6.6519025441412388E-2</v>
      </c>
      <c r="AU1259" s="27">
        <f t="shared" si="424"/>
        <v>6.6555615903506504E-2</v>
      </c>
      <c r="AV1259" s="27">
        <f t="shared" si="424"/>
        <v>6.6596377376484356E-2</v>
      </c>
      <c r="AW1259" s="27">
        <f t="shared" si="424"/>
        <v>6.6640890249560589E-2</v>
      </c>
      <c r="AY1259" s="79"/>
      <c r="AZ1259" s="79"/>
    </row>
    <row r="1260" spans="1:52" x14ac:dyDescent="0.2">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1.4486129996083083E-2</v>
      </c>
      <c r="L1260" s="27">
        <f t="shared" si="425"/>
        <v>1.4523786941695514E-2</v>
      </c>
      <c r="M1260" s="27">
        <f t="shared" si="425"/>
        <v>1.457573336741831E-2</v>
      </c>
      <c r="N1260" s="27">
        <f t="shared" si="425"/>
        <v>1.4639017833045652E-2</v>
      </c>
      <c r="O1260" s="27">
        <f t="shared" si="425"/>
        <v>1.4713550078172181E-2</v>
      </c>
      <c r="P1260" s="27">
        <f t="shared" si="425"/>
        <v>1.4798876460462532E-2</v>
      </c>
      <c r="Q1260" s="27">
        <f t="shared" si="425"/>
        <v>1.4890706011157254E-2</v>
      </c>
      <c r="R1260" s="27">
        <f t="shared" si="425"/>
        <v>1.4988675221399694E-2</v>
      </c>
      <c r="S1260" s="27">
        <f t="shared" si="425"/>
        <v>1.5078679643027025E-2</v>
      </c>
      <c r="T1260" s="27">
        <f t="shared" si="425"/>
        <v>1.5122495296339114E-2</v>
      </c>
      <c r="U1260" s="27">
        <f t="shared" si="425"/>
        <v>1.516958973789732E-2</v>
      </c>
      <c r="V1260" s="27">
        <f t="shared" si="425"/>
        <v>1.5220538890996555E-2</v>
      </c>
      <c r="W1260" s="27">
        <f t="shared" si="425"/>
        <v>1.5275902163367263E-2</v>
      </c>
      <c r="X1260" s="27">
        <f t="shared" si="425"/>
        <v>1.5334694454120529E-2</v>
      </c>
      <c r="Y1260" s="27">
        <f t="shared" si="425"/>
        <v>1.5371448915304845E-2</v>
      </c>
      <c r="Z1260" s="27">
        <f t="shared" si="425"/>
        <v>1.5411207509365298E-2</v>
      </c>
      <c r="AA1260" s="27">
        <f t="shared" si="425"/>
        <v>1.545373639870192E-2</v>
      </c>
      <c r="AB1260" s="27">
        <f t="shared" si="425"/>
        <v>1.5499966763922934E-2</v>
      </c>
      <c r="AC1260" s="27">
        <f t="shared" si="425"/>
        <v>1.5548833641447303E-2</v>
      </c>
      <c r="AD1260" s="27">
        <f t="shared" si="425"/>
        <v>1.5580602349578561E-2</v>
      </c>
      <c r="AE1260" s="27">
        <f t="shared" si="425"/>
        <v>1.5615591404277505E-2</v>
      </c>
      <c r="AF1260" s="27">
        <f t="shared" si="425"/>
        <v>1.5653259744642323E-2</v>
      </c>
      <c r="AG1260" s="27">
        <f t="shared" si="425"/>
        <v>1.5694012741398929E-2</v>
      </c>
      <c r="AH1260" s="27">
        <f t="shared" si="425"/>
        <v>1.5735477279761712E-2</v>
      </c>
      <c r="AI1260" s="27">
        <f t="shared" si="425"/>
        <v>1.5760021720349279E-2</v>
      </c>
      <c r="AJ1260" s="27">
        <f t="shared" si="425"/>
        <v>1.5786883711006117E-2</v>
      </c>
      <c r="AK1260" s="27">
        <f t="shared" si="425"/>
        <v>1.5815340273420818E-2</v>
      </c>
      <c r="AL1260" s="27">
        <f t="shared" si="425"/>
        <v>1.5845764593107773E-2</v>
      </c>
      <c r="AM1260" s="27">
        <f t="shared" si="425"/>
        <v>1.5877866318833773E-2</v>
      </c>
      <c r="AN1260" s="27">
        <f t="shared" si="425"/>
        <v>1.5894983838021428E-2</v>
      </c>
      <c r="AO1260" s="27">
        <f t="shared" si="425"/>
        <v>1.5913339031971951E-2</v>
      </c>
      <c r="AP1260" s="27">
        <f t="shared" si="425"/>
        <v>1.593321505910849E-2</v>
      </c>
      <c r="AQ1260" s="27">
        <f t="shared" si="425"/>
        <v>1.5954648527995344E-2</v>
      </c>
      <c r="AR1260" s="27">
        <f t="shared" si="425"/>
        <v>1.597762528830339E-2</v>
      </c>
      <c r="AS1260" s="27">
        <f t="shared" si="425"/>
        <v>1.598544144020398E-2</v>
      </c>
      <c r="AT1260" s="27">
        <f t="shared" si="425"/>
        <v>1.5992226212116378E-2</v>
      </c>
      <c r="AU1260" s="27">
        <f t="shared" si="425"/>
        <v>1.600003943689176E-2</v>
      </c>
      <c r="AV1260" s="27">
        <f t="shared" si="425"/>
        <v>1.6009082551352239E-2</v>
      </c>
      <c r="AW1260" s="27">
        <f t="shared" si="425"/>
        <v>1.6019215529788255E-2</v>
      </c>
      <c r="AY1260" s="79"/>
      <c r="AZ1260" s="79"/>
    </row>
    <row r="1261" spans="1:52" x14ac:dyDescent="0.2">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0.11605647283191661</v>
      </c>
      <c r="O1261" s="27">
        <f t="shared" si="426"/>
        <v>0.11664735601685972</v>
      </c>
      <c r="P1261" s="27">
        <f t="shared" si="426"/>
        <v>0.11732381389682567</v>
      </c>
      <c r="Q1261" s="27">
        <f t="shared" si="426"/>
        <v>0.11805182815822723</v>
      </c>
      <c r="R1261" s="27">
        <f t="shared" si="426"/>
        <v>0.11882851694408277</v>
      </c>
      <c r="S1261" s="27">
        <f t="shared" si="426"/>
        <v>0.11954206178926803</v>
      </c>
      <c r="T1261" s="27">
        <f t="shared" si="426"/>
        <v>0.11988942731858297</v>
      </c>
      <c r="U1261" s="27">
        <f t="shared" si="426"/>
        <v>0.12026278670919023</v>
      </c>
      <c r="V1261" s="27">
        <f t="shared" si="426"/>
        <v>0.12066670581564304</v>
      </c>
      <c r="W1261" s="27">
        <f t="shared" si="426"/>
        <v>0.12110561955897305</v>
      </c>
      <c r="X1261" s="27">
        <f t="shared" si="426"/>
        <v>0.121571718171076</v>
      </c>
      <c r="Y1261" s="27">
        <f t="shared" si="426"/>
        <v>0.12186310337017453</v>
      </c>
      <c r="Z1261" s="27">
        <f t="shared" si="426"/>
        <v>0.12217830499394715</v>
      </c>
      <c r="AA1261" s="27">
        <f t="shared" si="426"/>
        <v>0.12251546920442616</v>
      </c>
      <c r="AB1261" s="27">
        <f t="shared" si="426"/>
        <v>0.12288197829584693</v>
      </c>
      <c r="AC1261" s="27">
        <f t="shared" si="426"/>
        <v>0.12326938935774111</v>
      </c>
      <c r="AD1261" s="27">
        <f t="shared" si="426"/>
        <v>0.12352124807218419</v>
      </c>
      <c r="AE1261" s="27">
        <f t="shared" si="426"/>
        <v>0.12379863732892218</v>
      </c>
      <c r="AF1261" s="27">
        <f t="shared" si="426"/>
        <v>0.12409726765849963</v>
      </c>
      <c r="AG1261" s="27">
        <f t="shared" si="426"/>
        <v>0.12442035279404921</v>
      </c>
      <c r="AH1261" s="27">
        <f t="shared" si="426"/>
        <v>0.12474907895074024</v>
      </c>
      <c r="AI1261" s="27">
        <f t="shared" si="426"/>
        <v>0.12494366449156763</v>
      </c>
      <c r="AJ1261" s="27">
        <f t="shared" si="426"/>
        <v>0.12515662330645747</v>
      </c>
      <c r="AK1261" s="27">
        <f t="shared" si="426"/>
        <v>0.12538222370536653</v>
      </c>
      <c r="AL1261" s="27">
        <f t="shared" si="426"/>
        <v>0.12562342426072123</v>
      </c>
      <c r="AM1261" s="27">
        <f t="shared" si="426"/>
        <v>0.12587792310088028</v>
      </c>
      <c r="AN1261" s="27">
        <f t="shared" si="426"/>
        <v>0.12601362885130757</v>
      </c>
      <c r="AO1261" s="27">
        <f t="shared" si="426"/>
        <v>0.12615914674686166</v>
      </c>
      <c r="AP1261" s="27">
        <f t="shared" si="426"/>
        <v>0.1263167216354017</v>
      </c>
      <c r="AQ1261" s="27">
        <f t="shared" si="426"/>
        <v>0.12648664374547289</v>
      </c>
      <c r="AR1261" s="27">
        <f t="shared" si="426"/>
        <v>0.12666880089487106</v>
      </c>
      <c r="AS1261" s="27">
        <f t="shared" si="426"/>
        <v>0.12673076646052897</v>
      </c>
      <c r="AT1261" s="27">
        <f t="shared" si="426"/>
        <v>0.12678455536263306</v>
      </c>
      <c r="AU1261" s="27">
        <f t="shared" si="426"/>
        <v>0.1268464977223743</v>
      </c>
      <c r="AV1261" s="27">
        <f t="shared" si="426"/>
        <v>0.12691819050802894</v>
      </c>
      <c r="AW1261" s="27">
        <f t="shared" si="426"/>
        <v>0.12699852361165501</v>
      </c>
      <c r="AY1261" s="79"/>
      <c r="AZ1261" s="79"/>
    </row>
    <row r="1262" spans="1:52" x14ac:dyDescent="0.2">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2">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2">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9.6937181363551561E-2</v>
      </c>
      <c r="M1264" s="27">
        <f t="shared" si="429"/>
        <v>9.6980665528366608E-2</v>
      </c>
      <c r="N1264" s="27">
        <f t="shared" si="429"/>
        <v>9.6090308702663593E-2</v>
      </c>
      <c r="O1264" s="27">
        <f t="shared" si="429"/>
        <v>9.4636150647850539E-2</v>
      </c>
      <c r="P1264" s="27">
        <f t="shared" si="429"/>
        <v>9.2641437622218353E-2</v>
      </c>
      <c r="Q1264" s="27">
        <f t="shared" si="429"/>
        <v>9.1193054757597203E-2</v>
      </c>
      <c r="R1264" s="27">
        <f t="shared" si="429"/>
        <v>8.9872834352323586E-2</v>
      </c>
      <c r="S1264" s="27">
        <f t="shared" si="429"/>
        <v>8.007614881771638E-2</v>
      </c>
      <c r="T1264" s="27">
        <f t="shared" si="429"/>
        <v>8.1326396788510474E-2</v>
      </c>
      <c r="U1264" s="27">
        <f t="shared" si="429"/>
        <v>8.1857388582928847E-2</v>
      </c>
      <c r="V1264" s="27">
        <f t="shared" si="429"/>
        <v>8.2207086470719101E-2</v>
      </c>
      <c r="W1264" s="27">
        <f t="shared" si="429"/>
        <v>8.285461390877466E-2</v>
      </c>
      <c r="X1264" s="27">
        <f t="shared" si="429"/>
        <v>8.333689669834958E-2</v>
      </c>
      <c r="Y1264" s="27">
        <f t="shared" si="429"/>
        <v>8.3589871912565908E-2</v>
      </c>
      <c r="Z1264" s="27">
        <f t="shared" si="429"/>
        <v>8.3744868407458789E-2</v>
      </c>
      <c r="AA1264" s="27">
        <f t="shared" si="429"/>
        <v>8.3765893880963477E-2</v>
      </c>
      <c r="AB1264" s="27">
        <f t="shared" si="429"/>
        <v>8.4252320791482468E-2</v>
      </c>
      <c r="AC1264" s="27">
        <f t="shared" si="429"/>
        <v>8.467721169561411E-2</v>
      </c>
      <c r="AD1264" s="27">
        <f t="shared" si="429"/>
        <v>8.5288552318902811E-2</v>
      </c>
      <c r="AE1264" s="27">
        <f t="shared" si="429"/>
        <v>8.6321222168383255E-2</v>
      </c>
      <c r="AF1264" s="27">
        <f t="shared" si="429"/>
        <v>8.7530536010928472E-2</v>
      </c>
      <c r="AG1264" s="27">
        <f t="shared" si="429"/>
        <v>8.9167849032446608E-2</v>
      </c>
      <c r="AH1264" s="27">
        <f t="shared" si="429"/>
        <v>9.0051741731639295E-2</v>
      </c>
      <c r="AI1264" s="27">
        <f t="shared" si="429"/>
        <v>9.0823732502808008E-2</v>
      </c>
      <c r="AJ1264" s="27">
        <f t="shared" si="429"/>
        <v>9.1793903682288E-2</v>
      </c>
      <c r="AK1264" s="27">
        <f t="shared" si="429"/>
        <v>9.2636221139642705E-2</v>
      </c>
      <c r="AL1264" s="27">
        <f t="shared" si="429"/>
        <v>9.3568236692189041E-2</v>
      </c>
      <c r="AM1264" s="27">
        <f t="shared" si="429"/>
        <v>9.4477344703207677E-2</v>
      </c>
      <c r="AN1264" s="27">
        <f t="shared" si="429"/>
        <v>9.5701309146604296E-2</v>
      </c>
      <c r="AO1264" s="27">
        <f t="shared" si="429"/>
        <v>9.6764158959885563E-2</v>
      </c>
      <c r="AP1264" s="27">
        <f t="shared" si="429"/>
        <v>9.7826064209534019E-2</v>
      </c>
      <c r="AQ1264" s="27">
        <f t="shared" si="429"/>
        <v>9.8925683865692504E-2</v>
      </c>
      <c r="AR1264" s="27">
        <f t="shared" si="429"/>
        <v>0.1000753787258143</v>
      </c>
      <c r="AS1264" s="27">
        <f t="shared" si="429"/>
        <v>0.10157365781943821</v>
      </c>
      <c r="AT1264" s="27">
        <f t="shared" si="429"/>
        <v>0.10203766217050345</v>
      </c>
      <c r="AU1264" s="27">
        <f t="shared" si="429"/>
        <v>0.10240826928518969</v>
      </c>
      <c r="AV1264" s="27">
        <f t="shared" si="429"/>
        <v>0.10279047259457187</v>
      </c>
      <c r="AW1264" s="27">
        <f t="shared" si="429"/>
        <v>0.10314026973807801</v>
      </c>
      <c r="AY1264" s="79"/>
      <c r="AZ1264" s="79"/>
    </row>
    <row r="1265" spans="1:52" x14ac:dyDescent="0.2">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3.7923788015899976E-2</v>
      </c>
      <c r="M1265" s="27">
        <f t="shared" si="430"/>
        <v>3.7940799901590251E-2</v>
      </c>
      <c r="N1265" s="27">
        <f t="shared" si="430"/>
        <v>3.759247428451009E-2</v>
      </c>
      <c r="O1265" s="27">
        <f t="shared" si="430"/>
        <v>3.7023578211438583E-2</v>
      </c>
      <c r="P1265" s="27">
        <f t="shared" si="430"/>
        <v>3.6243206089281214E-2</v>
      </c>
      <c r="Q1265" s="27">
        <f t="shared" si="430"/>
        <v>3.5676569387541844E-2</v>
      </c>
      <c r="R1265" s="27">
        <f t="shared" si="430"/>
        <v>3.5160072434777256E-2</v>
      </c>
      <c r="S1265" s="27">
        <f t="shared" si="430"/>
        <v>3.132741070223205E-2</v>
      </c>
      <c r="T1265" s="27">
        <f t="shared" si="430"/>
        <v>3.1816533021911265E-2</v>
      </c>
      <c r="U1265" s="27">
        <f t="shared" si="430"/>
        <v>3.2024267762765575E-2</v>
      </c>
      <c r="V1265" s="27">
        <f t="shared" si="430"/>
        <v>3.2161076656727829E-2</v>
      </c>
      <c r="W1265" s="27">
        <f t="shared" si="430"/>
        <v>3.2414402500845374E-2</v>
      </c>
      <c r="X1265" s="27">
        <f t="shared" si="430"/>
        <v>3.2603081292804072E-2</v>
      </c>
      <c r="Y1265" s="27">
        <f t="shared" si="430"/>
        <v>3.2702050318540822E-2</v>
      </c>
      <c r="Z1265" s="27">
        <f t="shared" si="430"/>
        <v>3.2762688085523954E-2</v>
      </c>
      <c r="AA1265" s="27">
        <f t="shared" si="430"/>
        <v>3.2770913676457285E-2</v>
      </c>
      <c r="AB1265" s="27">
        <f t="shared" si="430"/>
        <v>3.2961213732434436E-2</v>
      </c>
      <c r="AC1265" s="27">
        <f t="shared" si="430"/>
        <v>3.3127439656806437E-2</v>
      </c>
      <c r="AD1265" s="27">
        <f t="shared" si="430"/>
        <v>3.3366608486320448E-2</v>
      </c>
      <c r="AE1265" s="27">
        <f t="shared" si="430"/>
        <v>3.377060983968385E-2</v>
      </c>
      <c r="AF1265" s="27">
        <f t="shared" si="430"/>
        <v>3.4243717899607513E-2</v>
      </c>
      <c r="AG1265" s="27">
        <f t="shared" si="430"/>
        <v>3.4884267903953659E-2</v>
      </c>
      <c r="AH1265" s="27">
        <f t="shared" si="430"/>
        <v>3.523006462386518E-2</v>
      </c>
      <c r="AI1265" s="27">
        <f t="shared" si="430"/>
        <v>3.5532083043879219E-2</v>
      </c>
      <c r="AJ1265" s="27">
        <f t="shared" si="430"/>
        <v>3.5911633652141173E-2</v>
      </c>
      <c r="AK1265" s="27">
        <f t="shared" si="430"/>
        <v>3.6241165295680604E-2</v>
      </c>
      <c r="AL1265" s="27">
        <f t="shared" si="430"/>
        <v>3.6605788650157255E-2</v>
      </c>
      <c r="AM1265" s="27">
        <f t="shared" si="430"/>
        <v>3.6961450110584139E-2</v>
      </c>
      <c r="AN1265" s="27">
        <f t="shared" si="430"/>
        <v>3.7440289782188468E-2</v>
      </c>
      <c r="AO1265" s="27">
        <f t="shared" si="430"/>
        <v>3.7856098148438051E-2</v>
      </c>
      <c r="AP1265" s="27">
        <f t="shared" si="430"/>
        <v>3.82715369822701E-2</v>
      </c>
      <c r="AQ1265" s="27">
        <f t="shared" si="430"/>
        <v>3.8701730455524434E-2</v>
      </c>
      <c r="AR1265" s="27">
        <f t="shared" si="430"/>
        <v>3.9151514362431208E-2</v>
      </c>
      <c r="AS1265" s="27">
        <f t="shared" si="430"/>
        <v>3.973767147919479E-2</v>
      </c>
      <c r="AT1265" s="27">
        <f t="shared" si="430"/>
        <v>3.9919199375928846E-2</v>
      </c>
      <c r="AU1265" s="27">
        <f t="shared" si="430"/>
        <v>4.0064188382797468E-2</v>
      </c>
      <c r="AV1265" s="27">
        <f t="shared" si="430"/>
        <v>4.0213714055816842E-2</v>
      </c>
      <c r="AW1265" s="27">
        <f t="shared" si="430"/>
        <v>4.0350561780624759E-2</v>
      </c>
      <c r="AY1265" s="79"/>
      <c r="AZ1265" s="79"/>
    </row>
    <row r="1266" spans="1:52" x14ac:dyDescent="0.2">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0.32784224726088984</v>
      </c>
      <c r="L1266" s="27">
        <f t="shared" si="431"/>
        <v>0.33450793008613738</v>
      </c>
      <c r="M1266" s="27">
        <f t="shared" si="431"/>
        <v>0.34229948156355033</v>
      </c>
      <c r="N1266" s="27">
        <f t="shared" si="431"/>
        <v>0.34828124731402299</v>
      </c>
      <c r="O1266" s="27">
        <f t="shared" si="431"/>
        <v>0.35308310351311484</v>
      </c>
      <c r="P1266" s="27">
        <f t="shared" si="431"/>
        <v>0.35667649320457151</v>
      </c>
      <c r="Q1266" s="27">
        <f t="shared" si="431"/>
        <v>0.36128421068096001</v>
      </c>
      <c r="R1266" s="27">
        <f t="shared" si="431"/>
        <v>0.36607496135357964</v>
      </c>
      <c r="S1266" s="27">
        <f t="shared" si="431"/>
        <v>0.35143183243338239</v>
      </c>
      <c r="T1266" s="27">
        <f t="shared" si="431"/>
        <v>0.36075285272545593</v>
      </c>
      <c r="U1266" s="27">
        <f t="shared" si="431"/>
        <v>0.36853031698633509</v>
      </c>
      <c r="V1266" s="27">
        <f t="shared" si="431"/>
        <v>0.37596763636775804</v>
      </c>
      <c r="W1266" s="27">
        <f t="shared" si="431"/>
        <v>0.38423631077311071</v>
      </c>
      <c r="X1266" s="27">
        <f t="shared" si="431"/>
        <v>0.39220730600957571</v>
      </c>
      <c r="Y1266" s="27">
        <f t="shared" si="431"/>
        <v>0.39936428537617313</v>
      </c>
      <c r="Z1266" s="27">
        <f t="shared" si="431"/>
        <v>0.40634242638516721</v>
      </c>
      <c r="AA1266" s="27">
        <f t="shared" si="431"/>
        <v>0.41303118340854511</v>
      </c>
      <c r="AB1266" s="27">
        <f t="shared" si="431"/>
        <v>0.42107387695618559</v>
      </c>
      <c r="AC1266" s="27">
        <f t="shared" si="431"/>
        <v>0.42906142963568294</v>
      </c>
      <c r="AD1266" s="27">
        <f t="shared" si="431"/>
        <v>0.43743347438516689</v>
      </c>
      <c r="AE1266" s="27">
        <f t="shared" si="431"/>
        <v>0.44718290108725961</v>
      </c>
      <c r="AF1266" s="27">
        <f t="shared" si="431"/>
        <v>0.45765280094933275</v>
      </c>
      <c r="AG1266" s="27">
        <f t="shared" si="431"/>
        <v>0.46964954754544574</v>
      </c>
      <c r="AH1266" s="27">
        <f t="shared" si="431"/>
        <v>0.47956610826401264</v>
      </c>
      <c r="AI1266" s="27">
        <f t="shared" si="431"/>
        <v>0.48905427439468169</v>
      </c>
      <c r="AJ1266" s="27">
        <f t="shared" si="431"/>
        <v>0.49936104134598547</v>
      </c>
      <c r="AK1266" s="27">
        <f t="shared" si="431"/>
        <v>0.5094502425603159</v>
      </c>
      <c r="AL1266" s="27">
        <f t="shared" si="431"/>
        <v>0.52003660978561117</v>
      </c>
      <c r="AM1266" s="27">
        <f t="shared" si="431"/>
        <v>0.53075624094362661</v>
      </c>
      <c r="AN1266" s="27">
        <f t="shared" si="431"/>
        <v>0.54254535314858965</v>
      </c>
      <c r="AO1266" s="27">
        <f t="shared" si="431"/>
        <v>0.55401935597193963</v>
      </c>
      <c r="AP1266" s="27">
        <f t="shared" si="431"/>
        <v>0.56573487647354037</v>
      </c>
      <c r="AQ1266" s="27">
        <f t="shared" si="431"/>
        <v>0.57784177154062866</v>
      </c>
      <c r="AR1266" s="27">
        <f t="shared" si="431"/>
        <v>0.59040171392478091</v>
      </c>
      <c r="AS1266" s="27">
        <f t="shared" si="431"/>
        <v>0.60432458622346374</v>
      </c>
      <c r="AT1266" s="27">
        <f t="shared" si="431"/>
        <v>0.61453867581789445</v>
      </c>
      <c r="AU1266" s="27">
        <f t="shared" si="431"/>
        <v>0.62457515677108666</v>
      </c>
      <c r="AV1266" s="27">
        <f t="shared" si="431"/>
        <v>0.63484544126508857</v>
      </c>
      <c r="AW1266" s="27">
        <f t="shared" si="431"/>
        <v>0.64517661361237144</v>
      </c>
      <c r="AY1266" s="79"/>
      <c r="AZ1266" s="79"/>
    </row>
    <row r="1267" spans="1:52" x14ac:dyDescent="0.2">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1.7017151675634961</v>
      </c>
      <c r="L1267" s="27">
        <f t="shared" si="432"/>
        <v>1.7241237147327644</v>
      </c>
      <c r="M1267" s="27">
        <f t="shared" si="432"/>
        <v>1.7601182693498112</v>
      </c>
      <c r="N1267" s="27">
        <f t="shared" si="432"/>
        <v>1.7704533576020511</v>
      </c>
      <c r="O1267" s="27">
        <f t="shared" si="432"/>
        <v>1.7641159598844758</v>
      </c>
      <c r="P1267" s="27">
        <f t="shared" si="432"/>
        <v>1.7411735022142167</v>
      </c>
      <c r="Q1267" s="27">
        <f t="shared" si="432"/>
        <v>1.7315152516158574</v>
      </c>
      <c r="R1267" s="27">
        <f t="shared" si="432"/>
        <v>1.7240481490859678</v>
      </c>
      <c r="S1267" s="27">
        <f t="shared" si="432"/>
        <v>1.4738757031674365</v>
      </c>
      <c r="T1267" s="27">
        <f t="shared" si="432"/>
        <v>1.5388372787954712</v>
      </c>
      <c r="U1267" s="27">
        <f t="shared" si="432"/>
        <v>1.5836036619864218</v>
      </c>
      <c r="V1267" s="27">
        <f t="shared" si="432"/>
        <v>1.6233328828738469</v>
      </c>
      <c r="W1267" s="27">
        <f t="shared" si="432"/>
        <v>1.6722487915194271</v>
      </c>
      <c r="X1267" s="27">
        <f t="shared" si="432"/>
        <v>1.7166486312949987</v>
      </c>
      <c r="Y1267" s="27">
        <f t="shared" si="432"/>
        <v>1.7558377432347874</v>
      </c>
      <c r="Z1267" s="27">
        <f t="shared" si="432"/>
        <v>1.7922488857917309</v>
      </c>
      <c r="AA1267" s="27">
        <f t="shared" si="432"/>
        <v>1.8246587141077992</v>
      </c>
      <c r="AB1267" s="27">
        <f t="shared" si="432"/>
        <v>1.8721447091119181</v>
      </c>
      <c r="AC1267" s="27">
        <f t="shared" si="432"/>
        <v>1.9182061569635991</v>
      </c>
      <c r="AD1267" s="27">
        <f t="shared" si="432"/>
        <v>1.9720971341440943</v>
      </c>
      <c r="AE1267" s="27">
        <f t="shared" si="432"/>
        <v>2.0407669485031263</v>
      </c>
      <c r="AF1267" s="27">
        <f t="shared" si="432"/>
        <v>2.1165368943229095</v>
      </c>
      <c r="AG1267" s="27">
        <f t="shared" si="432"/>
        <v>2.2082604288024275</v>
      </c>
      <c r="AH1267" s="27">
        <f t="shared" si="432"/>
        <v>2.275680198252084</v>
      </c>
      <c r="AI1267" s="27">
        <f t="shared" si="432"/>
        <v>2.3413904736766207</v>
      </c>
      <c r="AJ1267" s="27">
        <f t="shared" si="432"/>
        <v>2.415218944506448</v>
      </c>
      <c r="AK1267" s="27">
        <f t="shared" si="432"/>
        <v>2.4857625444009255</v>
      </c>
      <c r="AL1267" s="27">
        <f t="shared" si="432"/>
        <v>2.5608054567251783</v>
      </c>
      <c r="AM1267" s="27">
        <f t="shared" si="432"/>
        <v>2.6363672729917886</v>
      </c>
      <c r="AN1267" s="27">
        <f t="shared" si="432"/>
        <v>2.7260471010137848</v>
      </c>
      <c r="AO1267" s="27">
        <f t="shared" si="432"/>
        <v>2.8113754255419443</v>
      </c>
      <c r="AP1267" s="27">
        <f t="shared" si="432"/>
        <v>2.8983044964731111</v>
      </c>
      <c r="AQ1267" s="27">
        <f t="shared" si="432"/>
        <v>2.9883855152257053</v>
      </c>
      <c r="AR1267" s="27">
        <f t="shared" si="432"/>
        <v>3.0822159477018669</v>
      </c>
      <c r="AS1267" s="27">
        <f t="shared" si="432"/>
        <v>3.1927841339465477</v>
      </c>
      <c r="AT1267" s="27">
        <f t="shared" si="432"/>
        <v>3.2639921874822613</v>
      </c>
      <c r="AU1267" s="27">
        <f t="shared" si="432"/>
        <v>3.3326892535191242</v>
      </c>
      <c r="AV1267" s="27">
        <f t="shared" si="432"/>
        <v>3.4031153641230509</v>
      </c>
      <c r="AW1267" s="27">
        <f t="shared" si="432"/>
        <v>3.4734928434212469</v>
      </c>
      <c r="AY1267" s="79"/>
      <c r="AZ1267" s="79"/>
    </row>
    <row r="1268" spans="1:52" x14ac:dyDescent="0.2">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1.3660093635870424E-2</v>
      </c>
      <c r="L1268" s="27">
        <f t="shared" si="433"/>
        <v>1.3937830420255738E-2</v>
      </c>
      <c r="M1268" s="27">
        <f t="shared" si="433"/>
        <v>1.4262478398481276E-2</v>
      </c>
      <c r="N1268" s="27">
        <f t="shared" si="433"/>
        <v>1.4511718638084306E-2</v>
      </c>
      <c r="O1268" s="27">
        <f t="shared" si="433"/>
        <v>1.4711795979713135E-2</v>
      </c>
      <c r="P1268" s="27">
        <f t="shared" si="433"/>
        <v>1.4861520550190493E-2</v>
      </c>
      <c r="Q1268" s="27">
        <f t="shared" si="433"/>
        <v>1.5053508778373347E-2</v>
      </c>
      <c r="R1268" s="27">
        <f t="shared" si="433"/>
        <v>1.5253123389732504E-2</v>
      </c>
      <c r="S1268" s="27">
        <f t="shared" si="433"/>
        <v>1.4642993018057613E-2</v>
      </c>
      <c r="T1268" s="27">
        <f t="shared" si="433"/>
        <v>1.5031368863560678E-2</v>
      </c>
      <c r="U1268" s="27">
        <f t="shared" si="433"/>
        <v>1.5355429874430639E-2</v>
      </c>
      <c r="V1268" s="27">
        <f t="shared" si="433"/>
        <v>1.5665318181989931E-2</v>
      </c>
      <c r="W1268" s="27">
        <f t="shared" si="433"/>
        <v>1.6009846282212959E-2</v>
      </c>
      <c r="X1268" s="27">
        <f t="shared" si="433"/>
        <v>1.6341971083732341E-2</v>
      </c>
      <c r="Y1268" s="27">
        <f t="shared" si="433"/>
        <v>1.6640178557340561E-2</v>
      </c>
      <c r="Z1268" s="27">
        <f t="shared" si="433"/>
        <v>1.693093443271531E-2</v>
      </c>
      <c r="AA1268" s="27">
        <f t="shared" si="433"/>
        <v>1.7209632642022729E-2</v>
      </c>
      <c r="AB1268" s="27">
        <f t="shared" si="433"/>
        <v>1.7544744873174416E-2</v>
      </c>
      <c r="AC1268" s="27">
        <f t="shared" si="433"/>
        <v>1.7877559568153477E-2</v>
      </c>
      <c r="AD1268" s="27">
        <f t="shared" si="433"/>
        <v>1.8226394766048638E-2</v>
      </c>
      <c r="AE1268" s="27">
        <f t="shared" si="433"/>
        <v>1.8632620878635837E-2</v>
      </c>
      <c r="AF1268" s="27">
        <f t="shared" si="433"/>
        <v>1.906886670622222E-2</v>
      </c>
      <c r="AG1268" s="27">
        <f t="shared" si="433"/>
        <v>1.9568731147726923E-2</v>
      </c>
      <c r="AH1268" s="27">
        <f t="shared" si="433"/>
        <v>1.9981921177667211E-2</v>
      </c>
      <c r="AI1268" s="27">
        <f t="shared" si="433"/>
        <v>2.0377261433111755E-2</v>
      </c>
      <c r="AJ1268" s="27">
        <f t="shared" si="433"/>
        <v>2.0806710056082745E-2</v>
      </c>
      <c r="AK1268" s="27">
        <f t="shared" si="433"/>
        <v>2.1227093440013181E-2</v>
      </c>
      <c r="AL1268" s="27">
        <f t="shared" si="433"/>
        <v>2.1668192074400485E-2</v>
      </c>
      <c r="AM1268" s="27">
        <f t="shared" si="433"/>
        <v>2.2114843372651131E-2</v>
      </c>
      <c r="AN1268" s="27">
        <f t="shared" si="433"/>
        <v>2.2606056381191265E-2</v>
      </c>
      <c r="AO1268" s="27">
        <f t="shared" si="433"/>
        <v>2.3084139832164171E-2</v>
      </c>
      <c r="AP1268" s="27">
        <f t="shared" si="433"/>
        <v>2.3572286519730874E-2</v>
      </c>
      <c r="AQ1268" s="27">
        <f t="shared" si="433"/>
        <v>2.4076740480859553E-2</v>
      </c>
      <c r="AR1268" s="27">
        <f t="shared" si="433"/>
        <v>2.4600071413532563E-2</v>
      </c>
      <c r="AS1268" s="27">
        <f t="shared" si="433"/>
        <v>2.5180191092644345E-2</v>
      </c>
      <c r="AT1268" s="27">
        <f t="shared" si="433"/>
        <v>2.5605778159078961E-2</v>
      </c>
      <c r="AU1268" s="27">
        <f t="shared" si="433"/>
        <v>2.6023964865461973E-2</v>
      </c>
      <c r="AV1268" s="27">
        <f t="shared" si="433"/>
        <v>2.6451893386045391E-2</v>
      </c>
      <c r="AW1268" s="27">
        <f t="shared" si="433"/>
        <v>2.6882358900515501E-2</v>
      </c>
      <c r="AY1268" s="79"/>
      <c r="AZ1268" s="79"/>
    </row>
    <row r="1269" spans="1:52" x14ac:dyDescent="0.2">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7.0904798648479067E-2</v>
      </c>
      <c r="L1269" s="27">
        <f t="shared" si="434"/>
        <v>7.1838488113865256E-2</v>
      </c>
      <c r="M1269" s="27">
        <f t="shared" si="434"/>
        <v>7.333826122290886E-2</v>
      </c>
      <c r="N1269" s="27">
        <f t="shared" si="434"/>
        <v>7.3768889900085552E-2</v>
      </c>
      <c r="O1269" s="27">
        <f t="shared" si="434"/>
        <v>7.3504831661853232E-2</v>
      </c>
      <c r="P1269" s="27">
        <f t="shared" si="434"/>
        <v>7.2548895925592424E-2</v>
      </c>
      <c r="Q1269" s="27">
        <f t="shared" si="434"/>
        <v>7.2146468817327461E-2</v>
      </c>
      <c r="R1269" s="27">
        <f t="shared" si="434"/>
        <v>7.1835339545248733E-2</v>
      </c>
      <c r="S1269" s="27">
        <f t="shared" si="434"/>
        <v>6.1411487631976583E-2</v>
      </c>
      <c r="T1269" s="27">
        <f t="shared" si="434"/>
        <v>6.4118219949811373E-2</v>
      </c>
      <c r="U1269" s="27">
        <f t="shared" si="434"/>
        <v>6.5983485916100967E-2</v>
      </c>
      <c r="V1269" s="27">
        <f t="shared" si="434"/>
        <v>6.7638870119743691E-2</v>
      </c>
      <c r="W1269" s="27">
        <f t="shared" si="434"/>
        <v>6.9677032979976197E-2</v>
      </c>
      <c r="X1269" s="27">
        <f t="shared" si="434"/>
        <v>7.1527026303958338E-2</v>
      </c>
      <c r="Y1269" s="27">
        <f t="shared" si="434"/>
        <v>7.3159905968116196E-2</v>
      </c>
      <c r="Z1269" s="27">
        <f t="shared" si="434"/>
        <v>7.4677036907988839E-2</v>
      </c>
      <c r="AA1269" s="27">
        <f t="shared" si="434"/>
        <v>7.6027446421158371E-2</v>
      </c>
      <c r="AB1269" s="27">
        <f t="shared" si="434"/>
        <v>7.8006029546329986E-2</v>
      </c>
      <c r="AC1269" s="27">
        <f t="shared" si="434"/>
        <v>7.9925256540150022E-2</v>
      </c>
      <c r="AD1269" s="27">
        <f t="shared" si="434"/>
        <v>8.2170713922670655E-2</v>
      </c>
      <c r="AE1269" s="27">
        <f t="shared" si="434"/>
        <v>8.5031956187630361E-2</v>
      </c>
      <c r="AF1269" s="27">
        <f t="shared" si="434"/>
        <v>8.8189037263454617E-2</v>
      </c>
      <c r="AG1269" s="27">
        <f t="shared" si="434"/>
        <v>9.2010851200101232E-2</v>
      </c>
      <c r="AH1269" s="27">
        <f t="shared" si="434"/>
        <v>9.4820008260503588E-2</v>
      </c>
      <c r="AI1269" s="27">
        <f t="shared" si="434"/>
        <v>9.755793640319263E-2</v>
      </c>
      <c r="AJ1269" s="27">
        <f t="shared" si="434"/>
        <v>0.10063412268776877</v>
      </c>
      <c r="AK1269" s="27">
        <f t="shared" si="434"/>
        <v>0.10357343935003867</v>
      </c>
      <c r="AL1269" s="27">
        <f t="shared" si="434"/>
        <v>0.10670022736354919</v>
      </c>
      <c r="AM1269" s="27">
        <f t="shared" si="434"/>
        <v>0.10984863637465794</v>
      </c>
      <c r="AN1269" s="27">
        <f t="shared" si="434"/>
        <v>0.11358529587557446</v>
      </c>
      <c r="AO1269" s="27">
        <f t="shared" si="434"/>
        <v>0.11714064273091444</v>
      </c>
      <c r="AP1269" s="27">
        <f t="shared" si="434"/>
        <v>0.12076268735304639</v>
      </c>
      <c r="AQ1269" s="27">
        <f t="shared" si="434"/>
        <v>0.12451606313440448</v>
      </c>
      <c r="AR1269" s="27">
        <f t="shared" si="434"/>
        <v>0.12842566448757792</v>
      </c>
      <c r="AS1269" s="27">
        <f t="shared" si="434"/>
        <v>0.1330326722477729</v>
      </c>
      <c r="AT1269" s="27">
        <f t="shared" si="434"/>
        <v>0.1359996744784277</v>
      </c>
      <c r="AU1269" s="27">
        <f t="shared" si="434"/>
        <v>0.13886205222996365</v>
      </c>
      <c r="AV1269" s="27">
        <f t="shared" si="434"/>
        <v>0.14179647350512722</v>
      </c>
      <c r="AW1269" s="27">
        <f t="shared" si="434"/>
        <v>0.14472886847588542</v>
      </c>
      <c r="AY1269" s="79"/>
      <c r="AZ1269" s="79"/>
    </row>
    <row r="1270" spans="1:52" x14ac:dyDescent="0.2">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6.4883189407483481</v>
      </c>
      <c r="U1270" s="27">
        <f t="shared" si="435"/>
        <v>6.3709630483047146</v>
      </c>
      <c r="V1270" s="27">
        <f t="shared" si="435"/>
        <v>6.2540534086967066</v>
      </c>
      <c r="W1270" s="27">
        <f t="shared" si="435"/>
        <v>6.137294741119482</v>
      </c>
      <c r="X1270" s="27">
        <f t="shared" si="435"/>
        <v>6.0204387749589712</v>
      </c>
      <c r="Y1270" s="27">
        <f t="shared" si="435"/>
        <v>5.9037225669352793</v>
      </c>
      <c r="Z1270" s="27">
        <f t="shared" si="435"/>
        <v>5.7871902377719815</v>
      </c>
      <c r="AA1270" s="27">
        <f t="shared" si="435"/>
        <v>5.6707537118232665</v>
      </c>
      <c r="AB1270" s="27">
        <f t="shared" si="435"/>
        <v>5.5544271779700249</v>
      </c>
      <c r="AC1270" s="27">
        <f t="shared" si="435"/>
        <v>5.4379254658215954</v>
      </c>
      <c r="AD1270" s="27">
        <f t="shared" si="435"/>
        <v>5.3215020208908337</v>
      </c>
      <c r="AE1270" s="27">
        <f t="shared" si="435"/>
        <v>5.2050548671923318</v>
      </c>
      <c r="AF1270" s="27">
        <f t="shared" si="435"/>
        <v>5.0884724881250269</v>
      </c>
      <c r="AG1270" s="27">
        <f t="shared" si="435"/>
        <v>4.9718729858707977</v>
      </c>
      <c r="AH1270" s="27">
        <f t="shared" si="435"/>
        <v>4.8551573762149358</v>
      </c>
      <c r="AI1270" s="27">
        <f t="shared" si="435"/>
        <v>4.7388191893034461</v>
      </c>
      <c r="AJ1270" s="27">
        <f t="shared" si="435"/>
        <v>4.6225895108237864</v>
      </c>
      <c r="AK1270" s="27">
        <f t="shared" si="435"/>
        <v>4.5063351855546454</v>
      </c>
      <c r="AL1270" s="27">
        <f t="shared" si="435"/>
        <v>4.3901845927077465</v>
      </c>
      <c r="AM1270" s="27">
        <f t="shared" si="435"/>
        <v>4.2740542474529546</v>
      </c>
      <c r="AN1270" s="27">
        <f t="shared" si="435"/>
        <v>4.2730298938155507</v>
      </c>
      <c r="AO1270" s="27">
        <f t="shared" si="435"/>
        <v>4.2718974633101565</v>
      </c>
      <c r="AP1270" s="27">
        <f t="shared" si="435"/>
        <v>4.2708226105062916</v>
      </c>
      <c r="AQ1270" s="27">
        <f t="shared" si="435"/>
        <v>4.2697468771209452</v>
      </c>
      <c r="AR1270" s="27">
        <f t="shared" si="435"/>
        <v>4.2686562218910673</v>
      </c>
      <c r="AS1270" s="27">
        <f t="shared" si="435"/>
        <v>4.2675462190832505</v>
      </c>
      <c r="AT1270" s="27">
        <f t="shared" si="435"/>
        <v>4.266317225487323</v>
      </c>
      <c r="AU1270" s="27">
        <f t="shared" si="435"/>
        <v>4.2654552920617217</v>
      </c>
      <c r="AV1270" s="27">
        <f t="shared" si="435"/>
        <v>4.2646242236458551</v>
      </c>
      <c r="AW1270" s="27">
        <f t="shared" si="435"/>
        <v>4.2637864182715699</v>
      </c>
      <c r="AY1270" s="79"/>
      <c r="AZ1270" s="79"/>
    </row>
    <row r="1271" spans="1:52" x14ac:dyDescent="0.2">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4.2822905008939115E-2</v>
      </c>
      <c r="U1271" s="27">
        <f t="shared" si="436"/>
        <v>4.204835611881113E-2</v>
      </c>
      <c r="V1271" s="27">
        <f t="shared" si="436"/>
        <v>4.1276752497398261E-2</v>
      </c>
      <c r="W1271" s="27">
        <f t="shared" si="436"/>
        <v>4.050614529138858E-2</v>
      </c>
      <c r="X1271" s="27">
        <f t="shared" si="436"/>
        <v>3.9734895914729229E-2</v>
      </c>
      <c r="Y1271" s="27">
        <f t="shared" si="436"/>
        <v>3.8964568941772845E-2</v>
      </c>
      <c r="Z1271" s="27">
        <f t="shared" si="436"/>
        <v>3.8195455569295073E-2</v>
      </c>
      <c r="AA1271" s="27">
        <f t="shared" si="436"/>
        <v>3.7426974498033561E-2</v>
      </c>
      <c r="AB1271" s="27">
        <f t="shared" si="436"/>
        <v>3.6659219374602169E-2</v>
      </c>
      <c r="AC1271" s="27">
        <f t="shared" si="436"/>
        <v>3.5890308074422533E-2</v>
      </c>
      <c r="AD1271" s="27">
        <f t="shared" si="436"/>
        <v>3.51219133378795E-2</v>
      </c>
      <c r="AE1271" s="27">
        <f t="shared" si="436"/>
        <v>3.4353362123469393E-2</v>
      </c>
      <c r="AF1271" s="27">
        <f t="shared" si="436"/>
        <v>3.358391842162519E-2</v>
      </c>
      <c r="AG1271" s="27">
        <f t="shared" si="436"/>
        <v>3.2814361706747279E-2</v>
      </c>
      <c r="AH1271" s="27">
        <f t="shared" si="436"/>
        <v>3.2044038683018583E-2</v>
      </c>
      <c r="AI1271" s="27">
        <f t="shared" si="436"/>
        <v>3.1276206649402755E-2</v>
      </c>
      <c r="AJ1271" s="27">
        <f t="shared" si="436"/>
        <v>3.0509090771436993E-2</v>
      </c>
      <c r="AK1271" s="27">
        <f t="shared" si="436"/>
        <v>2.9741812224660671E-2</v>
      </c>
      <c r="AL1271" s="27">
        <f t="shared" si="436"/>
        <v>2.8975218311871134E-2</v>
      </c>
      <c r="AM1271" s="27">
        <f t="shared" si="436"/>
        <v>2.8208758033189511E-2</v>
      </c>
      <c r="AN1271" s="27">
        <f t="shared" si="436"/>
        <v>2.8201997299182647E-2</v>
      </c>
      <c r="AO1271" s="27">
        <f t="shared" si="436"/>
        <v>2.8194523257847041E-2</v>
      </c>
      <c r="AP1271" s="27">
        <f t="shared" si="436"/>
        <v>2.8187429229341532E-2</v>
      </c>
      <c r="AQ1271" s="27">
        <f t="shared" si="436"/>
        <v>2.8180329388998247E-2</v>
      </c>
      <c r="AR1271" s="27">
        <f t="shared" si="436"/>
        <v>2.817313106448105E-2</v>
      </c>
      <c r="AS1271" s="27">
        <f t="shared" si="436"/>
        <v>2.8165805045949458E-2</v>
      </c>
      <c r="AT1271" s="27">
        <f t="shared" si="436"/>
        <v>2.8157693688216343E-2</v>
      </c>
      <c r="AU1271" s="27">
        <f t="shared" si="436"/>
        <v>2.8152004927607371E-2</v>
      </c>
      <c r="AV1271" s="27">
        <f t="shared" si="436"/>
        <v>2.8146519876062648E-2</v>
      </c>
      <c r="AW1271" s="27">
        <f t="shared" si="436"/>
        <v>2.8140990360592363E-2</v>
      </c>
      <c r="AY1271" s="79"/>
      <c r="AZ1271" s="79"/>
    </row>
    <row r="1272" spans="1:52" x14ac:dyDescent="0.2">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2.968676648093143</v>
      </c>
      <c r="U1272" s="27">
        <f t="shared" si="438"/>
        <v>2.9825082583829583</v>
      </c>
      <c r="V1272" s="27">
        <f t="shared" si="438"/>
        <v>2.9933346622173946</v>
      </c>
      <c r="W1272" s="27">
        <f t="shared" si="438"/>
        <v>3.0033565813928953</v>
      </c>
      <c r="X1272" s="27">
        <f t="shared" si="438"/>
        <v>3.0145589479472883</v>
      </c>
      <c r="Y1272" s="27">
        <f t="shared" si="438"/>
        <v>3.0250336120057435</v>
      </c>
      <c r="Z1272" s="27">
        <f t="shared" si="438"/>
        <v>3.0343616658849326</v>
      </c>
      <c r="AA1272" s="27">
        <f t="shared" si="438"/>
        <v>3.0432376902631781</v>
      </c>
      <c r="AB1272" s="27">
        <f t="shared" si="438"/>
        <v>3.0515077861767024</v>
      </c>
      <c r="AC1272" s="27">
        <f t="shared" si="438"/>
        <v>3.0617139574874526</v>
      </c>
      <c r="AD1272" s="27">
        <f t="shared" si="438"/>
        <v>3.0716388969147959</v>
      </c>
      <c r="AE1272" s="27">
        <f t="shared" si="438"/>
        <v>3.0822275993217993</v>
      </c>
      <c r="AF1272" s="27">
        <f t="shared" si="438"/>
        <v>3.0946028925022198</v>
      </c>
      <c r="AG1272" s="27">
        <f t="shared" si="438"/>
        <v>3.1077211921821801</v>
      </c>
      <c r="AH1272" s="27">
        <f t="shared" si="438"/>
        <v>3.122637390743785</v>
      </c>
      <c r="AI1272" s="27">
        <f t="shared" si="438"/>
        <v>3.1343652344778912</v>
      </c>
      <c r="AJ1272" s="27">
        <f t="shared" si="438"/>
        <v>3.1455242459932262</v>
      </c>
      <c r="AK1272" s="27">
        <f t="shared" si="438"/>
        <v>3.1575220431438074</v>
      </c>
      <c r="AL1272" s="27">
        <f t="shared" si="438"/>
        <v>3.1689887533313184</v>
      </c>
      <c r="AM1272" s="27">
        <f t="shared" si="438"/>
        <v>3.1808403476591942</v>
      </c>
      <c r="AN1272" s="27">
        <f t="shared" si="438"/>
        <v>3.1926055806550666</v>
      </c>
      <c r="AO1272" s="27">
        <f t="shared" si="438"/>
        <v>3.2056121325538434</v>
      </c>
      <c r="AP1272" s="27">
        <f t="shared" si="438"/>
        <v>3.217957374677253</v>
      </c>
      <c r="AQ1272" s="27">
        <f t="shared" si="438"/>
        <v>3.2303127307358399</v>
      </c>
      <c r="AR1272" s="27">
        <f t="shared" si="438"/>
        <v>3.24283947192085</v>
      </c>
      <c r="AS1272" s="27">
        <f t="shared" si="438"/>
        <v>3.2555884300766866</v>
      </c>
      <c r="AT1272" s="27">
        <f t="shared" si="438"/>
        <v>3.2697040591705311</v>
      </c>
      <c r="AU1272" s="27">
        <f t="shared" si="438"/>
        <v>3.2796038117645905</v>
      </c>
      <c r="AV1272" s="27">
        <f t="shared" si="438"/>
        <v>3.2891490637080194</v>
      </c>
      <c r="AW1272" s="27">
        <f t="shared" si="438"/>
        <v>3.2987716931142437</v>
      </c>
      <c r="AY1272" s="79"/>
      <c r="AZ1272" s="79"/>
    </row>
    <row r="1273" spans="1:52" x14ac:dyDescent="0.2">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0.32056321299147922</v>
      </c>
      <c r="M1273" s="27">
        <f t="shared" si="439"/>
        <v>0.32309177745176459</v>
      </c>
      <c r="N1273" s="27">
        <f t="shared" si="439"/>
        <v>0.32471664946511047</v>
      </c>
      <c r="O1273" s="27">
        <f t="shared" si="439"/>
        <v>0.32579638434951891</v>
      </c>
      <c r="P1273" s="27">
        <f t="shared" si="439"/>
        <v>0.32632035510276458</v>
      </c>
      <c r="Q1273" s="27">
        <f t="shared" si="439"/>
        <v>0.32747800149861978</v>
      </c>
      <c r="R1273" s="27">
        <f t="shared" si="439"/>
        <v>0.32880601635823298</v>
      </c>
      <c r="S1273" s="27">
        <f t="shared" si="439"/>
        <v>0.31980488008437191</v>
      </c>
      <c r="T1273" s="27">
        <f t="shared" si="439"/>
        <v>0.315276677664383</v>
      </c>
      <c r="U1273" s="27">
        <f t="shared" si="439"/>
        <v>0.3098984803260908</v>
      </c>
      <c r="V1273" s="27">
        <f t="shared" si="439"/>
        <v>0.30432789807351995</v>
      </c>
      <c r="W1273" s="27">
        <f t="shared" si="439"/>
        <v>0.29913023980527853</v>
      </c>
      <c r="X1273" s="27">
        <f t="shared" si="439"/>
        <v>0.29375181160369557</v>
      </c>
      <c r="Y1273" s="27">
        <f t="shared" si="439"/>
        <v>0.2879001852594425</v>
      </c>
      <c r="Z1273" s="27">
        <f t="shared" si="439"/>
        <v>0.28196216858270712</v>
      </c>
      <c r="AA1273" s="27">
        <f t="shared" si="439"/>
        <v>0.27589895617618609</v>
      </c>
      <c r="AB1273" s="27">
        <f t="shared" si="439"/>
        <v>0.27037748180487037</v>
      </c>
      <c r="AC1273" s="27">
        <f t="shared" si="439"/>
        <v>0.26479959105117107</v>
      </c>
      <c r="AD1273" s="27">
        <f t="shared" si="439"/>
        <v>0.26112597279389443</v>
      </c>
      <c r="AE1273" s="27">
        <f t="shared" si="439"/>
        <v>0.25786890220186781</v>
      </c>
      <c r="AF1273" s="27">
        <f t="shared" si="439"/>
        <v>0.25475298297397636</v>
      </c>
      <c r="AG1273" s="27">
        <f t="shared" si="439"/>
        <v>0.2520347073635813</v>
      </c>
      <c r="AH1273" s="27">
        <f t="shared" si="439"/>
        <v>0.24846182103970088</v>
      </c>
      <c r="AI1273" s="27">
        <f t="shared" si="439"/>
        <v>0.24458767063424683</v>
      </c>
      <c r="AJ1273" s="27">
        <f t="shared" si="439"/>
        <v>0.24086594452141413</v>
      </c>
      <c r="AK1273" s="27">
        <f t="shared" si="439"/>
        <v>0.23695666381017716</v>
      </c>
      <c r="AL1273" s="27">
        <f t="shared" si="439"/>
        <v>0.23307854947214299</v>
      </c>
      <c r="AM1273" s="27">
        <f t="shared" si="439"/>
        <v>0.22911385641281884</v>
      </c>
      <c r="AN1273" s="27">
        <f t="shared" si="439"/>
        <v>0.23151617274669048</v>
      </c>
      <c r="AO1273" s="27">
        <f t="shared" si="439"/>
        <v>0.23381438661864784</v>
      </c>
      <c r="AP1273" s="27">
        <f t="shared" si="439"/>
        <v>0.23616734363918257</v>
      </c>
      <c r="AQ1273" s="27">
        <f t="shared" si="439"/>
        <v>0.23861622918205244</v>
      </c>
      <c r="AR1273" s="27">
        <f t="shared" si="439"/>
        <v>0.24117673951731031</v>
      </c>
      <c r="AS1273" s="27">
        <f t="shared" si="439"/>
        <v>0.24406258337358394</v>
      </c>
      <c r="AT1273" s="27">
        <f t="shared" si="439"/>
        <v>0.24589965063027716</v>
      </c>
      <c r="AU1273" s="27">
        <f t="shared" si="439"/>
        <v>0.24767762581203717</v>
      </c>
      <c r="AV1273" s="27">
        <f t="shared" si="439"/>
        <v>0.24951020438537325</v>
      </c>
      <c r="AW1273" s="27">
        <f t="shared" si="439"/>
        <v>0.25134915807477254</v>
      </c>
      <c r="AY1273" s="79"/>
      <c r="AZ1273" s="79"/>
    </row>
    <row r="1274" spans="1:52" x14ac:dyDescent="0.2">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0.93731746283627526</v>
      </c>
      <c r="M1274" s="27">
        <f t="shared" si="440"/>
        <v>0.94471091139331731</v>
      </c>
      <c r="N1274" s="27">
        <f t="shared" si="440"/>
        <v>0.94946198965576145</v>
      </c>
      <c r="O1274" s="27">
        <f t="shared" si="440"/>
        <v>0.95261910289076102</v>
      </c>
      <c r="P1274" s="27">
        <f t="shared" si="440"/>
        <v>0.95415117805450056</v>
      </c>
      <c r="Q1274" s="27">
        <f t="shared" si="440"/>
        <v>0.95753610227115837</v>
      </c>
      <c r="R1274" s="27">
        <f t="shared" si="440"/>
        <v>0.96141917889497119</v>
      </c>
      <c r="S1274" s="27">
        <f t="shared" si="440"/>
        <v>0.93510011958643091</v>
      </c>
      <c r="T1274" s="27">
        <f t="shared" si="440"/>
        <v>0.92185978809641034</v>
      </c>
      <c r="U1274" s="27">
        <f t="shared" si="440"/>
        <v>0.90613409631562947</v>
      </c>
      <c r="V1274" s="27">
        <f t="shared" si="440"/>
        <v>0.88984587667004211</v>
      </c>
      <c r="W1274" s="27">
        <f t="shared" si="440"/>
        <v>0.87464807585186943</v>
      </c>
      <c r="X1274" s="27">
        <f t="shared" si="440"/>
        <v>0.85892170903357568</v>
      </c>
      <c r="Y1274" s="27">
        <f t="shared" si="440"/>
        <v>0.84181172468048315</v>
      </c>
      <c r="Z1274" s="27">
        <f t="shared" si="440"/>
        <v>0.82444913752091109</v>
      </c>
      <c r="AA1274" s="27">
        <f t="shared" si="440"/>
        <v>0.80672048170765409</v>
      </c>
      <c r="AB1274" s="27">
        <f t="shared" si="440"/>
        <v>0.79057585207114345</v>
      </c>
      <c r="AC1274" s="27">
        <f t="shared" si="440"/>
        <v>0.7742662625819271</v>
      </c>
      <c r="AD1274" s="27">
        <f t="shared" si="440"/>
        <v>0.76352471019914925</v>
      </c>
      <c r="AE1274" s="27">
        <f t="shared" si="440"/>
        <v>0.75400113101142074</v>
      </c>
      <c r="AF1274" s="27">
        <f t="shared" si="440"/>
        <v>0.74489027428573784</v>
      </c>
      <c r="AG1274" s="27">
        <f t="shared" si="440"/>
        <v>0.73694211587214908</v>
      </c>
      <c r="AH1274" s="27">
        <f t="shared" si="440"/>
        <v>0.7264951007176339</v>
      </c>
      <c r="AI1274" s="27">
        <f t="shared" si="440"/>
        <v>0.71516719819632135</v>
      </c>
      <c r="AJ1274" s="27">
        <f t="shared" si="440"/>
        <v>0.7042849798503733</v>
      </c>
      <c r="AK1274" s="27">
        <f t="shared" si="440"/>
        <v>0.69285435734201717</v>
      </c>
      <c r="AL1274" s="27">
        <f t="shared" si="440"/>
        <v>0.68151486439772901</v>
      </c>
      <c r="AM1274" s="27">
        <f t="shared" si="440"/>
        <v>0.66992221780359518</v>
      </c>
      <c r="AN1274" s="27">
        <f t="shared" si="440"/>
        <v>0.67694652052998006</v>
      </c>
      <c r="AO1274" s="27">
        <f t="shared" si="440"/>
        <v>0.68366643070125543</v>
      </c>
      <c r="AP1274" s="27">
        <f t="shared" si="440"/>
        <v>0.69054640823850655</v>
      </c>
      <c r="AQ1274" s="27">
        <f t="shared" si="440"/>
        <v>0.6977068779705099</v>
      </c>
      <c r="AR1274" s="27">
        <f t="shared" si="440"/>
        <v>0.70519373533200547</v>
      </c>
      <c r="AS1274" s="27">
        <f t="shared" si="440"/>
        <v>0.71363185839753618</v>
      </c>
      <c r="AT1274" s="27">
        <f t="shared" si="440"/>
        <v>0.71900338934781116</v>
      </c>
      <c r="AU1274" s="27">
        <f t="shared" si="440"/>
        <v>0.72420213679859069</v>
      </c>
      <c r="AV1274" s="27">
        <f t="shared" si="440"/>
        <v>0.72956054296995998</v>
      </c>
      <c r="AW1274" s="27">
        <f t="shared" si="440"/>
        <v>0.73493758979431567</v>
      </c>
      <c r="AY1274" s="79"/>
      <c r="AZ1274" s="79"/>
    </row>
    <row r="1275" spans="1:52" x14ac:dyDescent="0.2">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5.0141199304605817E-2</v>
      </c>
      <c r="M1275" s="27">
        <f t="shared" si="441"/>
        <v>5.0536707115294892E-2</v>
      </c>
      <c r="N1275" s="27">
        <f t="shared" si="441"/>
        <v>5.0790863013925151E-2</v>
      </c>
      <c r="O1275" s="27">
        <f t="shared" si="441"/>
        <v>5.0959750770976343E-2</v>
      </c>
      <c r="P1275" s="27">
        <f t="shared" si="441"/>
        <v>5.1041708153806091E-2</v>
      </c>
      <c r="Q1275" s="27">
        <f t="shared" si="441"/>
        <v>5.122278251388987E-2</v>
      </c>
      <c r="R1275" s="27">
        <f t="shared" si="441"/>
        <v>5.1430505218981168E-2</v>
      </c>
      <c r="S1275" s="27">
        <f t="shared" si="441"/>
        <v>5.0022583942975041E-2</v>
      </c>
      <c r="T1275" s="27">
        <f t="shared" si="441"/>
        <v>4.9314300862351244E-2</v>
      </c>
      <c r="U1275" s="27">
        <f t="shared" si="441"/>
        <v>4.8473065019591047E-2</v>
      </c>
      <c r="V1275" s="27">
        <f t="shared" si="441"/>
        <v>4.7601737107812597E-2</v>
      </c>
      <c r="W1275" s="27">
        <f t="shared" si="441"/>
        <v>4.6788740455099204E-2</v>
      </c>
      <c r="X1275" s="27">
        <f t="shared" si="441"/>
        <v>4.5947468501638181E-2</v>
      </c>
      <c r="Y1275" s="27">
        <f t="shared" si="441"/>
        <v>4.5032180811434376E-2</v>
      </c>
      <c r="Z1275" s="27">
        <f t="shared" si="441"/>
        <v>4.4103380295355911E-2</v>
      </c>
      <c r="AA1275" s="27">
        <f t="shared" si="441"/>
        <v>4.315499717034145E-2</v>
      </c>
      <c r="AB1275" s="27">
        <f t="shared" si="441"/>
        <v>4.2291350514432835E-2</v>
      </c>
      <c r="AC1275" s="27">
        <f t="shared" si="441"/>
        <v>4.1418879436511652E-2</v>
      </c>
      <c r="AD1275" s="27">
        <f t="shared" si="441"/>
        <v>4.0844266949045603E-2</v>
      </c>
      <c r="AE1275" s="27">
        <f t="shared" si="441"/>
        <v>4.0334809160112353E-2</v>
      </c>
      <c r="AF1275" s="27">
        <f t="shared" si="441"/>
        <v>3.9847429695810219E-2</v>
      </c>
      <c r="AG1275" s="27">
        <f t="shared" si="441"/>
        <v>3.9422248035463889E-2</v>
      </c>
      <c r="AH1275" s="27">
        <f t="shared" si="441"/>
        <v>3.8863391628995464E-2</v>
      </c>
      <c r="AI1275" s="27">
        <f t="shared" si="441"/>
        <v>3.8257412715185873E-2</v>
      </c>
      <c r="AJ1275" s="27">
        <f t="shared" si="441"/>
        <v>3.7675275391819134E-2</v>
      </c>
      <c r="AK1275" s="27">
        <f t="shared" si="441"/>
        <v>3.7063801537877604E-2</v>
      </c>
      <c r="AL1275" s="27">
        <f t="shared" si="441"/>
        <v>3.6457202601790091E-2</v>
      </c>
      <c r="AM1275" s="27">
        <f t="shared" si="441"/>
        <v>3.58370613728137E-2</v>
      </c>
      <c r="AN1275" s="27">
        <f t="shared" si="441"/>
        <v>3.6212821962949067E-2</v>
      </c>
      <c r="AO1275" s="27">
        <f t="shared" si="441"/>
        <v>3.657229926766864E-2</v>
      </c>
      <c r="AP1275" s="27">
        <f t="shared" si="441"/>
        <v>3.6940339273946396E-2</v>
      </c>
      <c r="AQ1275" s="27">
        <f t="shared" si="441"/>
        <v>3.7323384031120302E-2</v>
      </c>
      <c r="AR1275" s="27">
        <f t="shared" si="441"/>
        <v>3.7723888686172789E-2</v>
      </c>
      <c r="AS1275" s="27">
        <f t="shared" si="441"/>
        <v>3.8175280692788451E-2</v>
      </c>
      <c r="AT1275" s="27">
        <f t="shared" si="441"/>
        <v>3.8462627311866247E-2</v>
      </c>
      <c r="AU1275" s="27">
        <f t="shared" si="441"/>
        <v>3.8740730987941029E-2</v>
      </c>
      <c r="AV1275" s="27">
        <f t="shared" si="441"/>
        <v>3.9027375505349939E-2</v>
      </c>
      <c r="AW1275" s="27">
        <f t="shared" si="441"/>
        <v>3.9315017192590458E-2</v>
      </c>
      <c r="AY1275" s="79"/>
      <c r="AZ1275" s="79"/>
    </row>
    <row r="1276" spans="1:52" x14ac:dyDescent="0.2">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0.3999997899835232</v>
      </c>
      <c r="L1276" s="27">
        <f t="shared" si="442"/>
        <v>0.39653071954810204</v>
      </c>
      <c r="M1276" s="27">
        <f t="shared" si="442"/>
        <v>0.39521014945095023</v>
      </c>
      <c r="N1276" s="27">
        <f t="shared" si="442"/>
        <v>0.38993263522397309</v>
      </c>
      <c r="O1276" s="27">
        <f t="shared" si="442"/>
        <v>0.38227219443770111</v>
      </c>
      <c r="P1276" s="27">
        <f t="shared" si="442"/>
        <v>0.37238723301511378</v>
      </c>
      <c r="Q1276" s="27">
        <f t="shared" si="442"/>
        <v>0.36459067483623875</v>
      </c>
      <c r="R1276" s="27">
        <f t="shared" si="442"/>
        <v>0.3572142444544395</v>
      </c>
      <c r="S1276" s="27">
        <f t="shared" si="442"/>
        <v>0.31703545795580812</v>
      </c>
      <c r="T1276" s="27">
        <f t="shared" si="442"/>
        <v>0.31490590347965447</v>
      </c>
      <c r="U1276" s="27">
        <f t="shared" si="442"/>
        <v>0.30988134475820062</v>
      </c>
      <c r="V1276" s="27">
        <f t="shared" si="442"/>
        <v>0.30409618158384444</v>
      </c>
      <c r="W1276" s="27">
        <f t="shared" si="442"/>
        <v>0.29928401866479459</v>
      </c>
      <c r="X1276" s="27">
        <f t="shared" si="442"/>
        <v>0.29379272604845807</v>
      </c>
      <c r="Y1276" s="27">
        <f t="shared" si="442"/>
        <v>0.28736676632462982</v>
      </c>
      <c r="Z1276" s="27">
        <f t="shared" si="442"/>
        <v>0.28059847151150819</v>
      </c>
      <c r="AA1276" s="27">
        <f t="shared" si="442"/>
        <v>0.27340567328019755</v>
      </c>
      <c r="AB1276" s="27">
        <f t="shared" si="442"/>
        <v>0.26766262674717828</v>
      </c>
      <c r="AC1276" s="27">
        <f t="shared" si="442"/>
        <v>0.26168612070290947</v>
      </c>
      <c r="AD1276" s="27">
        <f t="shared" si="442"/>
        <v>0.25581046613660308</v>
      </c>
      <c r="AE1276" s="27">
        <f t="shared" si="442"/>
        <v>0.25103612885392546</v>
      </c>
      <c r="AF1276" s="27">
        <f t="shared" si="442"/>
        <v>0.24659473874275628</v>
      </c>
      <c r="AG1276" s="27">
        <f t="shared" si="442"/>
        <v>0.24310536549640213</v>
      </c>
      <c r="AH1276" s="27">
        <f t="shared" si="442"/>
        <v>0.23746886794721664</v>
      </c>
      <c r="AI1276" s="27">
        <f t="shared" si="442"/>
        <v>0.23141320753849309</v>
      </c>
      <c r="AJ1276" s="27">
        <f t="shared" si="442"/>
        <v>0.22575530699235122</v>
      </c>
      <c r="AK1276" s="27">
        <f t="shared" si="442"/>
        <v>0.21970763555758283</v>
      </c>
      <c r="AL1276" s="27">
        <f t="shared" si="442"/>
        <v>0.21378625720833305</v>
      </c>
      <c r="AM1276" s="27">
        <f t="shared" si="442"/>
        <v>0.20773701064101743</v>
      </c>
      <c r="AN1276" s="27">
        <f t="shared" si="442"/>
        <v>0.2088812240104006</v>
      </c>
      <c r="AO1276" s="27">
        <f t="shared" si="442"/>
        <v>0.20962157274070703</v>
      </c>
      <c r="AP1276" s="27">
        <f t="shared" si="442"/>
        <v>0.21029568507313398</v>
      </c>
      <c r="AQ1276" s="27">
        <f t="shared" si="442"/>
        <v>0.21098199321036001</v>
      </c>
      <c r="AR1276" s="27">
        <f t="shared" si="442"/>
        <v>0.2117028613181513</v>
      </c>
      <c r="AS1276" s="27">
        <f t="shared" si="442"/>
        <v>0.21302758129704566</v>
      </c>
      <c r="AT1276" s="27">
        <f t="shared" si="442"/>
        <v>0.21219896503169616</v>
      </c>
      <c r="AU1276" s="27">
        <f t="shared" si="442"/>
        <v>0.21113666116796392</v>
      </c>
      <c r="AV1276" s="27">
        <f t="shared" si="442"/>
        <v>0.21005153194208159</v>
      </c>
      <c r="AW1276" s="27">
        <f t="shared" si="442"/>
        <v>0.20885644759644542</v>
      </c>
      <c r="AY1276" s="79"/>
      <c r="AZ1276" s="79"/>
    </row>
    <row r="1277" spans="1:52" x14ac:dyDescent="0.2">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2.6602988559851246</v>
      </c>
      <c r="L1277" s="27">
        <f t="shared" si="443"/>
        <v>2.6372269335947092</v>
      </c>
      <c r="M1277" s="27">
        <f t="shared" si="443"/>
        <v>2.6284441511866339</v>
      </c>
      <c r="N1277" s="27">
        <f t="shared" si="443"/>
        <v>2.5933447201068058</v>
      </c>
      <c r="O1277" s="27">
        <f t="shared" si="443"/>
        <v>2.5423970387070205</v>
      </c>
      <c r="P1277" s="27">
        <f t="shared" si="443"/>
        <v>2.4766546252796311</v>
      </c>
      <c r="Q1277" s="27">
        <f t="shared" si="443"/>
        <v>2.4248016610449818</v>
      </c>
      <c r="R1277" s="27">
        <f t="shared" si="443"/>
        <v>2.3757428620222045</v>
      </c>
      <c r="S1277" s="27">
        <f t="shared" si="443"/>
        <v>2.1085237723282266</v>
      </c>
      <c r="T1277" s="27">
        <f t="shared" si="443"/>
        <v>2.1488556149453371</v>
      </c>
      <c r="U1277" s="27">
        <f t="shared" si="443"/>
        <v>2.1704195095188212</v>
      </c>
      <c r="V1277" s="27">
        <f t="shared" si="443"/>
        <v>2.1870191961387908</v>
      </c>
      <c r="W1277" s="27">
        <f t="shared" si="443"/>
        <v>2.211036363910428</v>
      </c>
      <c r="X1277" s="27">
        <f t="shared" si="443"/>
        <v>2.2305275780922154</v>
      </c>
      <c r="Y1277" s="27">
        <f t="shared" si="443"/>
        <v>2.2430926983652055</v>
      </c>
      <c r="Z1277" s="27">
        <f t="shared" si="443"/>
        <v>2.252873704319335</v>
      </c>
      <c r="AA1277" s="27">
        <f t="shared" si="443"/>
        <v>2.2589357910058689</v>
      </c>
      <c r="AB1277" s="27">
        <f t="shared" si="443"/>
        <v>2.2768819502323812</v>
      </c>
      <c r="AC1277" s="27">
        <f t="shared" si="443"/>
        <v>2.2930291602362631</v>
      </c>
      <c r="AD1277" s="27">
        <f t="shared" si="443"/>
        <v>2.2938619728285596</v>
      </c>
      <c r="AE1277" s="27">
        <f t="shared" si="443"/>
        <v>2.3046791168231131</v>
      </c>
      <c r="AF1277" s="27">
        <f t="shared" si="443"/>
        <v>2.3189833691414923</v>
      </c>
      <c r="AG1277" s="27">
        <f t="shared" si="443"/>
        <v>2.3429987728619159</v>
      </c>
      <c r="AH1277" s="27">
        <f t="shared" si="443"/>
        <v>2.346834416236983</v>
      </c>
      <c r="AI1277" s="27">
        <f t="shared" si="443"/>
        <v>2.3464317847637033</v>
      </c>
      <c r="AJ1277" s="27">
        <f t="shared" si="443"/>
        <v>2.3499552969033255</v>
      </c>
      <c r="AK1277" s="27">
        <f t="shared" si="443"/>
        <v>2.3493049551651861</v>
      </c>
      <c r="AL1277" s="27">
        <f t="shared" si="443"/>
        <v>2.3498025458509408</v>
      </c>
      <c r="AM1277" s="27">
        <f t="shared" si="443"/>
        <v>2.3486732763039284</v>
      </c>
      <c r="AN1277" s="27">
        <f t="shared" si="443"/>
        <v>2.3655305139418807</v>
      </c>
      <c r="AO1277" s="27">
        <f t="shared" si="443"/>
        <v>2.3778625402713889</v>
      </c>
      <c r="AP1277" s="27">
        <f t="shared" si="443"/>
        <v>2.3894830399896865</v>
      </c>
      <c r="AQ1277" s="27">
        <f t="shared" si="443"/>
        <v>2.4012811237431047</v>
      </c>
      <c r="AR1277" s="27">
        <f t="shared" si="443"/>
        <v>2.413512643981452</v>
      </c>
      <c r="AS1277" s="27">
        <f t="shared" si="443"/>
        <v>2.4326808394906876</v>
      </c>
      <c r="AT1277" s="27">
        <f t="shared" si="443"/>
        <v>2.4272819379438721</v>
      </c>
      <c r="AU1277" s="27">
        <f t="shared" si="443"/>
        <v>2.4191873247929188</v>
      </c>
      <c r="AV1277" s="27">
        <f t="shared" si="443"/>
        <v>2.4108035010851898</v>
      </c>
      <c r="AW1277" s="27">
        <f t="shared" si="443"/>
        <v>2.4011273134389794</v>
      </c>
      <c r="AY1277" s="79"/>
      <c r="AZ1277" s="79"/>
    </row>
    <row r="1278" spans="1:52" x14ac:dyDescent="0.2">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0.34358078636628736</v>
      </c>
      <c r="L1278" s="27">
        <f t="shared" si="444"/>
        <v>0.35516571939691516</v>
      </c>
      <c r="M1278" s="27">
        <f t="shared" si="444"/>
        <v>0.36891582276573964</v>
      </c>
      <c r="N1278" s="27">
        <f t="shared" si="444"/>
        <v>0.37917034791782095</v>
      </c>
      <c r="O1278" s="27">
        <f t="shared" si="444"/>
        <v>0.38707850955818868</v>
      </c>
      <c r="P1278" s="27">
        <f t="shared" si="444"/>
        <v>0.39252728601928993</v>
      </c>
      <c r="Q1278" s="27">
        <f t="shared" si="444"/>
        <v>0.39996713645364929</v>
      </c>
      <c r="R1278" s="27">
        <f t="shared" si="444"/>
        <v>0.40776627193753145</v>
      </c>
      <c r="S1278" s="27">
        <f t="shared" si="444"/>
        <v>0.37652794837094722</v>
      </c>
      <c r="T1278" s="27">
        <f t="shared" si="444"/>
        <v>0.387154906481748</v>
      </c>
      <c r="U1278" s="27">
        <f t="shared" si="444"/>
        <v>0.39428037120155945</v>
      </c>
      <c r="V1278" s="27">
        <f t="shared" si="444"/>
        <v>0.40034120798899903</v>
      </c>
      <c r="W1278" s="27">
        <f t="shared" si="444"/>
        <v>0.40759395592278735</v>
      </c>
      <c r="X1278" s="27">
        <f t="shared" si="444"/>
        <v>0.41384315607077649</v>
      </c>
      <c r="Y1278" s="27">
        <f t="shared" si="444"/>
        <v>0.41861705552915451</v>
      </c>
      <c r="Z1278" s="27">
        <f t="shared" si="444"/>
        <v>0.42266384179252237</v>
      </c>
      <c r="AA1278" s="27">
        <f t="shared" si="444"/>
        <v>0.42579297814850564</v>
      </c>
      <c r="AB1278" s="27">
        <f t="shared" si="444"/>
        <v>0.4309422040292874</v>
      </c>
      <c r="AC1278" s="27">
        <f t="shared" si="444"/>
        <v>0.43553022604093206</v>
      </c>
      <c r="AD1278" s="27">
        <f t="shared" si="444"/>
        <v>0.44012553278841049</v>
      </c>
      <c r="AE1278" s="27">
        <f t="shared" si="444"/>
        <v>0.44652264471229969</v>
      </c>
      <c r="AF1278" s="27">
        <f t="shared" si="444"/>
        <v>0.45350009062427449</v>
      </c>
      <c r="AG1278" s="27">
        <f t="shared" si="444"/>
        <v>0.46229645807852354</v>
      </c>
      <c r="AH1278" s="27">
        <f t="shared" si="444"/>
        <v>0.46700341413604496</v>
      </c>
      <c r="AI1278" s="27">
        <f t="shared" si="444"/>
        <v>0.470709015676748</v>
      </c>
      <c r="AJ1278" s="27">
        <f t="shared" si="444"/>
        <v>0.47503517753645852</v>
      </c>
      <c r="AK1278" s="27">
        <f t="shared" si="444"/>
        <v>0.4783410625125234</v>
      </c>
      <c r="AL1278" s="27">
        <f t="shared" si="444"/>
        <v>0.4816895960539308</v>
      </c>
      <c r="AM1278" s="27">
        <f t="shared" si="444"/>
        <v>0.48450217230168086</v>
      </c>
      <c r="AN1278" s="27">
        <f t="shared" si="444"/>
        <v>0.50122614783823083</v>
      </c>
      <c r="AO1278" s="27">
        <f t="shared" si="444"/>
        <v>0.51756585567154001</v>
      </c>
      <c r="AP1278" s="27">
        <f t="shared" si="444"/>
        <v>0.53432263715206374</v>
      </c>
      <c r="AQ1278" s="27">
        <f t="shared" si="444"/>
        <v>0.55171629402233013</v>
      </c>
      <c r="AR1278" s="27">
        <f t="shared" si="444"/>
        <v>0.56984064702095716</v>
      </c>
      <c r="AS1278" s="27">
        <f t="shared" si="444"/>
        <v>0.59031438851484697</v>
      </c>
      <c r="AT1278" s="27">
        <f t="shared" si="444"/>
        <v>0.60545483802764988</v>
      </c>
      <c r="AU1278" s="27">
        <f t="shared" si="444"/>
        <v>0.62039585533329933</v>
      </c>
      <c r="AV1278" s="27">
        <f t="shared" si="444"/>
        <v>0.63573980106485251</v>
      </c>
      <c r="AW1278" s="27">
        <f t="shared" si="444"/>
        <v>0.6512342396680193</v>
      </c>
      <c r="AY1278" s="79"/>
      <c r="AZ1278" s="79"/>
    </row>
    <row r="1279" spans="1:52" x14ac:dyDescent="0.2">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5.9536061137450337E-2</v>
      </c>
      <c r="T1279" s="27">
        <f t="shared" si="445"/>
        <v>5.8583261955652222E-2</v>
      </c>
      <c r="U1279" s="27">
        <f t="shared" si="445"/>
        <v>5.7638684686828062E-2</v>
      </c>
      <c r="V1279" s="27">
        <f t="shared" si="445"/>
        <v>5.6702957735558536E-2</v>
      </c>
      <c r="W1279" s="27">
        <f t="shared" si="445"/>
        <v>5.5776615653283103E-2</v>
      </c>
      <c r="X1279" s="27">
        <f t="shared" si="445"/>
        <v>5.4856425795301034E-2</v>
      </c>
      <c r="Y1279" s="27">
        <f t="shared" si="445"/>
        <v>5.3881557628362733E-2</v>
      </c>
      <c r="Z1279" s="27">
        <f t="shared" si="445"/>
        <v>5.291251985372214E-2</v>
      </c>
      <c r="AA1279" s="27">
        <f t="shared" si="445"/>
        <v>5.1948175499473233E-2</v>
      </c>
      <c r="AB1279" s="27">
        <f t="shared" si="445"/>
        <v>5.0990048233110263E-2</v>
      </c>
      <c r="AC1279" s="27">
        <f t="shared" si="445"/>
        <v>5.0035139243699268E-2</v>
      </c>
      <c r="AD1279" s="27">
        <f t="shared" si="445"/>
        <v>4.904045115640062E-2</v>
      </c>
      <c r="AE1279" s="27">
        <f t="shared" si="445"/>
        <v>4.8050863210141785E-2</v>
      </c>
      <c r="AF1279" s="27">
        <f t="shared" si="445"/>
        <v>4.7064700844772579E-2</v>
      </c>
      <c r="AG1279" s="27">
        <f t="shared" si="445"/>
        <v>4.6082305118351152E-2</v>
      </c>
      <c r="AH1279" s="27">
        <f t="shared" si="445"/>
        <v>4.5098447476948453E-2</v>
      </c>
      <c r="AI1279" s="27">
        <f t="shared" si="445"/>
        <v>4.4078739439493649E-2</v>
      </c>
      <c r="AJ1279" s="27">
        <f t="shared" si="445"/>
        <v>4.3061731298331303E-2</v>
      </c>
      <c r="AK1279" s="27">
        <f t="shared" si="445"/>
        <v>4.2045687178776443E-2</v>
      </c>
      <c r="AL1279" s="27">
        <f t="shared" si="445"/>
        <v>4.1030982627923089E-2</v>
      </c>
      <c r="AM1279" s="27">
        <f t="shared" si="445"/>
        <v>4.0016761372088677E-2</v>
      </c>
      <c r="AN1279" s="27">
        <f t="shared" si="445"/>
        <v>4.0052424842482948E-2</v>
      </c>
      <c r="AO1279" s="27">
        <f t="shared" si="445"/>
        <v>4.0090785515976959E-2</v>
      </c>
      <c r="AP1279" s="27">
        <f t="shared" si="445"/>
        <v>4.0132333645491076E-2</v>
      </c>
      <c r="AQ1279" s="27">
        <f t="shared" si="445"/>
        <v>4.0177126587629307E-2</v>
      </c>
      <c r="AR1279" s="27">
        <f t="shared" si="445"/>
        <v>4.0225133029777524E-2</v>
      </c>
      <c r="AS1279" s="27">
        <f t="shared" si="445"/>
        <v>4.0246599117593145E-2</v>
      </c>
      <c r="AT1279" s="27">
        <f t="shared" si="445"/>
        <v>4.0266578922084691E-2</v>
      </c>
      <c r="AU1279" s="27">
        <f t="shared" si="445"/>
        <v>4.0288728566038892E-2</v>
      </c>
      <c r="AV1279" s="27">
        <f t="shared" si="445"/>
        <v>4.0313403086715514E-2</v>
      </c>
      <c r="AW1279" s="27">
        <f t="shared" si="445"/>
        <v>4.0340348477224161E-2</v>
      </c>
      <c r="AY1279" s="79"/>
      <c r="AZ1279" s="79"/>
    </row>
    <row r="1280" spans="1:52" x14ac:dyDescent="0.2">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4.8454260958953527E-2</v>
      </c>
      <c r="T1280" s="27">
        <f t="shared" si="446"/>
        <v>4.8528052865226608E-2</v>
      </c>
      <c r="U1280" s="27">
        <f t="shared" si="446"/>
        <v>4.8611455379029278E-2</v>
      </c>
      <c r="V1280" s="27">
        <f t="shared" si="446"/>
        <v>4.8705540788281515E-2</v>
      </c>
      <c r="W1280" s="27">
        <f t="shared" si="446"/>
        <v>4.8811379957736697E-2</v>
      </c>
      <c r="X1280" s="27">
        <f t="shared" si="446"/>
        <v>4.8926765916481318E-2</v>
      </c>
      <c r="Y1280" s="27">
        <f t="shared" si="446"/>
        <v>4.8996942710480308E-2</v>
      </c>
      <c r="Z1280" s="27">
        <f t="shared" si="446"/>
        <v>4.9075326153582635E-2</v>
      </c>
      <c r="AA1280" s="27">
        <f t="shared" si="446"/>
        <v>4.9161341255667866E-2</v>
      </c>
      <c r="AB1280" s="27">
        <f t="shared" si="446"/>
        <v>4.9256935459255795E-2</v>
      </c>
      <c r="AC1280" s="27">
        <f t="shared" si="446"/>
        <v>4.9359760010844099E-2</v>
      </c>
      <c r="AD1280" s="27">
        <f t="shared" si="446"/>
        <v>4.9426948749236969E-2</v>
      </c>
      <c r="AE1280" s="27">
        <f t="shared" si="446"/>
        <v>4.9502368408366512E-2</v>
      </c>
      <c r="AF1280" s="27">
        <f t="shared" si="446"/>
        <v>4.9584814145516069E-2</v>
      </c>
      <c r="AG1280" s="27">
        <f t="shared" si="446"/>
        <v>4.967514217789748E-2</v>
      </c>
      <c r="AH1280" s="27">
        <f t="shared" si="446"/>
        <v>4.9768143676120806E-2</v>
      </c>
      <c r="AI1280" s="27">
        <f t="shared" si="446"/>
        <v>4.9825141984396873E-2</v>
      </c>
      <c r="AJ1280" s="27">
        <f t="shared" si="446"/>
        <v>4.9888107964376358E-2</v>
      </c>
      <c r="AK1280" s="27">
        <f t="shared" si="446"/>
        <v>4.9955436560191149E-2</v>
      </c>
      <c r="AL1280" s="27">
        <f t="shared" si="446"/>
        <v>5.0027928792990776E-2</v>
      </c>
      <c r="AM1280" s="27">
        <f t="shared" si="446"/>
        <v>5.0104929586711242E-2</v>
      </c>
      <c r="AN1280" s="27">
        <f t="shared" si="446"/>
        <v>5.0149583766901075E-2</v>
      </c>
      <c r="AO1280" s="27">
        <f t="shared" si="446"/>
        <v>5.0197615111228118E-2</v>
      </c>
      <c r="AP1280" s="27">
        <f t="shared" si="446"/>
        <v>5.0249637464671662E-2</v>
      </c>
      <c r="AQ1280" s="27">
        <f t="shared" si="446"/>
        <v>5.0305722643353402E-2</v>
      </c>
      <c r="AR1280" s="27">
        <f t="shared" si="446"/>
        <v>5.0365831440794026E-2</v>
      </c>
      <c r="AS1280" s="27">
        <f t="shared" si="446"/>
        <v>5.0392709098596028E-2</v>
      </c>
      <c r="AT1280" s="27">
        <f t="shared" si="446"/>
        <v>5.0417725783177193E-2</v>
      </c>
      <c r="AU1280" s="27">
        <f t="shared" si="446"/>
        <v>5.0445459320641074E-2</v>
      </c>
      <c r="AV1280" s="27">
        <f t="shared" si="446"/>
        <v>5.0476354252632014E-2</v>
      </c>
      <c r="AW1280" s="27">
        <f t="shared" si="446"/>
        <v>5.0510092537486409E-2</v>
      </c>
      <c r="AY1280" s="79"/>
      <c r="AZ1280" s="79"/>
    </row>
    <row r="1281" spans="1:52" x14ac:dyDescent="0.2">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7.2140927380493743E-3</v>
      </c>
      <c r="L1281" s="27">
        <f t="shared" si="447"/>
        <v>7.2328458969643655E-3</v>
      </c>
      <c r="M1281" s="27">
        <f t="shared" si="447"/>
        <v>7.2587152169743185E-3</v>
      </c>
      <c r="N1281" s="27">
        <f t="shared" si="447"/>
        <v>7.2902308808567339E-3</v>
      </c>
      <c r="O1281" s="27">
        <f t="shared" si="447"/>
        <v>7.3273479389297461E-3</v>
      </c>
      <c r="P1281" s="27">
        <f t="shared" si="447"/>
        <v>7.3698404773103405E-3</v>
      </c>
      <c r="Q1281" s="27">
        <f t="shared" si="447"/>
        <v>7.4155715935563127E-3</v>
      </c>
      <c r="R1281" s="27">
        <f t="shared" si="447"/>
        <v>7.4643602602570466E-3</v>
      </c>
      <c r="S1281" s="27">
        <f t="shared" si="447"/>
        <v>7.5091824622274591E-3</v>
      </c>
      <c r="T1281" s="27">
        <f t="shared" si="447"/>
        <v>7.3992101110692838E-3</v>
      </c>
      <c r="U1281" s="27">
        <f t="shared" si="447"/>
        <v>7.2900497403413159E-3</v>
      </c>
      <c r="V1281" s="27">
        <f t="shared" si="447"/>
        <v>7.1818873784111788E-3</v>
      </c>
      <c r="W1281" s="27">
        <f t="shared" si="447"/>
        <v>7.0748813279419131E-3</v>
      </c>
      <c r="X1281" s="27">
        <f t="shared" si="447"/>
        <v>6.9684685273137216E-3</v>
      </c>
      <c r="Y1281" s="27">
        <f t="shared" si="447"/>
        <v>6.8512084960405213E-3</v>
      </c>
      <c r="Z1281" s="27">
        <f t="shared" si="447"/>
        <v>6.7346206255550906E-3</v>
      </c>
      <c r="AA1281" s="27">
        <f t="shared" si="447"/>
        <v>6.6185262248360582E-3</v>
      </c>
      <c r="AB1281" s="27">
        <f t="shared" si="447"/>
        <v>6.5032435553053266E-3</v>
      </c>
      <c r="AC1281" s="27">
        <f t="shared" si="447"/>
        <v>6.3882383015886248E-3</v>
      </c>
      <c r="AD1281" s="27">
        <f t="shared" si="447"/>
        <v>6.2655055258477761E-3</v>
      </c>
      <c r="AE1281" s="27">
        <f t="shared" si="447"/>
        <v>6.1434859702708573E-3</v>
      </c>
      <c r="AF1281" s="27">
        <f t="shared" si="447"/>
        <v>6.0218872900626233E-3</v>
      </c>
      <c r="AG1281" s="27">
        <f t="shared" si="447"/>
        <v>5.9007918506385829E-3</v>
      </c>
      <c r="AH1281" s="27">
        <f t="shared" si="447"/>
        <v>5.7792474179244827E-3</v>
      </c>
      <c r="AI1281" s="27">
        <f t="shared" si="447"/>
        <v>5.6509133880484376E-3</v>
      </c>
      <c r="AJ1281" s="27">
        <f t="shared" si="447"/>
        <v>5.5229623318769324E-3</v>
      </c>
      <c r="AK1281" s="27">
        <f t="shared" si="447"/>
        <v>5.3950870274720435E-3</v>
      </c>
      <c r="AL1281" s="27">
        <f t="shared" si="447"/>
        <v>5.2673698372179183E-3</v>
      </c>
      <c r="AM1281" s="27">
        <f t="shared" si="447"/>
        <v>5.1396653274064933E-3</v>
      </c>
      <c r="AN1281" s="27">
        <f t="shared" si="447"/>
        <v>5.1452062683675377E-3</v>
      </c>
      <c r="AO1281" s="27">
        <f t="shared" si="447"/>
        <v>5.1511478446493219E-3</v>
      </c>
      <c r="AP1281" s="27">
        <f t="shared" si="447"/>
        <v>5.157581714633418E-3</v>
      </c>
      <c r="AQ1281" s="27">
        <f t="shared" si="447"/>
        <v>5.1645197285120929E-3</v>
      </c>
      <c r="AR1281" s="27">
        <f t="shared" si="447"/>
        <v>5.1719573058238086E-3</v>
      </c>
      <c r="AS1281" s="27">
        <f t="shared" si="447"/>
        <v>5.1744873941940292E-3</v>
      </c>
      <c r="AT1281" s="27">
        <f t="shared" si="447"/>
        <v>5.1766836248620714E-3</v>
      </c>
      <c r="AU1281" s="27">
        <f t="shared" si="447"/>
        <v>5.1792127657218617E-3</v>
      </c>
      <c r="AV1281" s="27">
        <f t="shared" si="447"/>
        <v>5.1821400218727198E-3</v>
      </c>
      <c r="AW1281" s="27">
        <f t="shared" si="447"/>
        <v>5.1854200669924581E-3</v>
      </c>
      <c r="AY1281" s="79"/>
      <c r="AZ1281" s="79"/>
    </row>
    <row r="1282" spans="1:52" x14ac:dyDescent="0.2">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8.7045671471293523E-2</v>
      </c>
      <c r="L1282" s="27">
        <f t="shared" si="448"/>
        <v>8.7271948200639354E-2</v>
      </c>
      <c r="M1282" s="27">
        <f t="shared" si="448"/>
        <v>8.7584088952434122E-2</v>
      </c>
      <c r="N1282" s="27">
        <f t="shared" si="448"/>
        <v>8.7964358824768801E-2</v>
      </c>
      <c r="O1282" s="27">
        <f t="shared" si="448"/>
        <v>8.8412215452112072E-2</v>
      </c>
      <c r="P1282" s="27">
        <f t="shared" si="448"/>
        <v>8.8924932944132923E-2</v>
      </c>
      <c r="Q1282" s="27">
        <f t="shared" si="448"/>
        <v>8.9476727309038565E-2</v>
      </c>
      <c r="R1282" s="27">
        <f t="shared" si="448"/>
        <v>9.0065414259340087E-2</v>
      </c>
      <c r="S1282" s="27">
        <f t="shared" si="448"/>
        <v>9.0606241610610233E-2</v>
      </c>
      <c r="T1282" s="27">
        <f t="shared" si="448"/>
        <v>9.0869525383745986E-2</v>
      </c>
      <c r="U1282" s="27">
        <f t="shared" si="448"/>
        <v>9.1152511059637925E-2</v>
      </c>
      <c r="V1282" s="27">
        <f t="shared" si="448"/>
        <v>9.14586593023788E-2</v>
      </c>
      <c r="W1282" s="27">
        <f t="shared" si="448"/>
        <v>9.1791331535726078E-2</v>
      </c>
      <c r="X1282" s="27">
        <f t="shared" si="448"/>
        <v>9.2144608389332791E-2</v>
      </c>
      <c r="Y1282" s="27">
        <f t="shared" si="448"/>
        <v>9.2365462182182861E-2</v>
      </c>
      <c r="Z1282" s="27">
        <f t="shared" si="448"/>
        <v>9.2604367501801177E-2</v>
      </c>
      <c r="AA1282" s="27">
        <f t="shared" si="448"/>
        <v>9.2859919241999239E-2</v>
      </c>
      <c r="AB1282" s="27">
        <f t="shared" si="448"/>
        <v>9.3137712771680009E-2</v>
      </c>
      <c r="AC1282" s="27">
        <f t="shared" si="448"/>
        <v>9.3431348833759018E-2</v>
      </c>
      <c r="AD1282" s="27">
        <f t="shared" si="448"/>
        <v>9.3622243747156081E-2</v>
      </c>
      <c r="AE1282" s="27">
        <f t="shared" si="448"/>
        <v>9.3832489393249188E-2</v>
      </c>
      <c r="AF1282" s="27">
        <f t="shared" si="448"/>
        <v>9.4058834592495047E-2</v>
      </c>
      <c r="AG1282" s="27">
        <f t="shared" si="448"/>
        <v>9.4303715176067421E-2</v>
      </c>
      <c r="AH1282" s="27">
        <f t="shared" si="448"/>
        <v>9.4552871340274972E-2</v>
      </c>
      <c r="AI1282" s="27">
        <f t="shared" si="448"/>
        <v>9.4700356369914307E-2</v>
      </c>
      <c r="AJ1282" s="27">
        <f t="shared" si="448"/>
        <v>9.4861767320555526E-2</v>
      </c>
      <c r="AK1282" s="27">
        <f t="shared" si="448"/>
        <v>9.5032759889573118E-2</v>
      </c>
      <c r="AL1282" s="27">
        <f t="shared" si="448"/>
        <v>9.5215576510501124E-2</v>
      </c>
      <c r="AM1282" s="27">
        <f t="shared" si="448"/>
        <v>9.5408472492517202E-2</v>
      </c>
      <c r="AN1282" s="27">
        <f t="shared" si="448"/>
        <v>9.5511329912132736E-2</v>
      </c>
      <c r="AO1282" s="27">
        <f t="shared" si="448"/>
        <v>9.5621624392635218E-2</v>
      </c>
      <c r="AP1282" s="27">
        <f t="shared" si="448"/>
        <v>9.5741057403988084E-2</v>
      </c>
      <c r="AQ1282" s="27">
        <f t="shared" si="448"/>
        <v>9.5869848923304843E-2</v>
      </c>
      <c r="AR1282" s="27">
        <f t="shared" si="448"/>
        <v>9.6007913922706994E-2</v>
      </c>
      <c r="AS1282" s="27">
        <f t="shared" si="448"/>
        <v>9.6054880378944288E-2</v>
      </c>
      <c r="AT1282" s="27">
        <f t="shared" si="448"/>
        <v>9.6095649378466819E-2</v>
      </c>
      <c r="AU1282" s="27">
        <f t="shared" si="448"/>
        <v>9.6142598245908498E-2</v>
      </c>
      <c r="AV1282" s="27">
        <f t="shared" si="448"/>
        <v>9.6196937394502191E-2</v>
      </c>
      <c r="AW1282" s="27">
        <f t="shared" si="448"/>
        <v>9.6257825424100524E-2</v>
      </c>
      <c r="AY1282" s="79"/>
      <c r="AZ1282" s="79"/>
    </row>
    <row r="1283" spans="1:52" x14ac:dyDescent="0.2">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2">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2">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0.12395129293471778</v>
      </c>
      <c r="M1285" s="27">
        <f t="shared" si="451"/>
        <v>0.12400689511310996</v>
      </c>
      <c r="N1285" s="27">
        <f t="shared" si="451"/>
        <v>0.12286841678965586</v>
      </c>
      <c r="O1285" s="27">
        <f t="shared" si="451"/>
        <v>0.12100901910045005</v>
      </c>
      <c r="P1285" s="27">
        <f t="shared" si="451"/>
        <v>0.11845842648899832</v>
      </c>
      <c r="Q1285" s="27">
        <f t="shared" si="451"/>
        <v>0.11660641339960408</v>
      </c>
      <c r="R1285" s="27">
        <f t="shared" si="451"/>
        <v>0.11491827863139022</v>
      </c>
      <c r="S1285" s="27">
        <f t="shared" si="451"/>
        <v>0.10239148734853588</v>
      </c>
      <c r="T1285" s="27">
        <f t="shared" si="451"/>
        <v>0.10217032238599515</v>
      </c>
      <c r="U1285" s="27">
        <f t="shared" si="451"/>
        <v>0.10100569763942154</v>
      </c>
      <c r="V1285" s="27">
        <f t="shared" si="451"/>
        <v>9.9597663158470628E-2</v>
      </c>
      <c r="W1285" s="27">
        <f t="shared" si="451"/>
        <v>9.8528148114885306E-2</v>
      </c>
      <c r="X1285" s="27">
        <f t="shared" si="451"/>
        <v>9.7236847657770062E-2</v>
      </c>
      <c r="Y1285" s="27">
        <f t="shared" si="451"/>
        <v>9.5661540142703783E-2</v>
      </c>
      <c r="Z1285" s="27">
        <f t="shared" si="451"/>
        <v>9.3964975151397706E-2</v>
      </c>
      <c r="AA1285" s="27">
        <f t="shared" si="451"/>
        <v>9.2114150687305996E-2</v>
      </c>
      <c r="AB1285" s="27">
        <f t="shared" si="451"/>
        <v>9.0763755208828595E-2</v>
      </c>
      <c r="AC1285" s="27">
        <f t="shared" si="451"/>
        <v>8.9326675506915559E-2</v>
      </c>
      <c r="AD1285" s="27">
        <f t="shared" si="451"/>
        <v>8.8063095536527122E-2</v>
      </c>
      <c r="AE1285" s="27">
        <f t="shared" si="451"/>
        <v>8.7197763402313666E-2</v>
      </c>
      <c r="AF1285" s="27">
        <f t="shared" si="451"/>
        <v>8.646070047060371E-2</v>
      </c>
      <c r="AG1285" s="27">
        <f t="shared" si="451"/>
        <v>8.6082707020518831E-2</v>
      </c>
      <c r="AH1285" s="27">
        <f t="shared" si="451"/>
        <v>8.4920944424705172E-2</v>
      </c>
      <c r="AI1285" s="27">
        <f t="shared" si="451"/>
        <v>8.3616602200085183E-2</v>
      </c>
      <c r="AJ1285" s="27">
        <f t="shared" si="451"/>
        <v>8.2455730109344039E-2</v>
      </c>
      <c r="AK1285" s="27">
        <f t="shared" si="451"/>
        <v>8.1139453062396671E-2</v>
      </c>
      <c r="AL1285" s="27">
        <f t="shared" si="451"/>
        <v>7.9862038020699189E-2</v>
      </c>
      <c r="AM1285" s="27">
        <f t="shared" si="451"/>
        <v>7.8523872489169699E-2</v>
      </c>
      <c r="AN1285" s="27">
        <f t="shared" si="451"/>
        <v>7.9541157936664816E-2</v>
      </c>
      <c r="AO1285" s="27">
        <f t="shared" si="451"/>
        <v>8.0424534617872523E-2</v>
      </c>
      <c r="AP1285" s="27">
        <f t="shared" si="451"/>
        <v>8.1307126234740276E-2</v>
      </c>
      <c r="AQ1285" s="27">
        <f t="shared" si="451"/>
        <v>8.22210637923423E-2</v>
      </c>
      <c r="AR1285" s="27">
        <f t="shared" si="451"/>
        <v>8.3176620840238386E-2</v>
      </c>
      <c r="AS1285" s="27">
        <f t="shared" si="451"/>
        <v>8.4421900085442633E-2</v>
      </c>
      <c r="AT1285" s="27">
        <f t="shared" si="451"/>
        <v>8.4807552525315119E-2</v>
      </c>
      <c r="AU1285" s="27">
        <f t="shared" si="451"/>
        <v>8.5115578813613341E-2</v>
      </c>
      <c r="AV1285" s="27">
        <f t="shared" si="451"/>
        <v>8.543324315976053E-2</v>
      </c>
      <c r="AW1285" s="27">
        <f t="shared" si="451"/>
        <v>8.5723973454732719E-2</v>
      </c>
      <c r="AY1285" s="79"/>
      <c r="AZ1285" s="79"/>
    </row>
    <row r="1286" spans="1:52" x14ac:dyDescent="0.2">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3.1446916354757506E-2</v>
      </c>
      <c r="M1286" s="27">
        <f t="shared" si="452"/>
        <v>3.1461022839745632E-2</v>
      </c>
      <c r="N1286" s="27">
        <f t="shared" si="452"/>
        <v>3.1172186541537576E-2</v>
      </c>
      <c r="O1286" s="27">
        <f t="shared" si="452"/>
        <v>3.0700450247237842E-2</v>
      </c>
      <c r="P1286" s="27">
        <f t="shared" si="452"/>
        <v>3.0053355161673644E-2</v>
      </c>
      <c r="Q1286" s="27">
        <f t="shared" si="452"/>
        <v>2.9583492368545926E-2</v>
      </c>
      <c r="R1286" s="27">
        <f t="shared" si="452"/>
        <v>2.9155206131309681E-2</v>
      </c>
      <c r="S1286" s="27">
        <f t="shared" si="452"/>
        <v>2.5977111346345238E-2</v>
      </c>
      <c r="T1286" s="27">
        <f t="shared" si="452"/>
        <v>2.6382698168730914E-2</v>
      </c>
      <c r="U1286" s="27">
        <f t="shared" si="452"/>
        <v>2.6554954616765158E-2</v>
      </c>
      <c r="V1286" s="27">
        <f t="shared" si="452"/>
        <v>2.6668398396252971E-2</v>
      </c>
      <c r="W1286" s="27">
        <f t="shared" si="452"/>
        <v>2.6878459601824591E-2</v>
      </c>
      <c r="X1286" s="27">
        <f t="shared" si="452"/>
        <v>2.7034914600100463E-2</v>
      </c>
      <c r="Y1286" s="27">
        <f t="shared" si="452"/>
        <v>2.7116981050655197E-2</v>
      </c>
      <c r="Z1286" s="27">
        <f t="shared" si="452"/>
        <v>2.7167262704625481E-2</v>
      </c>
      <c r="AA1286" s="27">
        <f t="shared" si="452"/>
        <v>2.7174083475534235E-2</v>
      </c>
      <c r="AB1286" s="27">
        <f t="shared" si="452"/>
        <v>2.7331882847793948E-2</v>
      </c>
      <c r="AC1286" s="27">
        <f t="shared" si="452"/>
        <v>2.7469719625531634E-2</v>
      </c>
      <c r="AD1286" s="27">
        <f t="shared" si="452"/>
        <v>2.7668041643712917E-2</v>
      </c>
      <c r="AE1286" s="27">
        <f t="shared" si="452"/>
        <v>2.8003045013131105E-2</v>
      </c>
      <c r="AF1286" s="27">
        <f t="shared" si="452"/>
        <v>2.8395352595404884E-2</v>
      </c>
      <c r="AG1286" s="27">
        <f t="shared" si="452"/>
        <v>2.8926505295637978E-2</v>
      </c>
      <c r="AH1286" s="27">
        <f t="shared" si="452"/>
        <v>2.9213244598216302E-2</v>
      </c>
      <c r="AI1286" s="27">
        <f t="shared" si="452"/>
        <v>2.9463682344250404E-2</v>
      </c>
      <c r="AJ1286" s="27">
        <f t="shared" si="452"/>
        <v>2.9778410826157509E-2</v>
      </c>
      <c r="AK1286" s="27">
        <f t="shared" si="452"/>
        <v>3.0051662908103689E-2</v>
      </c>
      <c r="AL1286" s="27">
        <f t="shared" si="452"/>
        <v>3.0354013509905672E-2</v>
      </c>
      <c r="AM1286" s="27">
        <f t="shared" si="452"/>
        <v>3.0648932788327074E-2</v>
      </c>
      <c r="AN1286" s="27">
        <f t="shared" si="452"/>
        <v>3.1045993100286617E-2</v>
      </c>
      <c r="AO1286" s="27">
        <f t="shared" si="452"/>
        <v>3.1390787003985711E-2</v>
      </c>
      <c r="AP1286" s="27">
        <f t="shared" si="452"/>
        <v>3.1735274486421723E-2</v>
      </c>
      <c r="AQ1286" s="27">
        <f t="shared" si="452"/>
        <v>3.2091996714805643E-2</v>
      </c>
      <c r="AR1286" s="27">
        <f t="shared" si="452"/>
        <v>3.2464963594914874E-2</v>
      </c>
      <c r="AS1286" s="27">
        <f t="shared" si="452"/>
        <v>3.2951012979377248E-2</v>
      </c>
      <c r="AT1286" s="27">
        <f t="shared" si="452"/>
        <v>3.3101538358916271E-2</v>
      </c>
      <c r="AU1286" s="27">
        <f t="shared" si="452"/>
        <v>3.3221765198319694E-2</v>
      </c>
      <c r="AV1286" s="27">
        <f t="shared" si="452"/>
        <v>3.3345753902463859E-2</v>
      </c>
      <c r="AW1286" s="27">
        <f t="shared" si="452"/>
        <v>3.3459229881012437E-2</v>
      </c>
      <c r="AY1286" s="79"/>
      <c r="AZ1286" s="79"/>
    </row>
    <row r="1287" spans="1:52" x14ac:dyDescent="0.2">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0.15700744358616764</v>
      </c>
      <c r="L1287" s="27">
        <f t="shared" si="453"/>
        <v>0.16019971617730661</v>
      </c>
      <c r="M1287" s="27">
        <f t="shared" si="453"/>
        <v>0.16393118028621728</v>
      </c>
      <c r="N1287" s="27">
        <f t="shared" si="453"/>
        <v>0.1667959170810015</v>
      </c>
      <c r="O1287" s="27">
        <f t="shared" si="453"/>
        <v>0.16909558154641688</v>
      </c>
      <c r="P1287" s="27">
        <f t="shared" si="453"/>
        <v>0.1708164974258628</v>
      </c>
      <c r="Q1287" s="27">
        <f t="shared" si="453"/>
        <v>0.17302318661183388</v>
      </c>
      <c r="R1287" s="27">
        <f t="shared" si="453"/>
        <v>0.17531753251219051</v>
      </c>
      <c r="S1287" s="27">
        <f t="shared" si="453"/>
        <v>0.16830476873000083</v>
      </c>
      <c r="T1287" s="27">
        <f t="shared" si="453"/>
        <v>0.16974526066200227</v>
      </c>
      <c r="U1287" s="27">
        <f t="shared" si="453"/>
        <v>0.17031616064478675</v>
      </c>
      <c r="V1287" s="27">
        <f t="shared" si="453"/>
        <v>0.17060234841003352</v>
      </c>
      <c r="W1287" s="27">
        <f t="shared" si="453"/>
        <v>0.17113414788392586</v>
      </c>
      <c r="X1287" s="27">
        <f t="shared" si="453"/>
        <v>0.17139726080309617</v>
      </c>
      <c r="Y1287" s="27">
        <f t="shared" si="453"/>
        <v>0.17117785641484295</v>
      </c>
      <c r="Z1287" s="27">
        <f t="shared" si="453"/>
        <v>0.17076333151272169</v>
      </c>
      <c r="AA1287" s="27">
        <f t="shared" si="453"/>
        <v>0.17011265284548949</v>
      </c>
      <c r="AB1287" s="27">
        <f t="shared" si="453"/>
        <v>0.16989614823146446</v>
      </c>
      <c r="AC1287" s="27">
        <f t="shared" si="453"/>
        <v>0.16952304648462901</v>
      </c>
      <c r="AD1287" s="27">
        <f t="shared" si="453"/>
        <v>0.16916474933229905</v>
      </c>
      <c r="AE1287" s="27">
        <f t="shared" si="453"/>
        <v>0.1691872396385648</v>
      </c>
      <c r="AF1287" s="27">
        <f t="shared" si="453"/>
        <v>0.16931285664509191</v>
      </c>
      <c r="AG1287" s="27">
        <f t="shared" si="453"/>
        <v>0.16981505272881314</v>
      </c>
      <c r="AH1287" s="27">
        <f t="shared" si="453"/>
        <v>0.16938144449705805</v>
      </c>
      <c r="AI1287" s="27">
        <f t="shared" si="453"/>
        <v>0.16863389837086817</v>
      </c>
      <c r="AJ1287" s="27">
        <f t="shared" si="453"/>
        <v>0.16800271878100034</v>
      </c>
      <c r="AK1287" s="27">
        <f t="shared" si="453"/>
        <v>0.16712740474305221</v>
      </c>
      <c r="AL1287" s="27">
        <f t="shared" si="453"/>
        <v>0.16624190725881247</v>
      </c>
      <c r="AM1287" s="27">
        <f t="shared" si="453"/>
        <v>0.16522044616041054</v>
      </c>
      <c r="AN1287" s="27">
        <f t="shared" si="453"/>
        <v>0.16889030857196918</v>
      </c>
      <c r="AO1287" s="27">
        <f t="shared" si="453"/>
        <v>0.17246207979099293</v>
      </c>
      <c r="AP1287" s="27">
        <f t="shared" si="453"/>
        <v>0.17610903365598102</v>
      </c>
      <c r="AQ1287" s="27">
        <f t="shared" si="453"/>
        <v>0.17987781949455214</v>
      </c>
      <c r="AR1287" s="27">
        <f t="shared" si="453"/>
        <v>0.18378763557277536</v>
      </c>
      <c r="AS1287" s="27">
        <f t="shared" si="453"/>
        <v>0.18812172153459661</v>
      </c>
      <c r="AT1287" s="27">
        <f t="shared" si="453"/>
        <v>0.19130129119337999</v>
      </c>
      <c r="AU1287" s="27">
        <f t="shared" si="453"/>
        <v>0.19442557261118998</v>
      </c>
      <c r="AV1287" s="27">
        <f t="shared" si="453"/>
        <v>0.19762263532170377</v>
      </c>
      <c r="AW1287" s="27">
        <f t="shared" si="453"/>
        <v>0.20083865196532052</v>
      </c>
      <c r="AY1287" s="79"/>
      <c r="AZ1287" s="79"/>
    </row>
    <row r="1288" spans="1:52" x14ac:dyDescent="0.2">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0.78620275218739033</v>
      </c>
      <c r="L1288" s="27">
        <f t="shared" si="454"/>
        <v>0.7965556372017637</v>
      </c>
      <c r="M1288" s="27">
        <f t="shared" si="454"/>
        <v>0.8131853402467214</v>
      </c>
      <c r="N1288" s="27">
        <f t="shared" si="454"/>
        <v>0.81796021384654038</v>
      </c>
      <c r="O1288" s="27">
        <f t="shared" si="454"/>
        <v>0.81503229757580642</v>
      </c>
      <c r="P1288" s="27">
        <f t="shared" si="454"/>
        <v>0.80443274266431908</v>
      </c>
      <c r="Q1288" s="27">
        <f t="shared" si="454"/>
        <v>0.79997057217510736</v>
      </c>
      <c r="R1288" s="27">
        <f t="shared" si="454"/>
        <v>0.79652072541357799</v>
      </c>
      <c r="S1288" s="27">
        <f t="shared" si="454"/>
        <v>0.68093953459407419</v>
      </c>
      <c r="T1288" s="27">
        <f t="shared" si="454"/>
        <v>0.69851051433226652</v>
      </c>
      <c r="U1288" s="27">
        <f t="shared" si="454"/>
        <v>0.70602731045643874</v>
      </c>
      <c r="V1288" s="27">
        <f t="shared" si="454"/>
        <v>0.71061520301365177</v>
      </c>
      <c r="W1288" s="27">
        <f t="shared" si="454"/>
        <v>0.7185078698151558</v>
      </c>
      <c r="X1288" s="27">
        <f t="shared" si="454"/>
        <v>0.72370566918120471</v>
      </c>
      <c r="Y1288" s="27">
        <f t="shared" si="454"/>
        <v>0.72603090148832972</v>
      </c>
      <c r="Z1288" s="27">
        <f t="shared" si="454"/>
        <v>0.72659622002097601</v>
      </c>
      <c r="AA1288" s="27">
        <f t="shared" si="454"/>
        <v>0.72498293953851545</v>
      </c>
      <c r="AB1288" s="27">
        <f t="shared" si="454"/>
        <v>0.72871383419110125</v>
      </c>
      <c r="AC1288" s="27">
        <f t="shared" si="454"/>
        <v>0.7311338969095299</v>
      </c>
      <c r="AD1288" s="27">
        <f t="shared" si="454"/>
        <v>0.73573009800865086</v>
      </c>
      <c r="AE1288" s="27">
        <f t="shared" si="454"/>
        <v>0.74484892150837534</v>
      </c>
      <c r="AF1288" s="27">
        <f t="shared" si="454"/>
        <v>0.75539137425956238</v>
      </c>
      <c r="AG1288" s="27">
        <f t="shared" si="454"/>
        <v>0.77027345534761871</v>
      </c>
      <c r="AH1288" s="27">
        <f t="shared" si="454"/>
        <v>0.77539133806704752</v>
      </c>
      <c r="AI1288" s="27">
        <f t="shared" si="454"/>
        <v>0.77885037519504385</v>
      </c>
      <c r="AJ1288" s="27">
        <f t="shared" si="454"/>
        <v>0.78388169876716873</v>
      </c>
      <c r="AK1288" s="27">
        <f t="shared" si="454"/>
        <v>0.78667962347423814</v>
      </c>
      <c r="AL1288" s="27">
        <f t="shared" si="454"/>
        <v>0.78972438188248195</v>
      </c>
      <c r="AM1288" s="27">
        <f t="shared" si="454"/>
        <v>0.79171150933613588</v>
      </c>
      <c r="AN1288" s="27">
        <f t="shared" si="454"/>
        <v>0.81864271604912442</v>
      </c>
      <c r="AO1288" s="27">
        <f t="shared" si="454"/>
        <v>0.84426714906852307</v>
      </c>
      <c r="AP1288" s="27">
        <f t="shared" si="454"/>
        <v>0.87037229255788284</v>
      </c>
      <c r="AQ1288" s="27">
        <f t="shared" si="454"/>
        <v>0.89742397843252186</v>
      </c>
      <c r="AR1288" s="27">
        <f t="shared" si="454"/>
        <v>0.9256016280636612</v>
      </c>
      <c r="AS1288" s="27">
        <f t="shared" si="454"/>
        <v>0.95880569128850734</v>
      </c>
      <c r="AT1288" s="27">
        <f t="shared" si="454"/>
        <v>0.98018975113449081</v>
      </c>
      <c r="AU1288" s="27">
        <f t="shared" si="454"/>
        <v>1.0008197515127342</v>
      </c>
      <c r="AV1288" s="27">
        <f t="shared" si="454"/>
        <v>1.0219689908065575</v>
      </c>
      <c r="AW1288" s="27">
        <f t="shared" si="454"/>
        <v>1.04310362592711</v>
      </c>
      <c r="AY1288" s="79"/>
      <c r="AZ1288" s="79"/>
    </row>
    <row r="1289" spans="1:52" x14ac:dyDescent="0.2">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2">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1.0836040032789309</v>
      </c>
      <c r="M1290" s="27">
        <f t="shared" si="456"/>
        <v>1.0921513426512339</v>
      </c>
      <c r="N1290" s="27">
        <f t="shared" si="456"/>
        <v>1.0976439186771809</v>
      </c>
      <c r="O1290" s="27">
        <f t="shared" si="456"/>
        <v>1.1012937605673541</v>
      </c>
      <c r="P1290" s="27">
        <f t="shared" si="456"/>
        <v>1.1030649457277464</v>
      </c>
      <c r="Q1290" s="27">
        <f t="shared" si="456"/>
        <v>1.1069781529146336</v>
      </c>
      <c r="R1290" s="27">
        <f t="shared" si="456"/>
        <v>1.1114672588381171</v>
      </c>
      <c r="S1290" s="27">
        <f t="shared" si="456"/>
        <v>1.0810406006779549</v>
      </c>
      <c r="T1290" s="27">
        <f t="shared" si="456"/>
        <v>1.0934641088719885</v>
      </c>
      <c r="U1290" s="27">
        <f t="shared" si="456"/>
        <v>1.1031992381450169</v>
      </c>
      <c r="V1290" s="27">
        <f t="shared" si="456"/>
        <v>1.1124222034300566</v>
      </c>
      <c r="W1290" s="27">
        <f t="shared" si="456"/>
        <v>1.123204750861388</v>
      </c>
      <c r="X1290" s="27">
        <f t="shared" si="456"/>
        <v>1.1335309064238068</v>
      </c>
      <c r="Y1290" s="27">
        <f t="shared" si="456"/>
        <v>1.1421913822066523</v>
      </c>
      <c r="Z1290" s="27">
        <f t="shared" si="456"/>
        <v>1.1506113165744176</v>
      </c>
      <c r="AA1290" s="27">
        <f t="shared" si="456"/>
        <v>1.1585977369609775</v>
      </c>
      <c r="AB1290" s="27">
        <f t="shared" si="456"/>
        <v>1.1689866502425044</v>
      </c>
      <c r="AC1290" s="27">
        <f t="shared" si="456"/>
        <v>1.179322142127879</v>
      </c>
      <c r="AD1290" s="27">
        <f t="shared" si="456"/>
        <v>1.1901050491082561</v>
      </c>
      <c r="AE1290" s="27">
        <f t="shared" si="456"/>
        <v>1.2032599534885204</v>
      </c>
      <c r="AF1290" s="27">
        <f t="shared" si="456"/>
        <v>1.2176412709045177</v>
      </c>
      <c r="AG1290" s="27">
        <f t="shared" si="456"/>
        <v>1.2345938865918005</v>
      </c>
      <c r="AH1290" s="27">
        <f t="shared" si="456"/>
        <v>1.2480204008779516</v>
      </c>
      <c r="AI1290" s="27">
        <f t="shared" si="456"/>
        <v>1.2604934871451285</v>
      </c>
      <c r="AJ1290" s="27">
        <f t="shared" si="456"/>
        <v>1.2743340482246315</v>
      </c>
      <c r="AK1290" s="27">
        <f t="shared" si="456"/>
        <v>1.2878029781490608</v>
      </c>
      <c r="AL1290" s="27">
        <f t="shared" si="456"/>
        <v>1.302087430895273</v>
      </c>
      <c r="AM1290" s="27">
        <f t="shared" si="456"/>
        <v>1.3165772246053524</v>
      </c>
      <c r="AN1290" s="27">
        <f t="shared" si="456"/>
        <v>1.3325905811769112</v>
      </c>
      <c r="AO1290" s="27">
        <f t="shared" si="456"/>
        <v>1.3480569944390275</v>
      </c>
      <c r="AP1290" s="27">
        <f t="shared" si="456"/>
        <v>1.3638910811882956</v>
      </c>
      <c r="AQ1290" s="27">
        <f t="shared" si="456"/>
        <v>1.3803329285303612</v>
      </c>
      <c r="AR1290" s="27">
        <f t="shared" si="456"/>
        <v>1.3974765343324473</v>
      </c>
      <c r="AS1290" s="27">
        <f t="shared" si="456"/>
        <v>1.4165658117844762</v>
      </c>
      <c r="AT1290" s="27">
        <f t="shared" si="456"/>
        <v>1.4296216900778926</v>
      </c>
      <c r="AU1290" s="27">
        <f t="shared" si="456"/>
        <v>1.4423773000489271</v>
      </c>
      <c r="AV1290" s="27">
        <f t="shared" si="456"/>
        <v>1.4554943578736881</v>
      </c>
      <c r="AW1290" s="27">
        <f t="shared" si="456"/>
        <v>1.468692881818767</v>
      </c>
      <c r="AY1290" s="79"/>
      <c r="AZ1290" s="79"/>
    </row>
    <row r="1291" spans="1:52" x14ac:dyDescent="0.2">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0.73794174034663862</v>
      </c>
      <c r="M1291" s="27">
        <f t="shared" si="457"/>
        <v>0.74376253694082328</v>
      </c>
      <c r="N1291" s="27">
        <f t="shared" si="457"/>
        <v>0.74750301879518044</v>
      </c>
      <c r="O1291" s="27">
        <f t="shared" si="457"/>
        <v>0.74998858609492669</v>
      </c>
      <c r="P1291" s="27">
        <f t="shared" si="457"/>
        <v>0.75119477530775824</v>
      </c>
      <c r="Q1291" s="27">
        <f t="shared" si="457"/>
        <v>0.7538596961765357</v>
      </c>
      <c r="R1291" s="27">
        <f t="shared" si="457"/>
        <v>0.75691680802528427</v>
      </c>
      <c r="S1291" s="27">
        <f t="shared" si="457"/>
        <v>0.73619604563634833</v>
      </c>
      <c r="T1291" s="27">
        <f t="shared" si="457"/>
        <v>0.74465653971921864</v>
      </c>
      <c r="U1291" s="27">
        <f t="shared" si="457"/>
        <v>0.75128622936275991</v>
      </c>
      <c r="V1291" s="27">
        <f t="shared" si="457"/>
        <v>0.75756713182620983</v>
      </c>
      <c r="W1291" s="27">
        <f t="shared" si="457"/>
        <v>0.76491012040208251</v>
      </c>
      <c r="X1291" s="27">
        <f t="shared" si="457"/>
        <v>0.77194230299255218</v>
      </c>
      <c r="Y1291" s="27">
        <f t="shared" si="457"/>
        <v>0.77784014625640541</v>
      </c>
      <c r="Z1291" s="27">
        <f t="shared" si="457"/>
        <v>0.78357417917078342</v>
      </c>
      <c r="AA1291" s="27">
        <f t="shared" si="457"/>
        <v>0.78901298609781978</v>
      </c>
      <c r="AB1291" s="27">
        <f t="shared" si="457"/>
        <v>0.79608790712439581</v>
      </c>
      <c r="AC1291" s="27">
        <f t="shared" si="457"/>
        <v>0.80312644781467857</v>
      </c>
      <c r="AD1291" s="27">
        <f t="shared" si="457"/>
        <v>0.81046968124591112</v>
      </c>
      <c r="AE1291" s="27">
        <f t="shared" si="457"/>
        <v>0.81942826113588163</v>
      </c>
      <c r="AF1291" s="27">
        <f t="shared" si="457"/>
        <v>0.8292220366944113</v>
      </c>
      <c r="AG1291" s="27">
        <f t="shared" si="457"/>
        <v>0.84076688396873545</v>
      </c>
      <c r="AH1291" s="27">
        <f t="shared" si="457"/>
        <v>0.84991043206299322</v>
      </c>
      <c r="AI1291" s="27">
        <f t="shared" si="457"/>
        <v>0.85840468915289159</v>
      </c>
      <c r="AJ1291" s="27">
        <f t="shared" si="457"/>
        <v>0.86783020594636673</v>
      </c>
      <c r="AK1291" s="27">
        <f t="shared" si="457"/>
        <v>0.87700263938050371</v>
      </c>
      <c r="AL1291" s="27">
        <f t="shared" si="457"/>
        <v>0.8867304494361532</v>
      </c>
      <c r="AM1291" s="27">
        <f t="shared" si="457"/>
        <v>0.89659809809315782</v>
      </c>
      <c r="AN1291" s="27">
        <f t="shared" si="457"/>
        <v>0.90750330348317998</v>
      </c>
      <c r="AO1291" s="27">
        <f t="shared" si="457"/>
        <v>0.91803603673723821</v>
      </c>
      <c r="AP1291" s="27">
        <f t="shared" si="457"/>
        <v>0.92881915815170113</v>
      </c>
      <c r="AQ1291" s="27">
        <f t="shared" si="457"/>
        <v>0.94001616868821003</v>
      </c>
      <c r="AR1291" s="27">
        <f t="shared" si="457"/>
        <v>0.95169108153748594</v>
      </c>
      <c r="AS1291" s="27">
        <f t="shared" si="457"/>
        <v>0.9646910100928292</v>
      </c>
      <c r="AT1291" s="27">
        <f t="shared" si="457"/>
        <v>0.97358215254011127</v>
      </c>
      <c r="AU1291" s="27">
        <f t="shared" si="457"/>
        <v>0.98226881020538814</v>
      </c>
      <c r="AV1291" s="27">
        <f t="shared" si="457"/>
        <v>0.99120161633211146</v>
      </c>
      <c r="AW1291" s="27">
        <f t="shared" si="457"/>
        <v>1.0001899014441695</v>
      </c>
      <c r="AY1291" s="79"/>
      <c r="AZ1291" s="79"/>
    </row>
    <row r="1292" spans="1:52" x14ac:dyDescent="0.2">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15.353527292296844</v>
      </c>
      <c r="L1292" s="27">
        <f t="shared" si="458"/>
        <v>15.220371053361493</v>
      </c>
      <c r="M1292" s="27">
        <f t="shared" si="458"/>
        <v>15.169682504177887</v>
      </c>
      <c r="N1292" s="27">
        <f t="shared" si="458"/>
        <v>14.967111251021189</v>
      </c>
      <c r="O1292" s="27">
        <f t="shared" si="458"/>
        <v>14.673074129931962</v>
      </c>
      <c r="P1292" s="27">
        <f t="shared" si="458"/>
        <v>14.293651368256896</v>
      </c>
      <c r="Q1292" s="27">
        <f t="shared" si="458"/>
        <v>13.994389539168758</v>
      </c>
      <c r="R1292" s="27">
        <f t="shared" si="458"/>
        <v>13.711253827544139</v>
      </c>
      <c r="S1292" s="27">
        <f t="shared" si="458"/>
        <v>12.169037780121926</v>
      </c>
      <c r="T1292" s="27">
        <f t="shared" si="458"/>
        <v>12.401807134203059</v>
      </c>
      <c r="U1292" s="27">
        <f t="shared" si="458"/>
        <v>12.526260010284002</v>
      </c>
      <c r="V1292" s="27">
        <f t="shared" si="458"/>
        <v>12.622062683352066</v>
      </c>
      <c r="W1292" s="27">
        <f t="shared" si="458"/>
        <v>12.760674268300837</v>
      </c>
      <c r="X1292" s="27">
        <f t="shared" si="458"/>
        <v>12.873164971451276</v>
      </c>
      <c r="Y1292" s="27">
        <f t="shared" si="458"/>
        <v>12.945682732607438</v>
      </c>
      <c r="Z1292" s="27">
        <f t="shared" si="458"/>
        <v>13.002132383564884</v>
      </c>
      <c r="AA1292" s="27">
        <f t="shared" si="458"/>
        <v>13.037118833745307</v>
      </c>
      <c r="AB1292" s="27">
        <f t="shared" si="458"/>
        <v>13.140692477306542</v>
      </c>
      <c r="AC1292" s="27">
        <f t="shared" si="458"/>
        <v>13.233883747502103</v>
      </c>
      <c r="AD1292" s="27">
        <f t="shared" si="458"/>
        <v>13.23869020405356</v>
      </c>
      <c r="AE1292" s="27">
        <f t="shared" si="458"/>
        <v>13.301119774765679</v>
      </c>
      <c r="AF1292" s="27">
        <f t="shared" si="458"/>
        <v>13.383674683163292</v>
      </c>
      <c r="AG1292" s="27">
        <f t="shared" si="458"/>
        <v>13.522276087147475</v>
      </c>
      <c r="AH1292" s="27">
        <f t="shared" si="458"/>
        <v>13.544412944106279</v>
      </c>
      <c r="AI1292" s="27">
        <f t="shared" si="458"/>
        <v>13.542089215214004</v>
      </c>
      <c r="AJ1292" s="27">
        <f t="shared" si="458"/>
        <v>13.562424652219031</v>
      </c>
      <c r="AK1292" s="27">
        <f t="shared" si="458"/>
        <v>13.558671299619801</v>
      </c>
      <c r="AL1292" s="27">
        <f t="shared" si="458"/>
        <v>13.561543071773121</v>
      </c>
      <c r="AM1292" s="27">
        <f t="shared" si="458"/>
        <v>13.555025657095664</v>
      </c>
      <c r="AN1292" s="27">
        <f t="shared" si="458"/>
        <v>13.65231474834372</v>
      </c>
      <c r="AO1292" s="27">
        <f t="shared" si="458"/>
        <v>13.72348724176244</v>
      </c>
      <c r="AP1292" s="27">
        <f t="shared" si="458"/>
        <v>13.790553263000465</v>
      </c>
      <c r="AQ1292" s="27">
        <f t="shared" si="458"/>
        <v>13.858644184626581</v>
      </c>
      <c r="AR1292" s="27">
        <f t="shared" si="458"/>
        <v>13.929236621781989</v>
      </c>
      <c r="AS1292" s="27">
        <f t="shared" si="458"/>
        <v>14.039863069721484</v>
      </c>
      <c r="AT1292" s="27">
        <f t="shared" si="458"/>
        <v>14.008704095961466</v>
      </c>
      <c r="AU1292" s="27">
        <f t="shared" si="458"/>
        <v>13.961987215392144</v>
      </c>
      <c r="AV1292" s="27">
        <f t="shared" si="458"/>
        <v>13.913601198226885</v>
      </c>
      <c r="AW1292" s="27">
        <f t="shared" si="458"/>
        <v>13.857756490863558</v>
      </c>
      <c r="AY1292" s="79"/>
      <c r="AZ1292" s="79"/>
    </row>
    <row r="1293" spans="1:52" x14ac:dyDescent="0.2">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9.6543103644621464</v>
      </c>
      <c r="L1293" s="27">
        <f t="shared" si="459"/>
        <v>9.5705816138517683</v>
      </c>
      <c r="M1293" s="27">
        <f t="shared" si="459"/>
        <v>9.5387086131773007</v>
      </c>
      <c r="N1293" s="27">
        <f t="shared" si="459"/>
        <v>9.4113316455488931</v>
      </c>
      <c r="O1293" s="27">
        <f t="shared" si="459"/>
        <v>9.22644086627548</v>
      </c>
      <c r="P1293" s="27">
        <f t="shared" si="459"/>
        <v>8.9878595272244652</v>
      </c>
      <c r="Q1293" s="27">
        <f t="shared" si="459"/>
        <v>8.7996834473406587</v>
      </c>
      <c r="R1293" s="27">
        <f t="shared" si="459"/>
        <v>8.6216474831450967</v>
      </c>
      <c r="S1293" s="27">
        <f t="shared" si="459"/>
        <v>7.6519007866750153</v>
      </c>
      <c r="T1293" s="27">
        <f t="shared" si="459"/>
        <v>7.6327351442858351</v>
      </c>
      <c r="U1293" s="27">
        <f t="shared" si="459"/>
        <v>7.543818106826901</v>
      </c>
      <c r="V1293" s="27">
        <f t="shared" si="459"/>
        <v>7.4364296589225045</v>
      </c>
      <c r="W1293" s="27">
        <f t="shared" si="459"/>
        <v>7.3529084138146414</v>
      </c>
      <c r="X1293" s="27">
        <f t="shared" si="459"/>
        <v>7.252812253925657</v>
      </c>
      <c r="Y1293" s="27">
        <f t="shared" si="459"/>
        <v>7.129561605010335</v>
      </c>
      <c r="Z1293" s="27">
        <f t="shared" si="459"/>
        <v>6.9975710723064584</v>
      </c>
      <c r="AA1293" s="27">
        <f t="shared" si="459"/>
        <v>6.8546313544625823</v>
      </c>
      <c r="AB1293" s="27">
        <f t="shared" si="459"/>
        <v>6.7477967268306234</v>
      </c>
      <c r="AC1293" s="27">
        <f t="shared" si="459"/>
        <v>6.6349908281675098</v>
      </c>
      <c r="AD1293" s="27">
        <f t="shared" si="459"/>
        <v>6.5925963076830341</v>
      </c>
      <c r="AE1293" s="27">
        <f t="shared" si="459"/>
        <v>6.5787808834592152</v>
      </c>
      <c r="AF1293" s="27">
        <f t="shared" si="459"/>
        <v>6.5745422692615296</v>
      </c>
      <c r="AG1293" s="27">
        <f t="shared" si="459"/>
        <v>6.59720431892897</v>
      </c>
      <c r="AH1293" s="27">
        <f t="shared" si="459"/>
        <v>6.5626196276626914</v>
      </c>
      <c r="AI1293" s="27">
        <f t="shared" si="459"/>
        <v>6.5162302946585431</v>
      </c>
      <c r="AJ1293" s="27">
        <f t="shared" si="459"/>
        <v>6.4807976838114829</v>
      </c>
      <c r="AK1293" s="27">
        <f t="shared" si="459"/>
        <v>6.4339126478585147</v>
      </c>
      <c r="AL1293" s="27">
        <f t="shared" si="459"/>
        <v>6.3902880234416326</v>
      </c>
      <c r="AM1293" s="27">
        <f t="shared" si="459"/>
        <v>6.3423648916965352</v>
      </c>
      <c r="AN1293" s="27">
        <f t="shared" si="459"/>
        <v>6.3428266896734504</v>
      </c>
      <c r="AO1293" s="27">
        <f t="shared" si="459"/>
        <v>6.3307138398780198</v>
      </c>
      <c r="AP1293" s="27">
        <f t="shared" si="459"/>
        <v>6.3163671759185416</v>
      </c>
      <c r="AQ1293" s="27">
        <f t="shared" si="459"/>
        <v>6.3021623092637791</v>
      </c>
      <c r="AR1293" s="27">
        <f t="shared" si="459"/>
        <v>6.28875754250328</v>
      </c>
      <c r="AS1293" s="27">
        <f t="shared" si="459"/>
        <v>6.292952963885071</v>
      </c>
      <c r="AT1293" s="27">
        <f t="shared" si="459"/>
        <v>6.2334557651832476</v>
      </c>
      <c r="AU1293" s="27">
        <f t="shared" si="459"/>
        <v>6.1674059313563463</v>
      </c>
      <c r="AV1293" s="27">
        <f t="shared" si="459"/>
        <v>6.1010437505527531</v>
      </c>
      <c r="AW1293" s="27">
        <f t="shared" si="459"/>
        <v>6.0318641785180809</v>
      </c>
      <c r="AY1293" s="79"/>
      <c r="AZ1293" s="79"/>
    </row>
    <row r="1294" spans="1:52" x14ac:dyDescent="0.2">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2">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5.9177410166742819</v>
      </c>
      <c r="T1295" s="27">
        <f t="shared" si="461"/>
        <v>5.9267532558831455</v>
      </c>
      <c r="U1295" s="27">
        <f t="shared" si="461"/>
        <v>5.9369392429781076</v>
      </c>
      <c r="V1295" s="27">
        <f t="shared" si="461"/>
        <v>5.9484299369724756</v>
      </c>
      <c r="W1295" s="27">
        <f t="shared" si="461"/>
        <v>5.9613561230675689</v>
      </c>
      <c r="X1295" s="27">
        <f t="shared" si="461"/>
        <v>5.9754482628979506</v>
      </c>
      <c r="Y1295" s="27">
        <f t="shared" si="461"/>
        <v>5.9840189867940028</v>
      </c>
      <c r="Z1295" s="27">
        <f t="shared" si="461"/>
        <v>5.9935919924924663</v>
      </c>
      <c r="AA1295" s="27">
        <f t="shared" si="461"/>
        <v>6.0040970561873648</v>
      </c>
      <c r="AB1295" s="27">
        <f t="shared" si="461"/>
        <v>6.015772019922915</v>
      </c>
      <c r="AC1295" s="27">
        <f t="shared" si="461"/>
        <v>6.0283300293613564</v>
      </c>
      <c r="AD1295" s="27">
        <f t="shared" si="461"/>
        <v>6.0365358206617943</v>
      </c>
      <c r="AE1295" s="27">
        <f t="shared" si="461"/>
        <v>6.0457468580703022</v>
      </c>
      <c r="AF1295" s="27">
        <f t="shared" si="461"/>
        <v>6.0558159935957239</v>
      </c>
      <c r="AG1295" s="27">
        <f t="shared" si="461"/>
        <v>6.0668477974371191</v>
      </c>
      <c r="AH1295" s="27">
        <f t="shared" si="461"/>
        <v>6.0782061128825768</v>
      </c>
      <c r="AI1295" s="27">
        <f t="shared" si="461"/>
        <v>6.0851673422995747</v>
      </c>
      <c r="AJ1295" s="27">
        <f t="shared" si="461"/>
        <v>6.0928574061867389</v>
      </c>
      <c r="AK1295" s="27">
        <f t="shared" si="461"/>
        <v>6.1010802783379781</v>
      </c>
      <c r="AL1295" s="27">
        <f t="shared" si="461"/>
        <v>6.1099337878320572</v>
      </c>
      <c r="AM1295" s="27">
        <f t="shared" si="461"/>
        <v>6.1193379299301505</v>
      </c>
      <c r="AN1295" s="27">
        <f t="shared" si="461"/>
        <v>6.1247915653472518</v>
      </c>
      <c r="AO1295" s="27">
        <f t="shared" si="461"/>
        <v>6.1306576553625556</v>
      </c>
      <c r="AP1295" s="27">
        <f t="shared" si="461"/>
        <v>6.1370111691436762</v>
      </c>
      <c r="AQ1295" s="27">
        <f t="shared" si="461"/>
        <v>6.1438608776263539</v>
      </c>
      <c r="AR1295" s="27">
        <f t="shared" si="461"/>
        <v>6.1512019925053671</v>
      </c>
      <c r="AS1295" s="27">
        <f t="shared" si="461"/>
        <v>6.1544845731259219</v>
      </c>
      <c r="AT1295" s="27">
        <f t="shared" si="461"/>
        <v>6.1575398722372316</v>
      </c>
      <c r="AU1295" s="27">
        <f t="shared" si="461"/>
        <v>6.1609269818317118</v>
      </c>
      <c r="AV1295" s="27">
        <f t="shared" si="461"/>
        <v>6.1647001939833732</v>
      </c>
      <c r="AW1295" s="27">
        <f t="shared" si="461"/>
        <v>6.1688206661186156</v>
      </c>
      <c r="AY1295" s="79"/>
      <c r="AZ1295" s="79"/>
    </row>
    <row r="1296" spans="1:52" x14ac:dyDescent="0.2">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0.66059463009348052</v>
      </c>
      <c r="T1296" s="27">
        <f t="shared" si="462"/>
        <v>0.66160066209280566</v>
      </c>
      <c r="U1296" s="27">
        <f t="shared" si="462"/>
        <v>0.66273771901337264</v>
      </c>
      <c r="V1296" s="27">
        <f t="shared" si="462"/>
        <v>0.66402041974788251</v>
      </c>
      <c r="W1296" s="27">
        <f t="shared" si="462"/>
        <v>0.66546336378648574</v>
      </c>
      <c r="X1296" s="27">
        <f t="shared" si="462"/>
        <v>0.66703646268896311</v>
      </c>
      <c r="Y1296" s="27">
        <f t="shared" si="462"/>
        <v>0.66799320854279376</v>
      </c>
      <c r="Z1296" s="27">
        <f t="shared" si="462"/>
        <v>0.66906183864006219</v>
      </c>
      <c r="AA1296" s="27">
        <f t="shared" si="462"/>
        <v>0.67023451393053002</v>
      </c>
      <c r="AB1296" s="27">
        <f t="shared" si="462"/>
        <v>0.67153778460907243</v>
      </c>
      <c r="AC1296" s="27">
        <f t="shared" si="462"/>
        <v>0.67293962926167272</v>
      </c>
      <c r="AD1296" s="27">
        <f t="shared" si="462"/>
        <v>0.67385563786249902</v>
      </c>
      <c r="AE1296" s="27">
        <f t="shared" si="462"/>
        <v>0.67488386161080183</v>
      </c>
      <c r="AF1296" s="27">
        <f t="shared" si="462"/>
        <v>0.67600787444594213</v>
      </c>
      <c r="AG1296" s="27">
        <f t="shared" si="462"/>
        <v>0.67723934948976972</v>
      </c>
      <c r="AH1296" s="27">
        <f t="shared" si="462"/>
        <v>0.6785072728694912</v>
      </c>
      <c r="AI1296" s="27">
        <f t="shared" si="462"/>
        <v>0.67928435161605349</v>
      </c>
      <c r="AJ1296" s="27">
        <f t="shared" si="462"/>
        <v>0.68014278980971932</v>
      </c>
      <c r="AK1296" s="27">
        <f t="shared" si="462"/>
        <v>0.68106070513784001</v>
      </c>
      <c r="AL1296" s="27">
        <f t="shared" si="462"/>
        <v>0.68204901821419661</v>
      </c>
      <c r="AM1296" s="27">
        <f t="shared" si="462"/>
        <v>0.68309879814764285</v>
      </c>
      <c r="AN1296" s="27">
        <f t="shared" si="462"/>
        <v>0.68370758488921768</v>
      </c>
      <c r="AO1296" s="27">
        <f t="shared" si="462"/>
        <v>0.68436241374246343</v>
      </c>
      <c r="AP1296" s="27">
        <f t="shared" si="462"/>
        <v>0.68507165348009424</v>
      </c>
      <c r="AQ1296" s="27">
        <f t="shared" si="462"/>
        <v>0.68583628319751733</v>
      </c>
      <c r="AR1296" s="27">
        <f t="shared" si="462"/>
        <v>0.68665576837848608</v>
      </c>
      <c r="AS1296" s="27">
        <f t="shared" si="462"/>
        <v>0.68702220130021696</v>
      </c>
      <c r="AT1296" s="27">
        <f t="shared" si="462"/>
        <v>0.68736326289459471</v>
      </c>
      <c r="AU1296" s="27">
        <f t="shared" si="462"/>
        <v>0.6877413643362339</v>
      </c>
      <c r="AV1296" s="27">
        <f t="shared" si="462"/>
        <v>0.68816256622367178</v>
      </c>
      <c r="AW1296" s="27">
        <f t="shared" si="462"/>
        <v>0.68862253257879269</v>
      </c>
      <c r="AY1296" s="79"/>
      <c r="AZ1296" s="79"/>
    </row>
    <row r="1297" spans="1:52" x14ac:dyDescent="0.2">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0.72463138273575967</v>
      </c>
      <c r="O1297" s="27">
        <f t="shared" si="463"/>
        <v>0.72832072886952293</v>
      </c>
      <c r="P1297" s="27">
        <f t="shared" si="463"/>
        <v>0.7325443847928953</v>
      </c>
      <c r="Q1297" s="27">
        <f t="shared" si="463"/>
        <v>0.73708994755228407</v>
      </c>
      <c r="R1297" s="27">
        <f t="shared" si="463"/>
        <v>0.74193942345928476</v>
      </c>
      <c r="S1297" s="27">
        <f t="shared" si="463"/>
        <v>0.74639464232983788</v>
      </c>
      <c r="T1297" s="27">
        <f t="shared" si="463"/>
        <v>0.74856351716878611</v>
      </c>
      <c r="U1297" s="27">
        <f t="shared" si="463"/>
        <v>0.7508946920259173</v>
      </c>
      <c r="V1297" s="27">
        <f t="shared" si="463"/>
        <v>0.75341667510432941</v>
      </c>
      <c r="W1297" s="27">
        <f t="shared" si="463"/>
        <v>0.75615715708667941</v>
      </c>
      <c r="X1297" s="27">
        <f t="shared" si="463"/>
        <v>0.75906737547896641</v>
      </c>
      <c r="Y1297" s="27">
        <f t="shared" si="463"/>
        <v>0.76088672130758961</v>
      </c>
      <c r="Z1297" s="27">
        <f t="shared" si="463"/>
        <v>0.76285477171358229</v>
      </c>
      <c r="AA1297" s="27">
        <f t="shared" si="463"/>
        <v>0.76495995173574494</v>
      </c>
      <c r="AB1297" s="27">
        <f t="shared" si="463"/>
        <v>0.76724835481418519</v>
      </c>
      <c r="AC1297" s="27">
        <f t="shared" si="463"/>
        <v>0.76966726525164153</v>
      </c>
      <c r="AD1297" s="27">
        <f t="shared" si="463"/>
        <v>0.77123981630413885</v>
      </c>
      <c r="AE1297" s="27">
        <f t="shared" si="463"/>
        <v>0.7729717745117366</v>
      </c>
      <c r="AF1297" s="27">
        <f t="shared" si="463"/>
        <v>0.77483635735979484</v>
      </c>
      <c r="AG1297" s="27">
        <f t="shared" si="463"/>
        <v>0.77685363069924696</v>
      </c>
      <c r="AH1297" s="27">
        <f t="shared" si="463"/>
        <v>0.7789061253482048</v>
      </c>
      <c r="AI1297" s="27">
        <f t="shared" si="463"/>
        <v>0.78012107515728923</v>
      </c>
      <c r="AJ1297" s="27">
        <f t="shared" si="463"/>
        <v>0.78145074369480261</v>
      </c>
      <c r="AK1297" s="27">
        <f t="shared" si="463"/>
        <v>0.7828593435343304</v>
      </c>
      <c r="AL1297" s="27">
        <f t="shared" si="463"/>
        <v>0.78436534735883467</v>
      </c>
      <c r="AM1297" s="27">
        <f t="shared" si="463"/>
        <v>0.78595438278227181</v>
      </c>
      <c r="AN1297" s="27">
        <f t="shared" si="463"/>
        <v>0.78680169998206073</v>
      </c>
      <c r="AO1297" s="27">
        <f t="shared" si="463"/>
        <v>0.78771028208261162</v>
      </c>
      <c r="AP1297" s="27">
        <f t="shared" si="463"/>
        <v>0.78869414542587013</v>
      </c>
      <c r="AQ1297" s="27">
        <f t="shared" si="463"/>
        <v>0.78975510213576938</v>
      </c>
      <c r="AR1297" s="27">
        <f t="shared" si="463"/>
        <v>0.79089245177101786</v>
      </c>
      <c r="AS1297" s="27">
        <f t="shared" si="463"/>
        <v>0.79127935129009708</v>
      </c>
      <c r="AT1297" s="27">
        <f t="shared" si="463"/>
        <v>0.7916151974997605</v>
      </c>
      <c r="AU1297" s="27">
        <f t="shared" si="463"/>
        <v>0.79200195212614188</v>
      </c>
      <c r="AV1297" s="27">
        <f t="shared" si="463"/>
        <v>0.79244958629193585</v>
      </c>
      <c r="AW1297" s="27">
        <f t="shared" si="463"/>
        <v>0.79295116872451854</v>
      </c>
      <c r="AY1297" s="79"/>
      <c r="AZ1297" s="79"/>
    </row>
    <row r="1298" spans="1:52" x14ac:dyDescent="0.2">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1.1867254191644501</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1.2198688909683482</v>
      </c>
      <c r="R1298" s="27">
        <f t="shared" si="464"/>
        <v>1.2278946750888551</v>
      </c>
      <c r="S1298" s="27">
        <f t="shared" si="464"/>
        <v>1.2352679718224364</v>
      </c>
      <c r="T1298" s="27">
        <f t="shared" si="464"/>
        <v>1.2388574156253576</v>
      </c>
      <c r="U1298" s="27">
        <f t="shared" si="464"/>
        <v>1.2427154626616324</v>
      </c>
      <c r="V1298" s="27">
        <f t="shared" si="464"/>
        <v>1.2468892934283116</v>
      </c>
      <c r="W1298" s="27">
        <f t="shared" si="464"/>
        <v>1.2514247354427215</v>
      </c>
      <c r="X1298" s="27">
        <f t="shared" si="464"/>
        <v>1.2562410877677852</v>
      </c>
      <c r="Y1298" s="27">
        <f t="shared" si="464"/>
        <v>1.2592520681584702</v>
      </c>
      <c r="Z1298" s="27">
        <f t="shared" si="464"/>
        <v>1.2625091516041205</v>
      </c>
      <c r="AA1298" s="27">
        <f t="shared" si="464"/>
        <v>1.2659931817790702</v>
      </c>
      <c r="AB1298" s="27">
        <f t="shared" si="464"/>
        <v>1.2697804423904187</v>
      </c>
      <c r="AC1298" s="27">
        <f t="shared" si="464"/>
        <v>1.2737836900299913</v>
      </c>
      <c r="AD1298" s="27">
        <f t="shared" si="464"/>
        <v>1.2763862300792366</v>
      </c>
      <c r="AE1298" s="27">
        <f t="shared" si="464"/>
        <v>1.2792525857321959</v>
      </c>
      <c r="AF1298" s="27">
        <f t="shared" si="464"/>
        <v>1.2823384324711629</v>
      </c>
      <c r="AG1298" s="27">
        <f t="shared" si="464"/>
        <v>1.2856769788718418</v>
      </c>
      <c r="AH1298" s="27">
        <f t="shared" si="464"/>
        <v>1.2890738158243156</v>
      </c>
      <c r="AI1298" s="27">
        <f t="shared" si="464"/>
        <v>1.2910845330795322</v>
      </c>
      <c r="AJ1298" s="27">
        <f t="shared" si="464"/>
        <v>1.2932851075000604</v>
      </c>
      <c r="AK1298" s="27">
        <f t="shared" si="464"/>
        <v>1.2956163116221209</v>
      </c>
      <c r="AL1298" s="27">
        <f t="shared" si="464"/>
        <v>1.2981087173607861</v>
      </c>
      <c r="AM1298" s="27">
        <f t="shared" si="464"/>
        <v>1.3007385387090959</v>
      </c>
      <c r="AN1298" s="27">
        <f t="shared" si="464"/>
        <v>1.3021408314635115</v>
      </c>
      <c r="AO1298" s="27">
        <f t="shared" si="464"/>
        <v>1.303644516384237</v>
      </c>
      <c r="AP1298" s="27">
        <f t="shared" si="464"/>
        <v>1.3052727902324839</v>
      </c>
      <c r="AQ1298" s="27">
        <f t="shared" si="464"/>
        <v>1.3070286520365533</v>
      </c>
      <c r="AR1298" s="27">
        <f t="shared" si="464"/>
        <v>1.308910942580334</v>
      </c>
      <c r="AS1298" s="27">
        <f t="shared" si="464"/>
        <v>1.3095512534254661</v>
      </c>
      <c r="AT1298" s="27">
        <f t="shared" si="464"/>
        <v>1.3101070720805417</v>
      </c>
      <c r="AU1298" s="27">
        <f t="shared" si="464"/>
        <v>1.310747143131201</v>
      </c>
      <c r="AV1298" s="27">
        <f t="shared" si="464"/>
        <v>1.3114879685829661</v>
      </c>
      <c r="AW1298" s="27">
        <f t="shared" si="464"/>
        <v>1.312318077320435</v>
      </c>
      <c r="AY1298" s="79"/>
      <c r="AZ1298" s="79"/>
    </row>
    <row r="1299" spans="1:52" x14ac:dyDescent="0.2">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0.19368291106027899</v>
      </c>
      <c r="P1299" s="27">
        <f t="shared" si="465"/>
        <v>0.19253602379697463</v>
      </c>
      <c r="Q1299" s="27">
        <f t="shared" si="465"/>
        <v>0.19190012409058904</v>
      </c>
      <c r="R1299" s="27">
        <f t="shared" si="465"/>
        <v>0.19132863754616405</v>
      </c>
      <c r="S1299" s="27">
        <f t="shared" si="465"/>
        <v>0.18119977029128689</v>
      </c>
      <c r="T1299" s="27">
        <f t="shared" si="465"/>
        <v>0.18372263045933149</v>
      </c>
      <c r="U1299" s="27">
        <f t="shared" si="465"/>
        <v>0.18542569851972082</v>
      </c>
      <c r="V1299" s="27">
        <f t="shared" si="465"/>
        <v>0.18690586811212617</v>
      </c>
      <c r="W1299" s="27">
        <f t="shared" si="465"/>
        <v>0.18871846813186952</v>
      </c>
      <c r="X1299" s="27">
        <f t="shared" si="465"/>
        <v>0.19032856308746704</v>
      </c>
      <c r="Y1299" s="27">
        <f t="shared" si="465"/>
        <v>0.19181155412665482</v>
      </c>
      <c r="Z1299" s="27">
        <f t="shared" si="465"/>
        <v>0.19316694252651395</v>
      </c>
      <c r="AA1299" s="27">
        <f t="shared" si="465"/>
        <v>0.19434817692528195</v>
      </c>
      <c r="AB1299" s="27">
        <f t="shared" si="465"/>
        <v>0.19609130445368728</v>
      </c>
      <c r="AC1299" s="27">
        <f t="shared" si="465"/>
        <v>0.19775823400143536</v>
      </c>
      <c r="AD1299" s="27">
        <f t="shared" si="465"/>
        <v>0.19979376823512379</v>
      </c>
      <c r="AE1299" s="27">
        <f t="shared" si="465"/>
        <v>0.2023779928594536</v>
      </c>
      <c r="AF1299" s="27">
        <f t="shared" si="465"/>
        <v>0.20521413875451175</v>
      </c>
      <c r="AG1299" s="27">
        <f t="shared" si="465"/>
        <v>0.20863865671050874</v>
      </c>
      <c r="AH1299" s="27">
        <f t="shared" si="465"/>
        <v>0.21111219620408483</v>
      </c>
      <c r="AI1299" s="27">
        <f t="shared" si="465"/>
        <v>0.21359919528074695</v>
      </c>
      <c r="AJ1299" s="27">
        <f t="shared" si="465"/>
        <v>0.21637994777249434</v>
      </c>
      <c r="AK1299" s="27">
        <f t="shared" si="465"/>
        <v>0.21901936705190489</v>
      </c>
      <c r="AL1299" s="27">
        <f t="shared" si="465"/>
        <v>0.22181322909338433</v>
      </c>
      <c r="AM1299" s="27">
        <f t="shared" si="465"/>
        <v>0.22460946011468219</v>
      </c>
      <c r="AN1299" s="27">
        <f t="shared" si="465"/>
        <v>0.22803030127957039</v>
      </c>
      <c r="AO1299" s="27">
        <f t="shared" si="465"/>
        <v>0.23127378160095582</v>
      </c>
      <c r="AP1299" s="27">
        <f t="shared" si="465"/>
        <v>0.23456525375289961</v>
      </c>
      <c r="AQ1299" s="27">
        <f t="shared" si="465"/>
        <v>0.23796293573474386</v>
      </c>
      <c r="AR1299" s="27">
        <f t="shared" si="465"/>
        <v>0.24148877503172564</v>
      </c>
      <c r="AS1299" s="27">
        <f t="shared" si="465"/>
        <v>0.24576012405635958</v>
      </c>
      <c r="AT1299" s="27">
        <f t="shared" si="465"/>
        <v>0.24853256796744563</v>
      </c>
      <c r="AU1299" s="27">
        <f t="shared" si="465"/>
        <v>0.25120157665253162</v>
      </c>
      <c r="AV1299" s="27">
        <f t="shared" si="465"/>
        <v>0.25392762754999298</v>
      </c>
      <c r="AW1299" s="27">
        <f t="shared" si="465"/>
        <v>0.25664306300563272</v>
      </c>
      <c r="AY1299" s="79"/>
      <c r="AZ1299" s="79"/>
    </row>
    <row r="1300" spans="1:52" x14ac:dyDescent="0.2">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2">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2">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2">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2">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2">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2">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2">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2">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2">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2">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2">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2">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2">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2">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2">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2">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2">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0.64883189407483499</v>
      </c>
      <c r="U1317" s="27">
        <f t="shared" si="483"/>
        <v>0.63709630483047164</v>
      </c>
      <c r="V1317" s="27">
        <f t="shared" si="483"/>
        <v>0.6254053408696707</v>
      </c>
      <c r="W1317" s="27">
        <f t="shared" si="483"/>
        <v>0.61372947411194834</v>
      </c>
      <c r="X1317" s="27">
        <f t="shared" si="483"/>
        <v>0.60204387749589716</v>
      </c>
      <c r="Y1317" s="27">
        <f t="shared" si="483"/>
        <v>0.590372256693528</v>
      </c>
      <c r="Z1317" s="27">
        <f t="shared" si="483"/>
        <v>0.57871902377719808</v>
      </c>
      <c r="AA1317" s="27">
        <f t="shared" si="483"/>
        <v>0.56707537118232654</v>
      </c>
      <c r="AB1317" s="27">
        <f t="shared" si="483"/>
        <v>0.55544271779700261</v>
      </c>
      <c r="AC1317" s="27">
        <f t="shared" si="483"/>
        <v>0.5437925465821597</v>
      </c>
      <c r="AD1317" s="27">
        <f t="shared" si="483"/>
        <v>0.53215020208908337</v>
      </c>
      <c r="AE1317" s="27">
        <f t="shared" si="483"/>
        <v>0.52050548671923336</v>
      </c>
      <c r="AF1317" s="27">
        <f t="shared" si="483"/>
        <v>0.50884724881250254</v>
      </c>
      <c r="AG1317" s="27">
        <f t="shared" si="483"/>
        <v>0.49718729858707988</v>
      </c>
      <c r="AH1317" s="27">
        <f t="shared" si="483"/>
        <v>0.48551573762149369</v>
      </c>
      <c r="AI1317" s="27">
        <f t="shared" si="483"/>
        <v>0.4738819189303447</v>
      </c>
      <c r="AJ1317" s="27">
        <f t="shared" si="483"/>
        <v>0.46225895108237858</v>
      </c>
      <c r="AK1317" s="27">
        <f t="shared" si="483"/>
        <v>0.45063351855546463</v>
      </c>
      <c r="AL1317" s="27">
        <f t="shared" si="483"/>
        <v>0.43901845927077465</v>
      </c>
      <c r="AM1317" s="27">
        <f t="shared" si="483"/>
        <v>0.42740542474529553</v>
      </c>
      <c r="AN1317" s="27">
        <f t="shared" si="483"/>
        <v>0.42730298938155514</v>
      </c>
      <c r="AO1317" s="27">
        <f t="shared" si="483"/>
        <v>0.42718974633101564</v>
      </c>
      <c r="AP1317" s="27">
        <f t="shared" si="483"/>
        <v>0.42708226105062919</v>
      </c>
      <c r="AQ1317" s="27">
        <f t="shared" si="483"/>
        <v>0.42697468771209462</v>
      </c>
      <c r="AR1317" s="27">
        <f t="shared" si="483"/>
        <v>0.42686562218910673</v>
      </c>
      <c r="AS1317" s="27">
        <f t="shared" si="483"/>
        <v>0.42675462190832508</v>
      </c>
      <c r="AT1317" s="27">
        <f t="shared" si="483"/>
        <v>0.42663172254873233</v>
      </c>
      <c r="AU1317" s="27">
        <f t="shared" si="483"/>
        <v>0.42654552920617234</v>
      </c>
      <c r="AV1317" s="27">
        <f t="shared" si="483"/>
        <v>0.42646242236458548</v>
      </c>
      <c r="AW1317" s="27">
        <f t="shared" si="483"/>
        <v>0.42637864182715696</v>
      </c>
      <c r="AY1317" s="79"/>
      <c r="AZ1317" s="79"/>
    </row>
    <row r="1318" spans="1:52" x14ac:dyDescent="0.2">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8.5645810017878233E-3</v>
      </c>
      <c r="U1318" s="27">
        <f t="shared" si="484"/>
        <v>8.4096712237622263E-3</v>
      </c>
      <c r="V1318" s="27">
        <f t="shared" si="484"/>
        <v>8.2553504994796519E-3</v>
      </c>
      <c r="W1318" s="27">
        <f t="shared" si="484"/>
        <v>8.1012290582777157E-3</v>
      </c>
      <c r="X1318" s="27">
        <f t="shared" si="484"/>
        <v>7.9469791829458441E-3</v>
      </c>
      <c r="Y1318" s="27">
        <f t="shared" si="484"/>
        <v>7.7929137883545694E-3</v>
      </c>
      <c r="Z1318" s="27">
        <f t="shared" si="484"/>
        <v>7.6390911138590157E-3</v>
      </c>
      <c r="AA1318" s="27">
        <f t="shared" si="484"/>
        <v>7.4853948996067132E-3</v>
      </c>
      <c r="AB1318" s="27">
        <f t="shared" si="484"/>
        <v>7.3318438749204341E-3</v>
      </c>
      <c r="AC1318" s="27">
        <f t="shared" si="484"/>
        <v>7.1780616148845082E-3</v>
      </c>
      <c r="AD1318" s="27">
        <f t="shared" si="484"/>
        <v>7.0243826675759008E-3</v>
      </c>
      <c r="AE1318" s="27">
        <f t="shared" si="484"/>
        <v>6.8706724246938786E-3</v>
      </c>
      <c r="AF1318" s="27">
        <f t="shared" si="484"/>
        <v>6.7167836843250363E-3</v>
      </c>
      <c r="AG1318" s="27">
        <f t="shared" si="484"/>
        <v>6.5628723413494556E-3</v>
      </c>
      <c r="AH1318" s="27">
        <f t="shared" si="484"/>
        <v>6.4088077366037171E-3</v>
      </c>
      <c r="AI1318" s="27">
        <f t="shared" si="484"/>
        <v>6.2552413298805499E-3</v>
      </c>
      <c r="AJ1318" s="27">
        <f t="shared" si="484"/>
        <v>6.101818154287399E-3</v>
      </c>
      <c r="AK1318" s="27">
        <f t="shared" si="484"/>
        <v>5.948362444932135E-3</v>
      </c>
      <c r="AL1318" s="27">
        <f t="shared" si="484"/>
        <v>5.7950436623742281E-3</v>
      </c>
      <c r="AM1318" s="27">
        <f t="shared" si="484"/>
        <v>5.6417516066379018E-3</v>
      </c>
      <c r="AN1318" s="27">
        <f t="shared" si="484"/>
        <v>5.640399459836529E-3</v>
      </c>
      <c r="AO1318" s="27">
        <f t="shared" si="484"/>
        <v>5.6389046515694088E-3</v>
      </c>
      <c r="AP1318" s="27">
        <f t="shared" si="484"/>
        <v>5.6374858458683071E-3</v>
      </c>
      <c r="AQ1318" s="27">
        <f t="shared" si="484"/>
        <v>5.6360658777996489E-3</v>
      </c>
      <c r="AR1318" s="27">
        <f t="shared" si="484"/>
        <v>5.6346262128962104E-3</v>
      </c>
      <c r="AS1318" s="27">
        <f t="shared" si="484"/>
        <v>5.6331610091898913E-3</v>
      </c>
      <c r="AT1318" s="27">
        <f t="shared" si="484"/>
        <v>5.6315387376432687E-3</v>
      </c>
      <c r="AU1318" s="27">
        <f t="shared" si="484"/>
        <v>5.6304009855214741E-3</v>
      </c>
      <c r="AV1318" s="27">
        <f t="shared" si="484"/>
        <v>5.6293039752125292E-3</v>
      </c>
      <c r="AW1318" s="27">
        <f t="shared" si="484"/>
        <v>5.6281980721184736E-3</v>
      </c>
      <c r="AY1318" s="79"/>
      <c r="AZ1318" s="79"/>
    </row>
    <row r="1319" spans="1:52" x14ac:dyDescent="0.2">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1.2008407282256135</v>
      </c>
      <c r="L1319" s="27">
        <f t="shared" si="485"/>
        <v>1.2019035107607599</v>
      </c>
      <c r="M1319" s="27">
        <f t="shared" si="485"/>
        <v>1.208877512288109</v>
      </c>
      <c r="N1319" s="27">
        <f t="shared" si="485"/>
        <v>1.2055442230548155</v>
      </c>
      <c r="O1319" s="27">
        <f t="shared" si="485"/>
        <v>1.1958435838326282</v>
      </c>
      <c r="P1319" s="27">
        <f t="shared" si="485"/>
        <v>1.1799964998501222</v>
      </c>
      <c r="Q1319" s="27">
        <f t="shared" si="485"/>
        <v>1.169776622170569</v>
      </c>
      <c r="R1319" s="27">
        <f t="shared" si="485"/>
        <v>1.1606871439933113</v>
      </c>
      <c r="S1319" s="27">
        <f t="shared" si="485"/>
        <v>1.0581466820913914</v>
      </c>
      <c r="T1319" s="27">
        <f t="shared" si="485"/>
        <v>1.0644730384950021</v>
      </c>
      <c r="U1319" s="27">
        <f t="shared" si="485"/>
        <v>1.0625913958421684</v>
      </c>
      <c r="V1319" s="27">
        <f t="shared" si="485"/>
        <v>1.0584552590077436</v>
      </c>
      <c r="W1319" s="27">
        <f t="shared" si="485"/>
        <v>1.0572462129711209</v>
      </c>
      <c r="X1319" s="27">
        <f t="shared" si="485"/>
        <v>1.0539668614194542</v>
      </c>
      <c r="Y1319" s="27">
        <f t="shared" si="485"/>
        <v>1.0476469223124836</v>
      </c>
      <c r="Z1319" s="27">
        <f t="shared" si="485"/>
        <v>1.0400616800209681</v>
      </c>
      <c r="AA1319" s="27">
        <f t="shared" si="485"/>
        <v>1.0308617551266397</v>
      </c>
      <c r="AB1319" s="27">
        <f t="shared" si="485"/>
        <v>1.0262779050962203</v>
      </c>
      <c r="AC1319" s="27">
        <f t="shared" si="485"/>
        <v>1.0207911464294623</v>
      </c>
      <c r="AD1319" s="27">
        <f t="shared" si="485"/>
        <v>1.0174648609219934</v>
      </c>
      <c r="AE1319" s="27">
        <f t="shared" si="485"/>
        <v>1.0179841085221666</v>
      </c>
      <c r="AF1319" s="27">
        <f t="shared" si="485"/>
        <v>1.0197810623230203</v>
      </c>
      <c r="AG1319" s="27">
        <f t="shared" si="485"/>
        <v>1.0252722895914907</v>
      </c>
      <c r="AH1319" s="27">
        <f t="shared" si="485"/>
        <v>1.0227769363568266</v>
      </c>
      <c r="AI1319" s="27">
        <f t="shared" si="485"/>
        <v>1.0185107139945662</v>
      </c>
      <c r="AJ1319" s="27">
        <f t="shared" si="485"/>
        <v>1.0156708308449605</v>
      </c>
      <c r="AK1319" s="27">
        <f t="shared" si="485"/>
        <v>1.0111039069787942</v>
      </c>
      <c r="AL1319" s="27">
        <f t="shared" si="485"/>
        <v>1.0068693351976672</v>
      </c>
      <c r="AM1319" s="27">
        <f t="shared" si="485"/>
        <v>1.0018872446279496</v>
      </c>
      <c r="AN1319" s="27">
        <f t="shared" si="485"/>
        <v>1.0162036853765339</v>
      </c>
      <c r="AO1319" s="27">
        <f t="shared" si="485"/>
        <v>1.0291356559340952</v>
      </c>
      <c r="AP1319" s="27">
        <f t="shared" si="485"/>
        <v>1.0421612456102711</v>
      </c>
      <c r="AQ1319" s="27">
        <f t="shared" si="485"/>
        <v>1.055645716995689</v>
      </c>
      <c r="AR1319" s="27">
        <f t="shared" si="485"/>
        <v>1.0697134307237284</v>
      </c>
      <c r="AS1319" s="27">
        <f t="shared" si="485"/>
        <v>1.0870125452673416</v>
      </c>
      <c r="AT1319" s="27">
        <f t="shared" si="485"/>
        <v>1.0947159869521577</v>
      </c>
      <c r="AU1319" s="27">
        <f t="shared" si="485"/>
        <v>1.1016251916348152</v>
      </c>
      <c r="AV1319" s="27">
        <f t="shared" si="485"/>
        <v>1.1087320470062545</v>
      </c>
      <c r="AW1319" s="27">
        <f t="shared" si="485"/>
        <v>1.1156229858041626</v>
      </c>
      <c r="AY1319" s="79"/>
      <c r="AZ1319" s="79"/>
    </row>
    <row r="1320" spans="1:52" x14ac:dyDescent="0.2">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4.3473821211305586</v>
      </c>
      <c r="O1320" s="27">
        <f t="shared" si="489"/>
        <v>4.3052096453824609</v>
      </c>
      <c r="P1320" s="27">
        <f t="shared" si="489"/>
        <v>4.2496956169043703</v>
      </c>
      <c r="Q1320" s="27">
        <f t="shared" si="489"/>
        <v>4.2083609134426787</v>
      </c>
      <c r="R1320" s="27">
        <f t="shared" si="489"/>
        <v>4.1703852155628214</v>
      </c>
      <c r="S1320" s="27">
        <f t="shared" si="489"/>
        <v>3.918985241839104</v>
      </c>
      <c r="T1320" s="27">
        <f t="shared" si="489"/>
        <v>3.962647023266995</v>
      </c>
      <c r="U1320" s="27">
        <f t="shared" si="489"/>
        <v>3.988397466462279</v>
      </c>
      <c r="V1320" s="27">
        <f t="shared" si="489"/>
        <v>4.0097420759989726</v>
      </c>
      <c r="W1320" s="27">
        <f t="shared" si="489"/>
        <v>4.0388232265836717</v>
      </c>
      <c r="X1320" s="27">
        <f t="shared" si="489"/>
        <v>4.063881936096621</v>
      </c>
      <c r="Y1320" s="27">
        <f t="shared" si="489"/>
        <v>4.0803176241982966</v>
      </c>
      <c r="Z1320" s="27">
        <f t="shared" si="489"/>
        <v>4.0943719762440898</v>
      </c>
      <c r="AA1320" s="27">
        <f t="shared" si="489"/>
        <v>4.1051027315234014</v>
      </c>
      <c r="AB1320" s="27">
        <f t="shared" si="489"/>
        <v>4.1278786035109292</v>
      </c>
      <c r="AC1320" s="27">
        <f t="shared" si="489"/>
        <v>4.149204796729399</v>
      </c>
      <c r="AD1320" s="27">
        <f t="shared" si="489"/>
        <v>4.1548667718492807</v>
      </c>
      <c r="AE1320" s="27">
        <f t="shared" si="489"/>
        <v>4.1707310137254909</v>
      </c>
      <c r="AF1320" s="27">
        <f t="shared" si="489"/>
        <v>4.1903910179403239</v>
      </c>
      <c r="AG1320" s="27">
        <f t="shared" si="489"/>
        <v>4.2200248954303605</v>
      </c>
      <c r="AH1320" s="27">
        <f t="shared" si="489"/>
        <v>4.2299973767021726</v>
      </c>
      <c r="AI1320" s="27">
        <f t="shared" si="489"/>
        <v>4.2344058167490939</v>
      </c>
      <c r="AJ1320" s="27">
        <f t="shared" si="489"/>
        <v>4.2430165616646569</v>
      </c>
      <c r="AK1320" s="27">
        <f t="shared" si="489"/>
        <v>4.2477733537700137</v>
      </c>
      <c r="AL1320" s="27">
        <f t="shared" si="489"/>
        <v>4.2539691533655395</v>
      </c>
      <c r="AM1320" s="27">
        <f t="shared" si="489"/>
        <v>4.2588371425380025</v>
      </c>
      <c r="AN1320" s="27">
        <f t="shared" si="489"/>
        <v>4.2797220284315198</v>
      </c>
      <c r="AO1320" s="27">
        <f t="shared" si="489"/>
        <v>4.2963498578029604</v>
      </c>
      <c r="AP1320" s="27">
        <f t="shared" si="489"/>
        <v>4.3125285701488281</v>
      </c>
      <c r="AQ1320" s="27">
        <f t="shared" si="489"/>
        <v>4.3291488784909324</v>
      </c>
      <c r="AR1320" s="27">
        <f t="shared" si="489"/>
        <v>4.3464700481298193</v>
      </c>
      <c r="AS1320" s="27">
        <f t="shared" si="489"/>
        <v>4.3694873280939213</v>
      </c>
      <c r="AT1320" s="27">
        <f t="shared" si="489"/>
        <v>4.3680189479011426</v>
      </c>
      <c r="AU1320" s="27">
        <f t="shared" si="489"/>
        <v>4.3640461344633534</v>
      </c>
      <c r="AV1320" s="27">
        <f t="shared" si="489"/>
        <v>4.3599917873846739</v>
      </c>
      <c r="AW1320" s="27">
        <f t="shared" si="489"/>
        <v>4.3548399908669477</v>
      </c>
      <c r="AY1320" s="79"/>
      <c r="AZ1320" s="79"/>
    </row>
    <row r="1321" spans="1:52" x14ac:dyDescent="0.2">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2.2384700345581802E-4</v>
      </c>
      <c r="U1321" s="27">
        <f t="shared" si="490"/>
        <v>2.1979822516651266E-4</v>
      </c>
      <c r="V1321" s="27">
        <f t="shared" si="490"/>
        <v>2.1576484260003639E-4</v>
      </c>
      <c r="W1321" s="27">
        <f t="shared" si="490"/>
        <v>2.1173666856862212E-4</v>
      </c>
      <c r="X1321" s="27">
        <f t="shared" si="490"/>
        <v>2.0770513773608448E-4</v>
      </c>
      <c r="Y1321" s="27">
        <f t="shared" si="490"/>
        <v>2.0367842855926709E-4</v>
      </c>
      <c r="Z1321" s="27">
        <f t="shared" si="490"/>
        <v>1.9965806320313334E-4</v>
      </c>
      <c r="AA1321" s="27">
        <f t="shared" si="490"/>
        <v>1.9564100305790268E-4</v>
      </c>
      <c r="AB1321" s="27">
        <f t="shared" si="490"/>
        <v>1.9162773763996586E-4</v>
      </c>
      <c r="AC1321" s="27">
        <f t="shared" si="490"/>
        <v>1.8760842857084501E-4</v>
      </c>
      <c r="AD1321" s="27">
        <f t="shared" si="490"/>
        <v>1.8359181972073371E-4</v>
      </c>
      <c r="AE1321" s="27">
        <f t="shared" si="490"/>
        <v>1.7957439291813545E-4</v>
      </c>
      <c r="AF1321" s="27">
        <f t="shared" si="490"/>
        <v>1.755523008403134E-4</v>
      </c>
      <c r="AG1321" s="27">
        <f t="shared" si="490"/>
        <v>1.7152961801254253E-4</v>
      </c>
      <c r="AH1321" s="27">
        <f t="shared" si="490"/>
        <v>1.6750292947941527E-4</v>
      </c>
      <c r="AI1321" s="27">
        <f t="shared" si="490"/>
        <v>1.6348926203096887E-4</v>
      </c>
      <c r="AJ1321" s="27">
        <f t="shared" si="490"/>
        <v>1.5947933812342059E-4</v>
      </c>
      <c r="AK1321" s="27">
        <f t="shared" si="490"/>
        <v>1.5546856390163526E-4</v>
      </c>
      <c r="AL1321" s="27">
        <f t="shared" si="490"/>
        <v>1.5146136844841724E-4</v>
      </c>
      <c r="AM1321" s="27">
        <f t="shared" si="490"/>
        <v>1.4745487153712693E-4</v>
      </c>
      <c r="AN1321" s="27">
        <f t="shared" si="490"/>
        <v>1.4741953133663648E-4</v>
      </c>
      <c r="AO1321" s="27">
        <f t="shared" si="490"/>
        <v>1.4738046248420042E-4</v>
      </c>
      <c r="AP1321" s="27">
        <f t="shared" si="490"/>
        <v>1.4734338006246704E-4</v>
      </c>
      <c r="AQ1321" s="27">
        <f t="shared" si="490"/>
        <v>1.4730626726067262E-4</v>
      </c>
      <c r="AR1321" s="27">
        <f t="shared" si="490"/>
        <v>1.4726863965524179E-4</v>
      </c>
      <c r="AS1321" s="27">
        <f t="shared" si="490"/>
        <v>1.4723034455837211E-4</v>
      </c>
      <c r="AT1321" s="27">
        <f t="shared" si="490"/>
        <v>1.4718794427931263E-4</v>
      </c>
      <c r="AU1321" s="27">
        <f t="shared" si="490"/>
        <v>1.471582075761294E-4</v>
      </c>
      <c r="AV1321" s="27">
        <f t="shared" si="490"/>
        <v>1.4712953571578195E-4</v>
      </c>
      <c r="AW1321" s="27">
        <f t="shared" si="490"/>
        <v>1.4710063143036912E-4</v>
      </c>
      <c r="AY1321" s="79"/>
      <c r="AZ1321" s="79"/>
    </row>
    <row r="1322" spans="1:52" x14ac:dyDescent="0.2">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1.4773902228083995E-6</v>
      </c>
      <c r="U1322" s="27">
        <f t="shared" si="491"/>
        <v>1.4506682860989841E-6</v>
      </c>
      <c r="V1322" s="27">
        <f t="shared" si="491"/>
        <v>1.4240479611602403E-6</v>
      </c>
      <c r="W1322" s="27">
        <f t="shared" si="491"/>
        <v>1.3974620125529061E-6</v>
      </c>
      <c r="X1322" s="27">
        <f t="shared" si="491"/>
        <v>1.3708539090581582E-6</v>
      </c>
      <c r="Y1322" s="27">
        <f t="shared" si="491"/>
        <v>1.3442776284911632E-6</v>
      </c>
      <c r="Z1322" s="27">
        <f t="shared" si="491"/>
        <v>1.3177432171406802E-6</v>
      </c>
      <c r="AA1322" s="27">
        <f t="shared" si="491"/>
        <v>1.291230620182158E-6</v>
      </c>
      <c r="AB1322" s="27">
        <f t="shared" si="491"/>
        <v>1.2647430684237745E-6</v>
      </c>
      <c r="AC1322" s="27">
        <f t="shared" si="491"/>
        <v>1.2382156285675777E-6</v>
      </c>
      <c r="AD1322" s="27">
        <f t="shared" si="491"/>
        <v>1.2117060101568427E-6</v>
      </c>
      <c r="AE1322" s="27">
        <f t="shared" si="491"/>
        <v>1.1851909932596939E-6</v>
      </c>
      <c r="AF1322" s="27">
        <f t="shared" si="491"/>
        <v>1.1586451855460685E-6</v>
      </c>
      <c r="AG1322" s="27">
        <f t="shared" si="491"/>
        <v>1.1320954788827807E-6</v>
      </c>
      <c r="AH1322" s="27">
        <f t="shared" si="491"/>
        <v>1.1055193345641412E-6</v>
      </c>
      <c r="AI1322" s="27">
        <f t="shared" si="491"/>
        <v>1.079029129404395E-6</v>
      </c>
      <c r="AJ1322" s="27">
        <f t="shared" si="491"/>
        <v>1.0525636316145764E-6</v>
      </c>
      <c r="AK1322" s="27">
        <f t="shared" si="491"/>
        <v>1.0260925217507929E-6</v>
      </c>
      <c r="AL1322" s="27">
        <f t="shared" si="491"/>
        <v>9.9964503175955383E-7</v>
      </c>
      <c r="AM1322" s="27">
        <f t="shared" si="491"/>
        <v>9.7320215214503791E-7</v>
      </c>
      <c r="AN1322" s="27">
        <f t="shared" si="491"/>
        <v>9.7296890682180101E-7</v>
      </c>
      <c r="AO1322" s="27">
        <f t="shared" si="491"/>
        <v>9.7271105239572287E-7</v>
      </c>
      <c r="AP1322" s="27">
        <f t="shared" si="491"/>
        <v>9.7246630841228288E-7</v>
      </c>
      <c r="AQ1322" s="27">
        <f t="shared" si="491"/>
        <v>9.7222136392043923E-7</v>
      </c>
      <c r="AR1322" s="27">
        <f t="shared" si="491"/>
        <v>9.7197302172459607E-7</v>
      </c>
      <c r="AS1322" s="27">
        <f t="shared" si="491"/>
        <v>9.7172027408525621E-7</v>
      </c>
      <c r="AT1322" s="27">
        <f t="shared" si="491"/>
        <v>9.7144043224346358E-7</v>
      </c>
      <c r="AU1322" s="27">
        <f t="shared" si="491"/>
        <v>9.7124417000245432E-7</v>
      </c>
      <c r="AV1322" s="27">
        <f t="shared" si="491"/>
        <v>9.7105493572416109E-7</v>
      </c>
      <c r="AW1322" s="27">
        <f t="shared" si="491"/>
        <v>9.7086416744043641E-7</v>
      </c>
      <c r="AY1322" s="79"/>
      <c r="AZ1322" s="79"/>
    </row>
    <row r="1323" spans="1:52" x14ac:dyDescent="0.2">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0.20714502561891829</v>
      </c>
      <c r="L1323" s="27">
        <f t="shared" si="492"/>
        <v>0.20732835560623103</v>
      </c>
      <c r="M1323" s="27">
        <f t="shared" si="492"/>
        <v>0.20853137086969881</v>
      </c>
      <c r="N1323" s="27">
        <f t="shared" si="492"/>
        <v>0.20795637847695567</v>
      </c>
      <c r="O1323" s="27">
        <f t="shared" si="492"/>
        <v>0.20628301821112838</v>
      </c>
      <c r="P1323" s="27">
        <f t="shared" si="492"/>
        <v>0.20354939622414608</v>
      </c>
      <c r="Q1323" s="27">
        <f t="shared" si="492"/>
        <v>0.20178646732442315</v>
      </c>
      <c r="R1323" s="27">
        <f t="shared" si="492"/>
        <v>0.20021853233884618</v>
      </c>
      <c r="S1323" s="27">
        <f t="shared" si="492"/>
        <v>0.182530302660765</v>
      </c>
      <c r="T1323" s="27">
        <f t="shared" si="492"/>
        <v>0.18362159914038781</v>
      </c>
      <c r="U1323" s="27">
        <f t="shared" si="492"/>
        <v>0.18329701578277399</v>
      </c>
      <c r="V1323" s="27">
        <f t="shared" si="492"/>
        <v>0.18258353217883574</v>
      </c>
      <c r="W1323" s="27">
        <f t="shared" si="492"/>
        <v>0.18237497173751829</v>
      </c>
      <c r="X1323" s="27">
        <f t="shared" si="492"/>
        <v>0.18180928359485585</v>
      </c>
      <c r="Y1323" s="27">
        <f t="shared" si="492"/>
        <v>0.18071909409890338</v>
      </c>
      <c r="Z1323" s="27">
        <f t="shared" si="492"/>
        <v>0.17941063980361693</v>
      </c>
      <c r="AA1323" s="27">
        <f t="shared" si="492"/>
        <v>0.17782365275934536</v>
      </c>
      <c r="AB1323" s="27">
        <f t="shared" si="492"/>
        <v>0.17703293862909802</v>
      </c>
      <c r="AC1323" s="27">
        <f t="shared" si="492"/>
        <v>0.17608647275908224</v>
      </c>
      <c r="AD1323" s="27">
        <f t="shared" si="492"/>
        <v>0.17551268850904378</v>
      </c>
      <c r="AE1323" s="27">
        <f t="shared" si="492"/>
        <v>0.17560225872007373</v>
      </c>
      <c r="AF1323" s="27">
        <f t="shared" si="492"/>
        <v>0.17591223325072095</v>
      </c>
      <c r="AG1323" s="27">
        <f t="shared" si="492"/>
        <v>0.17685946995453214</v>
      </c>
      <c r="AH1323" s="27">
        <f t="shared" si="492"/>
        <v>0.1764290215215526</v>
      </c>
      <c r="AI1323" s="27">
        <f t="shared" si="492"/>
        <v>0.17569309816406262</v>
      </c>
      <c r="AJ1323" s="27">
        <f t="shared" si="492"/>
        <v>0.17520321832075564</v>
      </c>
      <c r="AK1323" s="27">
        <f t="shared" si="492"/>
        <v>0.17441542395384199</v>
      </c>
      <c r="AL1323" s="27">
        <f t="shared" si="492"/>
        <v>0.17368496032159758</v>
      </c>
      <c r="AM1323" s="27">
        <f t="shared" si="492"/>
        <v>0.17282554969832128</v>
      </c>
      <c r="AN1323" s="27">
        <f t="shared" si="492"/>
        <v>0.17529513572745209</v>
      </c>
      <c r="AO1323" s="27">
        <f t="shared" si="492"/>
        <v>0.17752590064863141</v>
      </c>
      <c r="AP1323" s="27">
        <f t="shared" si="492"/>
        <v>0.17977281486777175</v>
      </c>
      <c r="AQ1323" s="27">
        <f t="shared" si="492"/>
        <v>0.18209888618175635</v>
      </c>
      <c r="AR1323" s="27">
        <f t="shared" si="492"/>
        <v>0.18452556679984311</v>
      </c>
      <c r="AS1323" s="27">
        <f t="shared" si="492"/>
        <v>0.18750966405861641</v>
      </c>
      <c r="AT1323" s="27">
        <f t="shared" si="492"/>
        <v>0.18883850774924718</v>
      </c>
      <c r="AU1323" s="27">
        <f t="shared" si="492"/>
        <v>0.1900303455570056</v>
      </c>
      <c r="AV1323" s="27">
        <f t="shared" si="492"/>
        <v>0.1912562781085789</v>
      </c>
      <c r="AW1323" s="27">
        <f t="shared" si="492"/>
        <v>0.19244496505121805</v>
      </c>
      <c r="AY1323" s="79"/>
      <c r="AZ1323" s="79"/>
    </row>
    <row r="1324" spans="1:52" x14ac:dyDescent="0.2">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2">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0.10241934435921343</v>
      </c>
      <c r="U1325" s="27">
        <f t="shared" si="500"/>
        <v>0.10289653491421205</v>
      </c>
      <c r="V1325" s="27">
        <f t="shared" si="500"/>
        <v>0.10327004584650011</v>
      </c>
      <c r="W1325" s="27">
        <f t="shared" si="500"/>
        <v>0.10361580205805489</v>
      </c>
      <c r="X1325" s="27">
        <f t="shared" si="500"/>
        <v>0.10400228370418145</v>
      </c>
      <c r="Y1325" s="27">
        <f t="shared" si="500"/>
        <v>0.10436365961419813</v>
      </c>
      <c r="Z1325" s="27">
        <f t="shared" si="500"/>
        <v>0.10468547747303018</v>
      </c>
      <c r="AA1325" s="27">
        <f t="shared" si="500"/>
        <v>0.10499170031407964</v>
      </c>
      <c r="AB1325" s="27">
        <f t="shared" si="500"/>
        <v>0.10527701862309623</v>
      </c>
      <c r="AC1325" s="27">
        <f t="shared" si="500"/>
        <v>0.1056291315333171</v>
      </c>
      <c r="AD1325" s="27">
        <f t="shared" si="500"/>
        <v>0.10597154194356044</v>
      </c>
      <c r="AE1325" s="27">
        <f t="shared" si="500"/>
        <v>0.10633685217660206</v>
      </c>
      <c r="AF1325" s="27">
        <f t="shared" si="500"/>
        <v>0.10676379979132655</v>
      </c>
      <c r="AG1325" s="27">
        <f t="shared" si="500"/>
        <v>0.10721638113028523</v>
      </c>
      <c r="AH1325" s="27">
        <f t="shared" si="500"/>
        <v>0.10773098998066055</v>
      </c>
      <c r="AI1325" s="27">
        <f t="shared" si="500"/>
        <v>0.10813560058948724</v>
      </c>
      <c r="AJ1325" s="27">
        <f t="shared" si="500"/>
        <v>0.10852058648676627</v>
      </c>
      <c r="AK1325" s="27">
        <f t="shared" si="500"/>
        <v>0.10893451048846137</v>
      </c>
      <c r="AL1325" s="27">
        <f t="shared" si="500"/>
        <v>0.10933011198993048</v>
      </c>
      <c r="AM1325" s="27">
        <f t="shared" si="500"/>
        <v>0.10973899199424218</v>
      </c>
      <c r="AN1325" s="27">
        <f t="shared" si="500"/>
        <v>0.11014489253259981</v>
      </c>
      <c r="AO1325" s="27">
        <f t="shared" si="500"/>
        <v>0.11059361857310758</v>
      </c>
      <c r="AP1325" s="27">
        <f t="shared" si="500"/>
        <v>0.11101952942636521</v>
      </c>
      <c r="AQ1325" s="27">
        <f t="shared" si="500"/>
        <v>0.11144578921038648</v>
      </c>
      <c r="AR1325" s="27">
        <f t="shared" si="500"/>
        <v>0.11187796178126933</v>
      </c>
      <c r="AS1325" s="27">
        <f t="shared" si="500"/>
        <v>0.11231780083764567</v>
      </c>
      <c r="AT1325" s="27">
        <f t="shared" si="500"/>
        <v>0.1128047900413833</v>
      </c>
      <c r="AU1325" s="27">
        <f t="shared" si="500"/>
        <v>0.11314633150587833</v>
      </c>
      <c r="AV1325" s="27">
        <f t="shared" si="500"/>
        <v>0.11347564269792666</v>
      </c>
      <c r="AW1325" s="27">
        <f t="shared" si="500"/>
        <v>0.1138076234124414</v>
      </c>
      <c r="AY1325" s="79"/>
      <c r="AZ1325" s="79"/>
    </row>
    <row r="1326" spans="1:52" x14ac:dyDescent="0.2">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2">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2">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2">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2">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2">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2">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2">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2">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2">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2">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2">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2">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0.39831175345583053</v>
      </c>
      <c r="M1338" s="27">
        <f t="shared" si="513"/>
        <v>0.40145358914715529</v>
      </c>
      <c r="N1338" s="27">
        <f t="shared" si="513"/>
        <v>0.40347255325329029</v>
      </c>
      <c r="O1338" s="27">
        <f t="shared" si="513"/>
        <v>0.40481416413578281</v>
      </c>
      <c r="P1338" s="27">
        <f t="shared" si="513"/>
        <v>0.40546521734783814</v>
      </c>
      <c r="Q1338" s="27">
        <f t="shared" si="513"/>
        <v>0.40690363619044922</v>
      </c>
      <c r="R1338" s="27">
        <f t="shared" si="513"/>
        <v>0.40855374420631185</v>
      </c>
      <c r="S1338" s="27">
        <f t="shared" si="513"/>
        <v>0.39736949652274572</v>
      </c>
      <c r="T1338" s="27">
        <f t="shared" si="513"/>
        <v>0.40193613647411602</v>
      </c>
      <c r="U1338" s="27">
        <f t="shared" si="513"/>
        <v>0.40551458062818502</v>
      </c>
      <c r="V1338" s="27">
        <f t="shared" si="513"/>
        <v>0.40890476326282849</v>
      </c>
      <c r="W1338" s="27">
        <f t="shared" si="513"/>
        <v>0.41286821795762335</v>
      </c>
      <c r="X1338" s="27">
        <f t="shared" si="513"/>
        <v>0.4166639118790918</v>
      </c>
      <c r="Y1338" s="27">
        <f t="shared" si="513"/>
        <v>0.4198473343142145</v>
      </c>
      <c r="Z1338" s="27">
        <f t="shared" si="513"/>
        <v>0.42294233840413964</v>
      </c>
      <c r="AA1338" s="27">
        <f t="shared" si="513"/>
        <v>0.42587799118724151</v>
      </c>
      <c r="AB1338" s="27">
        <f t="shared" si="513"/>
        <v>0.42969675362549747</v>
      </c>
      <c r="AC1338" s="27">
        <f t="shared" si="513"/>
        <v>0.43349587939767537</v>
      </c>
      <c r="AD1338" s="27">
        <f t="shared" si="513"/>
        <v>0.43745946625570531</v>
      </c>
      <c r="AE1338" s="27">
        <f t="shared" si="513"/>
        <v>0.44229495321809359</v>
      </c>
      <c r="AF1338" s="27">
        <f t="shared" si="513"/>
        <v>0.44758124575636155</v>
      </c>
      <c r="AG1338" s="27">
        <f t="shared" si="513"/>
        <v>0.45381269752253439</v>
      </c>
      <c r="AH1338" s="27">
        <f t="shared" si="513"/>
        <v>0.45874802300299961</v>
      </c>
      <c r="AI1338" s="27">
        <f t="shared" si="513"/>
        <v>0.46333288688967006</v>
      </c>
      <c r="AJ1338" s="27">
        <f t="shared" si="513"/>
        <v>0.46842040791737738</v>
      </c>
      <c r="AK1338" s="27">
        <f t="shared" si="513"/>
        <v>0.47337132456140918</v>
      </c>
      <c r="AL1338" s="27">
        <f t="shared" si="513"/>
        <v>0.47862201153126527</v>
      </c>
      <c r="AM1338" s="27">
        <f t="shared" si="513"/>
        <v>0.48394817784516875</v>
      </c>
      <c r="AN1338" s="27">
        <f t="shared" si="513"/>
        <v>0.48983437623076936</v>
      </c>
      <c r="AO1338" s="27">
        <f t="shared" si="513"/>
        <v>0.49551952889490208</v>
      </c>
      <c r="AP1338" s="27">
        <f t="shared" si="513"/>
        <v>0.50133983118096659</v>
      </c>
      <c r="AQ1338" s="27">
        <f t="shared" si="513"/>
        <v>0.50738353443884876</v>
      </c>
      <c r="AR1338" s="27">
        <f t="shared" si="513"/>
        <v>0.51368519045610384</v>
      </c>
      <c r="AS1338" s="27">
        <f t="shared" si="513"/>
        <v>0.52070203752488053</v>
      </c>
      <c r="AT1338" s="27">
        <f t="shared" si="513"/>
        <v>0.52550112442398844</v>
      </c>
      <c r="AU1338" s="27">
        <f t="shared" si="513"/>
        <v>0.53018983852857582</v>
      </c>
      <c r="AV1338" s="27">
        <f t="shared" si="513"/>
        <v>0.53501141383334805</v>
      </c>
      <c r="AW1338" s="27">
        <f t="shared" si="513"/>
        <v>0.53986293449927925</v>
      </c>
      <c r="AY1338" s="79"/>
      <c r="AZ1338" s="79"/>
    </row>
    <row r="1339" spans="1:52" x14ac:dyDescent="0.2">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3.1424516095088999E-2</v>
      </c>
      <c r="M1339" s="27">
        <f t="shared" si="515"/>
        <v>3.1672388936885787E-2</v>
      </c>
      <c r="N1339" s="27">
        <f t="shared" si="515"/>
        <v>3.1831673641638247E-2</v>
      </c>
      <c r="O1339" s="27">
        <f t="shared" si="515"/>
        <v>3.1937519056453263E-2</v>
      </c>
      <c r="P1339" s="27">
        <f t="shared" si="515"/>
        <v>3.198888342610464E-2</v>
      </c>
      <c r="Q1339" s="27">
        <f t="shared" si="515"/>
        <v>3.2102366434524382E-2</v>
      </c>
      <c r="R1339" s="27">
        <f t="shared" si="515"/>
        <v>3.2232550506305392E-2</v>
      </c>
      <c r="S1339" s="27">
        <f t="shared" si="515"/>
        <v>3.1350177419660695E-2</v>
      </c>
      <c r="T1339" s="27">
        <f t="shared" si="515"/>
        <v>3.1710459157287665E-2</v>
      </c>
      <c r="U1339" s="27">
        <f t="shared" si="515"/>
        <v>3.19927779062055E-2</v>
      </c>
      <c r="V1339" s="27">
        <f t="shared" si="515"/>
        <v>3.2260243899471644E-2</v>
      </c>
      <c r="W1339" s="27">
        <f t="shared" si="515"/>
        <v>3.2572937774980257E-2</v>
      </c>
      <c r="X1339" s="27">
        <f t="shared" si="515"/>
        <v>3.2872396286290406E-2</v>
      </c>
      <c r="Y1339" s="27">
        <f t="shared" si="515"/>
        <v>3.3123550083992911E-2</v>
      </c>
      <c r="Z1339" s="27">
        <f t="shared" si="515"/>
        <v>3.336772818065812E-2</v>
      </c>
      <c r="AA1339" s="27">
        <f t="shared" si="515"/>
        <v>3.3599334371868343E-2</v>
      </c>
      <c r="AB1339" s="27">
        <f t="shared" si="515"/>
        <v>3.3900612857032622E-2</v>
      </c>
      <c r="AC1339" s="27">
        <f t="shared" si="515"/>
        <v>3.4200342121708499E-2</v>
      </c>
      <c r="AD1339" s="27">
        <f t="shared" si="515"/>
        <v>3.4513046424139431E-2</v>
      </c>
      <c r="AE1339" s="27">
        <f t="shared" si="515"/>
        <v>3.4894538651167102E-2</v>
      </c>
      <c r="AF1339" s="27">
        <f t="shared" si="515"/>
        <v>3.5311596856231003E-2</v>
      </c>
      <c r="AG1339" s="27">
        <f t="shared" si="515"/>
        <v>3.5803222711162215E-2</v>
      </c>
      <c r="AH1339" s="27">
        <f t="shared" si="515"/>
        <v>3.6192591625460596E-2</v>
      </c>
      <c r="AI1339" s="27">
        <f t="shared" si="515"/>
        <v>3.6554311127208743E-2</v>
      </c>
      <c r="AJ1339" s="27">
        <f t="shared" si="515"/>
        <v>3.6955687398514313E-2</v>
      </c>
      <c r="AK1339" s="27">
        <f t="shared" si="515"/>
        <v>3.7346286366322763E-2</v>
      </c>
      <c r="AL1339" s="27">
        <f t="shared" si="515"/>
        <v>3.7760535495962914E-2</v>
      </c>
      <c r="AM1339" s="27">
        <f t="shared" si="515"/>
        <v>3.8180739513555217E-2</v>
      </c>
      <c r="AN1339" s="27">
        <f t="shared" si="515"/>
        <v>3.8645126854130414E-2</v>
      </c>
      <c r="AO1339" s="27">
        <f t="shared" si="515"/>
        <v>3.9093652838731792E-2</v>
      </c>
      <c r="AP1339" s="27">
        <f t="shared" si="515"/>
        <v>3.9552841354460577E-2</v>
      </c>
      <c r="AQ1339" s="27">
        <f t="shared" si="515"/>
        <v>4.0029654927380476E-2</v>
      </c>
      <c r="AR1339" s="27">
        <f t="shared" si="515"/>
        <v>4.0526819495640978E-2</v>
      </c>
      <c r="AS1339" s="27">
        <f t="shared" si="515"/>
        <v>4.1080408541749817E-2</v>
      </c>
      <c r="AT1339" s="27">
        <f t="shared" si="515"/>
        <v>4.145902901225889E-2</v>
      </c>
      <c r="AU1339" s="27">
        <f t="shared" si="515"/>
        <v>4.1828941701418883E-2</v>
      </c>
      <c r="AV1339" s="27">
        <f t="shared" si="515"/>
        <v>4.2209336378336959E-2</v>
      </c>
      <c r="AW1339" s="27">
        <f t="shared" si="515"/>
        <v>4.2592093572744245E-2</v>
      </c>
      <c r="AY1339" s="79"/>
      <c r="AZ1339" s="79"/>
    </row>
    <row r="1340" spans="1:52" x14ac:dyDescent="0.2">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2.9129279224209421E-4</v>
      </c>
      <c r="M1340" s="27">
        <f t="shared" si="516"/>
        <v>2.9359047510821973E-4</v>
      </c>
      <c r="N1340" s="27">
        <f t="shared" si="516"/>
        <v>2.9506698110336069E-4</v>
      </c>
      <c r="O1340" s="27">
        <f t="shared" si="516"/>
        <v>2.960481260901027E-4</v>
      </c>
      <c r="P1340" s="27">
        <f t="shared" si="516"/>
        <v>2.9652425341095714E-4</v>
      </c>
      <c r="Q1340" s="27">
        <f t="shared" si="516"/>
        <v>2.9757619585915883E-4</v>
      </c>
      <c r="R1340" s="27">
        <f t="shared" si="516"/>
        <v>2.9878295053629647E-4</v>
      </c>
      <c r="S1340" s="27">
        <f t="shared" si="516"/>
        <v>2.906037022248744E-4</v>
      </c>
      <c r="T1340" s="27">
        <f t="shared" si="516"/>
        <v>2.9394337094179688E-4</v>
      </c>
      <c r="U1340" s="27">
        <f t="shared" si="516"/>
        <v>2.9656035369582628E-4</v>
      </c>
      <c r="V1340" s="27">
        <f t="shared" si="516"/>
        <v>2.9903965729981968E-4</v>
      </c>
      <c r="W1340" s="27">
        <f t="shared" si="516"/>
        <v>3.0193820542187468E-4</v>
      </c>
      <c r="X1340" s="27">
        <f t="shared" si="516"/>
        <v>3.0471406697074431E-4</v>
      </c>
      <c r="Y1340" s="27">
        <f t="shared" si="516"/>
        <v>3.0704216299594947E-4</v>
      </c>
      <c r="Z1340" s="27">
        <f t="shared" si="516"/>
        <v>3.093055970410988E-4</v>
      </c>
      <c r="AA1340" s="27">
        <f t="shared" si="516"/>
        <v>3.1145249451229731E-4</v>
      </c>
      <c r="AB1340" s="27">
        <f t="shared" si="516"/>
        <v>3.1424522649647207E-4</v>
      </c>
      <c r="AC1340" s="27">
        <f t="shared" si="516"/>
        <v>3.1702359782158373E-4</v>
      </c>
      <c r="AD1340" s="27">
        <f t="shared" si="516"/>
        <v>3.1992224259707024E-4</v>
      </c>
      <c r="AE1340" s="27">
        <f t="shared" si="516"/>
        <v>3.2345852413258482E-4</v>
      </c>
      <c r="AF1340" s="27">
        <f t="shared" si="516"/>
        <v>3.2732448816884659E-4</v>
      </c>
      <c r="AG1340" s="27">
        <f t="shared" si="516"/>
        <v>3.3188166472450077E-4</v>
      </c>
      <c r="AH1340" s="27">
        <f t="shared" si="516"/>
        <v>3.3549096002486584E-4</v>
      </c>
      <c r="AI1340" s="27">
        <f t="shared" si="516"/>
        <v>3.3884395624456256E-4</v>
      </c>
      <c r="AJ1340" s="27">
        <f t="shared" si="516"/>
        <v>3.4256455497882901E-4</v>
      </c>
      <c r="AK1340" s="27">
        <f t="shared" si="516"/>
        <v>3.4618525238704095E-4</v>
      </c>
      <c r="AL1340" s="27">
        <f t="shared" si="516"/>
        <v>3.5002517740900785E-4</v>
      </c>
      <c r="AM1340" s="27">
        <f t="shared" si="516"/>
        <v>3.539203018788781E-4</v>
      </c>
      <c r="AN1340" s="27">
        <f t="shared" si="516"/>
        <v>3.5822498821704474E-4</v>
      </c>
      <c r="AO1340" s="27">
        <f t="shared" si="516"/>
        <v>3.6238264608048877E-4</v>
      </c>
      <c r="AP1340" s="27">
        <f t="shared" si="516"/>
        <v>3.6663914137567152E-4</v>
      </c>
      <c r="AQ1340" s="27">
        <f t="shared" si="516"/>
        <v>3.7105901395587245E-4</v>
      </c>
      <c r="AR1340" s="27">
        <f t="shared" si="516"/>
        <v>3.756675321858498E-4</v>
      </c>
      <c r="AS1340" s="27">
        <f t="shared" si="516"/>
        <v>3.8079908293137994E-4</v>
      </c>
      <c r="AT1340" s="27">
        <f t="shared" si="516"/>
        <v>3.8430874442372815E-4</v>
      </c>
      <c r="AU1340" s="27">
        <f t="shared" si="516"/>
        <v>3.877376882389691E-4</v>
      </c>
      <c r="AV1340" s="27">
        <f t="shared" si="516"/>
        <v>3.9126379592057032E-4</v>
      </c>
      <c r="AW1340" s="27">
        <f t="shared" si="516"/>
        <v>3.9481180320164583E-4</v>
      </c>
      <c r="AY1340" s="79"/>
      <c r="AZ1340" s="79"/>
    </row>
    <row r="1341" spans="1:52" x14ac:dyDescent="0.2">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3.2323215352203891E-3</v>
      </c>
      <c r="L1341" s="27">
        <f t="shared" si="517"/>
        <v>3.2042886428129457E-3</v>
      </c>
      <c r="M1341" s="27">
        <f t="shared" si="517"/>
        <v>3.193617369300608E-3</v>
      </c>
      <c r="N1341" s="27">
        <f t="shared" si="517"/>
        <v>3.150970789688672E-3</v>
      </c>
      <c r="O1341" s="27">
        <f t="shared" si="517"/>
        <v>3.0890682378804132E-3</v>
      </c>
      <c r="P1341" s="27">
        <f t="shared" si="517"/>
        <v>3.0091897617382942E-3</v>
      </c>
      <c r="Q1341" s="27">
        <f t="shared" si="517"/>
        <v>2.9461872714039495E-3</v>
      </c>
      <c r="R1341" s="27">
        <f t="shared" si="517"/>
        <v>2.8865797531671877E-3</v>
      </c>
      <c r="S1341" s="27">
        <f t="shared" si="517"/>
        <v>2.561902690551985E-3</v>
      </c>
      <c r="T1341" s="27">
        <f t="shared" si="517"/>
        <v>2.6109067650953812E-3</v>
      </c>
      <c r="U1341" s="27">
        <f t="shared" si="517"/>
        <v>2.6371073705861066E-3</v>
      </c>
      <c r="V1341" s="27">
        <f t="shared" si="517"/>
        <v>2.6572763543899086E-3</v>
      </c>
      <c r="W1341" s="27">
        <f t="shared" si="517"/>
        <v>2.6864577406949136E-3</v>
      </c>
      <c r="X1341" s="27">
        <f t="shared" si="517"/>
        <v>2.7101399939897432E-3</v>
      </c>
      <c r="Y1341" s="27">
        <f t="shared" si="517"/>
        <v>2.7254068910752506E-3</v>
      </c>
      <c r="Z1341" s="27">
        <f t="shared" si="517"/>
        <v>2.7372910281189241E-3</v>
      </c>
      <c r="AA1341" s="27">
        <f t="shared" si="517"/>
        <v>2.7446565965779596E-3</v>
      </c>
      <c r="AB1341" s="27">
        <f t="shared" si="517"/>
        <v>2.766461574169799E-3</v>
      </c>
      <c r="AC1341" s="27">
        <f t="shared" si="517"/>
        <v>2.7860807889478114E-3</v>
      </c>
      <c r="AD1341" s="27">
        <f t="shared" si="517"/>
        <v>2.7870926745375917E-3</v>
      </c>
      <c r="AE1341" s="27">
        <f t="shared" si="517"/>
        <v>2.8002357420559331E-3</v>
      </c>
      <c r="AF1341" s="27">
        <f t="shared" si="517"/>
        <v>2.8176157227712195E-3</v>
      </c>
      <c r="AG1341" s="27">
        <f t="shared" si="517"/>
        <v>2.8467949657152583E-3</v>
      </c>
      <c r="AH1341" s="27">
        <f t="shared" si="517"/>
        <v>2.8514553566539535E-3</v>
      </c>
      <c r="AI1341" s="27">
        <f t="shared" si="517"/>
        <v>2.8509661505713695E-3</v>
      </c>
      <c r="AJ1341" s="27">
        <f t="shared" si="517"/>
        <v>2.8552472952040066E-3</v>
      </c>
      <c r="AK1341" s="27">
        <f t="shared" si="517"/>
        <v>2.8544571157094324E-3</v>
      </c>
      <c r="AL1341" s="27">
        <f t="shared" si="517"/>
        <v>2.8550616993206577E-3</v>
      </c>
      <c r="AM1341" s="27">
        <f t="shared" si="517"/>
        <v>2.8536896120201398E-3</v>
      </c>
      <c r="AN1341" s="27">
        <f t="shared" si="517"/>
        <v>2.8741715259670993E-3</v>
      </c>
      <c r="AO1341" s="27">
        <f t="shared" si="517"/>
        <v>2.8891552087920934E-3</v>
      </c>
      <c r="AP1341" s="27">
        <f t="shared" si="517"/>
        <v>2.9032743711579932E-3</v>
      </c>
      <c r="AQ1341" s="27">
        <f t="shared" si="517"/>
        <v>2.9176093020266492E-3</v>
      </c>
      <c r="AR1341" s="27">
        <f t="shared" si="517"/>
        <v>2.9324708677435766E-3</v>
      </c>
      <c r="AS1341" s="27">
        <f t="shared" si="517"/>
        <v>2.955760646257155E-3</v>
      </c>
      <c r="AT1341" s="27">
        <f t="shared" si="517"/>
        <v>2.949200862307677E-3</v>
      </c>
      <c r="AU1341" s="27">
        <f t="shared" si="517"/>
        <v>2.9393657295562411E-3</v>
      </c>
      <c r="AV1341" s="27">
        <f t="shared" si="517"/>
        <v>2.9291791996267137E-3</v>
      </c>
      <c r="AW1341" s="27">
        <f t="shared" si="517"/>
        <v>2.9174224191291709E-3</v>
      </c>
      <c r="AY1341" s="79"/>
      <c r="AZ1341" s="79"/>
    </row>
    <row r="1342" spans="1:52" x14ac:dyDescent="0.2">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1.6090517274103575E-2</v>
      </c>
      <c r="L1342" s="27">
        <f t="shared" si="518"/>
        <v>1.5950969356419611E-2</v>
      </c>
      <c r="M1342" s="27">
        <f t="shared" si="518"/>
        <v>1.5897847688628834E-2</v>
      </c>
      <c r="N1342" s="27">
        <f t="shared" si="518"/>
        <v>1.5685552742581484E-2</v>
      </c>
      <c r="O1342" s="27">
        <f t="shared" si="518"/>
        <v>1.5377401443792467E-2</v>
      </c>
      <c r="P1342" s="27">
        <f t="shared" si="518"/>
        <v>1.4979765878707444E-2</v>
      </c>
      <c r="Q1342" s="27">
        <f t="shared" si="518"/>
        <v>1.4666139078901097E-2</v>
      </c>
      <c r="R1342" s="27">
        <f t="shared" si="518"/>
        <v>1.4369412471908495E-2</v>
      </c>
      <c r="S1342" s="27">
        <f t="shared" si="518"/>
        <v>1.2753167977791692E-2</v>
      </c>
      <c r="T1342" s="27">
        <f t="shared" si="518"/>
        <v>1.2997110574266151E-2</v>
      </c>
      <c r="U1342" s="27">
        <f t="shared" si="518"/>
        <v>1.312753735596061E-2</v>
      </c>
      <c r="V1342" s="27">
        <f t="shared" si="518"/>
        <v>1.3227938686323331E-2</v>
      </c>
      <c r="W1342" s="27">
        <f t="shared" si="518"/>
        <v>1.337320381397436E-2</v>
      </c>
      <c r="X1342" s="27">
        <f t="shared" si="518"/>
        <v>1.349109422233195E-2</v>
      </c>
      <c r="Y1342" s="27">
        <f t="shared" si="518"/>
        <v>1.3567092933660515E-2</v>
      </c>
      <c r="Z1342" s="27">
        <f t="shared" si="518"/>
        <v>1.3626252243866949E-2</v>
      </c>
      <c r="AA1342" s="27">
        <f t="shared" si="518"/>
        <v>1.3662918090761304E-2</v>
      </c>
      <c r="AB1342" s="27">
        <f t="shared" si="518"/>
        <v>1.3771463408663595E-2</v>
      </c>
      <c r="AC1342" s="27">
        <f t="shared" si="518"/>
        <v>1.3869127985299977E-2</v>
      </c>
      <c r="AD1342" s="27">
        <f t="shared" si="518"/>
        <v>1.3874165158237254E-2</v>
      </c>
      <c r="AE1342" s="27">
        <f t="shared" si="518"/>
        <v>1.3939591432397862E-2</v>
      </c>
      <c r="AF1342" s="27">
        <f t="shared" si="518"/>
        <v>1.4026109087549346E-2</v>
      </c>
      <c r="AG1342" s="27">
        <f t="shared" si="518"/>
        <v>1.4171363545535784E-2</v>
      </c>
      <c r="AH1342" s="27">
        <f t="shared" si="518"/>
        <v>1.4194563001433364E-2</v>
      </c>
      <c r="AI1342" s="27">
        <f t="shared" si="518"/>
        <v>1.4192127730425623E-2</v>
      </c>
      <c r="AJ1342" s="27">
        <f t="shared" si="518"/>
        <v>1.4213439295786241E-2</v>
      </c>
      <c r="AK1342" s="27">
        <f t="shared" si="518"/>
        <v>1.4209505777208791E-2</v>
      </c>
      <c r="AL1342" s="27">
        <f t="shared" si="518"/>
        <v>1.4212515398291981E-2</v>
      </c>
      <c r="AM1342" s="27">
        <f t="shared" si="518"/>
        <v>1.4205685138935052E-2</v>
      </c>
      <c r="AN1342" s="27">
        <f t="shared" si="518"/>
        <v>1.4307644237551697E-2</v>
      </c>
      <c r="AO1342" s="27">
        <f t="shared" si="518"/>
        <v>1.4382233106480177E-2</v>
      </c>
      <c r="AP1342" s="27">
        <f t="shared" si="518"/>
        <v>1.4452518387034392E-2</v>
      </c>
      <c r="AQ1342" s="27">
        <f t="shared" si="518"/>
        <v>1.4523877764575229E-2</v>
      </c>
      <c r="AR1342" s="27">
        <f t="shared" si="518"/>
        <v>1.4597858733758781E-2</v>
      </c>
      <c r="AS1342" s="27">
        <f t="shared" si="518"/>
        <v>1.4713795400145288E-2</v>
      </c>
      <c r="AT1342" s="27">
        <f t="shared" si="518"/>
        <v>1.4681140753692774E-2</v>
      </c>
      <c r="AU1342" s="27">
        <f t="shared" si="518"/>
        <v>1.4632181399957167E-2</v>
      </c>
      <c r="AV1342" s="27">
        <f t="shared" si="518"/>
        <v>1.4581472788821714E-2</v>
      </c>
      <c r="AW1342" s="27">
        <f t="shared" si="518"/>
        <v>1.4522947460316408E-2</v>
      </c>
      <c r="AY1342" s="79"/>
      <c r="AZ1342" s="79"/>
    </row>
    <row r="1343" spans="1:52" x14ac:dyDescent="0.2">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0.15836052531214873</v>
      </c>
      <c r="L1343" s="27">
        <f t="shared" si="519"/>
        <v>0.16370016056893644</v>
      </c>
      <c r="M1343" s="27">
        <f t="shared" si="519"/>
        <v>0.17003774892948584</v>
      </c>
      <c r="N1343" s="27">
        <f t="shared" si="519"/>
        <v>0.17476418316081974</v>
      </c>
      <c r="O1343" s="27">
        <f t="shared" si="519"/>
        <v>0.17840915017095665</v>
      </c>
      <c r="P1343" s="27">
        <f t="shared" si="519"/>
        <v>0.18092055691117107</v>
      </c>
      <c r="Q1343" s="27">
        <f t="shared" si="519"/>
        <v>0.18434967364231716</v>
      </c>
      <c r="R1343" s="27">
        <f t="shared" si="519"/>
        <v>0.18794438918293385</v>
      </c>
      <c r="S1343" s="27">
        <f t="shared" si="519"/>
        <v>0.17354626936315642</v>
      </c>
      <c r="T1343" s="27">
        <f t="shared" si="519"/>
        <v>0.18112703744691877</v>
      </c>
      <c r="U1343" s="27">
        <f t="shared" si="519"/>
        <v>0.18729176246517146</v>
      </c>
      <c r="V1343" s="27">
        <f t="shared" si="519"/>
        <v>0.19315163846975197</v>
      </c>
      <c r="W1343" s="27">
        <f t="shared" si="519"/>
        <v>0.1997999174777515</v>
      </c>
      <c r="X1343" s="27">
        <f t="shared" si="519"/>
        <v>0.20618321754826516</v>
      </c>
      <c r="Y1343" s="27">
        <f t="shared" si="519"/>
        <v>0.21205125968323466</v>
      </c>
      <c r="Z1343" s="27">
        <f t="shared" si="519"/>
        <v>0.21776504311044109</v>
      </c>
      <c r="AA1343" s="27">
        <f t="shared" si="519"/>
        <v>0.22321845446592189</v>
      </c>
      <c r="AB1343" s="27">
        <f t="shared" si="519"/>
        <v>0.22996706841629874</v>
      </c>
      <c r="AC1343" s="27">
        <f t="shared" si="519"/>
        <v>0.23668130693108949</v>
      </c>
      <c r="AD1343" s="27">
        <f t="shared" si="519"/>
        <v>0.24461911204797512</v>
      </c>
      <c r="AE1343" s="27">
        <f t="shared" si="519"/>
        <v>0.25393877237777696</v>
      </c>
      <c r="AF1343" s="27">
        <f t="shared" si="519"/>
        <v>0.26402636464996099</v>
      </c>
      <c r="AG1343" s="27">
        <f t="shared" si="519"/>
        <v>0.27567496604841074</v>
      </c>
      <c r="AH1343" s="27">
        <f t="shared" si="519"/>
        <v>0.28538857228327053</v>
      </c>
      <c r="AI1343" s="27">
        <f t="shared" si="519"/>
        <v>0.29495307266242238</v>
      </c>
      <c r="AJ1343" s="27">
        <f t="shared" si="519"/>
        <v>0.3053980286161922</v>
      </c>
      <c r="AK1343" s="27">
        <f t="shared" si="519"/>
        <v>0.3157092357133186</v>
      </c>
      <c r="AL1343" s="27">
        <f t="shared" si="519"/>
        <v>0.32659469477462816</v>
      </c>
      <c r="AM1343" s="27">
        <f t="shared" si="519"/>
        <v>0.33769759276940581</v>
      </c>
      <c r="AN1343" s="27">
        <f t="shared" si="519"/>
        <v>0.34971796912079089</v>
      </c>
      <c r="AO1343" s="27">
        <f t="shared" si="519"/>
        <v>0.36149422928557057</v>
      </c>
      <c r="AP1343" s="27">
        <f t="shared" si="519"/>
        <v>0.3735858155993782</v>
      </c>
      <c r="AQ1343" s="27">
        <f t="shared" si="519"/>
        <v>0.38614747590772142</v>
      </c>
      <c r="AR1343" s="27">
        <f t="shared" si="519"/>
        <v>0.3992463303443215</v>
      </c>
      <c r="AS1343" s="27">
        <f t="shared" si="519"/>
        <v>0.41401924594323458</v>
      </c>
      <c r="AT1343" s="27">
        <f t="shared" si="519"/>
        <v>0.42507748495703629</v>
      </c>
      <c r="AU1343" s="27">
        <f t="shared" si="519"/>
        <v>0.43601753921735037</v>
      </c>
      <c r="AV1343" s="27">
        <f t="shared" si="519"/>
        <v>0.44726275396189152</v>
      </c>
      <c r="AW1343" s="27">
        <f t="shared" si="519"/>
        <v>0.45863622701416706</v>
      </c>
      <c r="AY1343" s="79"/>
      <c r="AZ1343" s="79"/>
    </row>
    <row r="1344" spans="1:52" x14ac:dyDescent="0.2">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1.195503235691774E-4</v>
      </c>
      <c r="T1344" s="27">
        <f t="shared" si="520"/>
        <v>1.1973238900774034E-4</v>
      </c>
      <c r="U1344" s="27">
        <f t="shared" si="520"/>
        <v>1.1993816652481025E-4</v>
      </c>
      <c r="V1344" s="27">
        <f t="shared" si="520"/>
        <v>1.2017030175701969E-4</v>
      </c>
      <c r="W1344" s="27">
        <f t="shared" si="520"/>
        <v>1.2043143682964787E-4</v>
      </c>
      <c r="X1344" s="27">
        <f t="shared" si="520"/>
        <v>1.2071612652319093E-4</v>
      </c>
      <c r="Y1344" s="27">
        <f t="shared" si="520"/>
        <v>1.2088927246048491E-4</v>
      </c>
      <c r="Z1344" s="27">
        <f t="shared" si="520"/>
        <v>1.2108266651499932E-4</v>
      </c>
      <c r="AA1344" s="27">
        <f t="shared" si="520"/>
        <v>1.2129489002398719E-4</v>
      </c>
      <c r="AB1344" s="27">
        <f t="shared" si="520"/>
        <v>1.2153074787723059E-4</v>
      </c>
      <c r="AC1344" s="27">
        <f t="shared" si="520"/>
        <v>1.2178444503760319E-4</v>
      </c>
      <c r="AD1344" s="27">
        <f t="shared" si="520"/>
        <v>1.2195021859922819E-4</v>
      </c>
      <c r="AE1344" s="27">
        <f t="shared" si="520"/>
        <v>1.2213630016303642E-4</v>
      </c>
      <c r="AF1344" s="27">
        <f t="shared" si="520"/>
        <v>1.2233971704233787E-4</v>
      </c>
      <c r="AG1344" s="27">
        <f t="shared" si="520"/>
        <v>1.2256258176640642E-4</v>
      </c>
      <c r="AH1344" s="27">
        <f t="shared" si="520"/>
        <v>1.2279204268449652E-4</v>
      </c>
      <c r="AI1344" s="27">
        <f t="shared" si="520"/>
        <v>1.2293267358180957E-4</v>
      </c>
      <c r="AJ1344" s="27">
        <f t="shared" si="520"/>
        <v>1.230880284078129E-4</v>
      </c>
      <c r="AK1344" s="27">
        <f t="shared" si="520"/>
        <v>1.2325414703713089E-4</v>
      </c>
      <c r="AL1344" s="27">
        <f t="shared" si="520"/>
        <v>1.2343300581478905E-4</v>
      </c>
      <c r="AM1344" s="27">
        <f t="shared" si="520"/>
        <v>1.2362298848343737E-4</v>
      </c>
      <c r="AN1344" s="27">
        <f t="shared" si="520"/>
        <v>1.2373316293630814E-4</v>
      </c>
      <c r="AO1344" s="27">
        <f t="shared" si="520"/>
        <v>1.2385166980530415E-4</v>
      </c>
      <c r="AP1344" s="27">
        <f t="shared" si="520"/>
        <v>1.2398002361906419E-4</v>
      </c>
      <c r="AQ1344" s="27">
        <f t="shared" si="520"/>
        <v>1.2411840156820918E-4</v>
      </c>
      <c r="AR1344" s="27">
        <f t="shared" si="520"/>
        <v>1.2426670691930035E-4</v>
      </c>
      <c r="AS1344" s="27">
        <f t="shared" si="520"/>
        <v>1.2433302167931155E-4</v>
      </c>
      <c r="AT1344" s="27">
        <f t="shared" si="520"/>
        <v>1.2439474489368146E-4</v>
      </c>
      <c r="AU1344" s="27">
        <f t="shared" si="520"/>
        <v>1.2446317135013558E-4</v>
      </c>
      <c r="AV1344" s="27">
        <f t="shared" si="520"/>
        <v>1.2453939785824996E-4</v>
      </c>
      <c r="AW1344" s="27">
        <f t="shared" si="520"/>
        <v>1.24622639719568E-4</v>
      </c>
      <c r="AY1344" s="79"/>
      <c r="AZ1344" s="79"/>
    </row>
    <row r="1345" spans="1:52" x14ac:dyDescent="0.2">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8.2041591156770978E-4</v>
      </c>
      <c r="T1345" s="27">
        <f t="shared" si="521"/>
        <v>8.216653384055813E-4</v>
      </c>
      <c r="U1345" s="27">
        <f t="shared" si="521"/>
        <v>8.2307748974241456E-4</v>
      </c>
      <c r="V1345" s="27">
        <f t="shared" si="521"/>
        <v>8.246705212997898E-4</v>
      </c>
      <c r="W1345" s="27">
        <f t="shared" si="521"/>
        <v>8.2646256470257108E-4</v>
      </c>
      <c r="X1345" s="27">
        <f t="shared" si="521"/>
        <v>8.284162520491963E-4</v>
      </c>
      <c r="Y1345" s="27">
        <f t="shared" si="521"/>
        <v>8.2960446867411488E-4</v>
      </c>
      <c r="Z1345" s="27">
        <f t="shared" si="521"/>
        <v>8.3093163831104511E-4</v>
      </c>
      <c r="AA1345" s="27">
        <f t="shared" si="521"/>
        <v>8.323880253653359E-4</v>
      </c>
      <c r="AB1345" s="27">
        <f t="shared" si="521"/>
        <v>8.3400660346610628E-4</v>
      </c>
      <c r="AC1345" s="27">
        <f t="shared" si="521"/>
        <v>8.3574760408304538E-4</v>
      </c>
      <c r="AD1345" s="27">
        <f t="shared" si="521"/>
        <v>8.3688522766794265E-4</v>
      </c>
      <c r="AE1345" s="27">
        <f t="shared" si="521"/>
        <v>8.3816221522631858E-4</v>
      </c>
      <c r="AF1345" s="27">
        <f t="shared" si="521"/>
        <v>8.3955816665060555E-4</v>
      </c>
      <c r="AG1345" s="27">
        <f t="shared" si="521"/>
        <v>8.4108757920503671E-4</v>
      </c>
      <c r="AH1345" s="27">
        <f t="shared" si="521"/>
        <v>8.4266225824114254E-4</v>
      </c>
      <c r="AI1345" s="27">
        <f t="shared" si="521"/>
        <v>8.436273399102601E-4</v>
      </c>
      <c r="AJ1345" s="27">
        <f t="shared" si="521"/>
        <v>8.4469346476368369E-4</v>
      </c>
      <c r="AK1345" s="27">
        <f t="shared" si="521"/>
        <v>8.4583345638086619E-4</v>
      </c>
      <c r="AL1345" s="27">
        <f t="shared" si="521"/>
        <v>8.4706087745956699E-4</v>
      </c>
      <c r="AM1345" s="27">
        <f t="shared" si="521"/>
        <v>8.483646364091695E-4</v>
      </c>
      <c r="AN1345" s="27">
        <f t="shared" si="521"/>
        <v>8.4912071026564152E-4</v>
      </c>
      <c r="AO1345" s="27">
        <f t="shared" si="521"/>
        <v>8.4993396545434991E-4</v>
      </c>
      <c r="AP1345" s="27">
        <f t="shared" si="521"/>
        <v>8.5081479545108508E-4</v>
      </c>
      <c r="AQ1345" s="27">
        <f t="shared" si="521"/>
        <v>8.5176441622917501E-4</v>
      </c>
      <c r="AR1345" s="27">
        <f t="shared" si="521"/>
        <v>8.5278216395392656E-4</v>
      </c>
      <c r="AS1345" s="27">
        <f t="shared" si="521"/>
        <v>8.5323725000188266E-4</v>
      </c>
      <c r="AT1345" s="27">
        <f t="shared" si="521"/>
        <v>8.5366082649812602E-4</v>
      </c>
      <c r="AU1345" s="27">
        <f t="shared" si="521"/>
        <v>8.5413040409500023E-4</v>
      </c>
      <c r="AV1345" s="27">
        <f t="shared" si="521"/>
        <v>8.546535096648827E-4</v>
      </c>
      <c r="AW1345" s="27">
        <f t="shared" si="521"/>
        <v>8.5522475820269445E-4</v>
      </c>
      <c r="AY1345" s="79"/>
      <c r="AZ1345" s="79"/>
    </row>
    <row r="1346" spans="1:52" x14ac:dyDescent="0.2">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1.4486129996083081E-5</v>
      </c>
      <c r="L1346" s="27">
        <f t="shared" si="522"/>
        <v>1.4523786941695515E-5</v>
      </c>
      <c r="M1346" s="27">
        <f t="shared" si="522"/>
        <v>1.4575733367418309E-5</v>
      </c>
      <c r="N1346" s="27">
        <f t="shared" si="522"/>
        <v>1.4639017833045651E-5</v>
      </c>
      <c r="O1346" s="27">
        <f t="shared" si="522"/>
        <v>1.471355007817218E-5</v>
      </c>
      <c r="P1346" s="27">
        <f t="shared" si="522"/>
        <v>1.4798876460462532E-5</v>
      </c>
      <c r="Q1346" s="27">
        <f t="shared" si="522"/>
        <v>1.4890706011157255E-5</v>
      </c>
      <c r="R1346" s="27">
        <f t="shared" si="522"/>
        <v>1.4988675221399694E-5</v>
      </c>
      <c r="S1346" s="27">
        <f t="shared" si="522"/>
        <v>1.5078679643027028E-5</v>
      </c>
      <c r="T1346" s="27">
        <f t="shared" si="522"/>
        <v>1.5122495296339113E-5</v>
      </c>
      <c r="U1346" s="27">
        <f t="shared" si="522"/>
        <v>1.516958973789732E-5</v>
      </c>
      <c r="V1346" s="27">
        <f t="shared" si="522"/>
        <v>1.5220538890996556E-5</v>
      </c>
      <c r="W1346" s="27">
        <f t="shared" si="522"/>
        <v>1.5275902163367261E-5</v>
      </c>
      <c r="X1346" s="27">
        <f t="shared" si="522"/>
        <v>1.5334694454120534E-5</v>
      </c>
      <c r="Y1346" s="27">
        <f t="shared" si="522"/>
        <v>1.5371448915304841E-5</v>
      </c>
      <c r="Z1346" s="27">
        <f t="shared" si="522"/>
        <v>1.5411207509365297E-5</v>
      </c>
      <c r="AA1346" s="27">
        <f t="shared" si="522"/>
        <v>1.5453736398701918E-5</v>
      </c>
      <c r="AB1346" s="27">
        <f t="shared" si="522"/>
        <v>1.5499966763922933E-5</v>
      </c>
      <c r="AC1346" s="27">
        <f t="shared" si="522"/>
        <v>1.5548833641447303E-5</v>
      </c>
      <c r="AD1346" s="27">
        <f t="shared" si="522"/>
        <v>1.5580602349578564E-5</v>
      </c>
      <c r="AE1346" s="27">
        <f t="shared" si="522"/>
        <v>1.5615591404277508E-5</v>
      </c>
      <c r="AF1346" s="27">
        <f t="shared" si="522"/>
        <v>1.5653259744642323E-5</v>
      </c>
      <c r="AG1346" s="27">
        <f t="shared" si="522"/>
        <v>1.5694012741398928E-5</v>
      </c>
      <c r="AH1346" s="27">
        <f t="shared" si="522"/>
        <v>1.5735477279761714E-5</v>
      </c>
      <c r="AI1346" s="27">
        <f t="shared" si="522"/>
        <v>1.5760021720349279E-5</v>
      </c>
      <c r="AJ1346" s="27">
        <f t="shared" si="522"/>
        <v>1.5786883711006113E-5</v>
      </c>
      <c r="AK1346" s="27">
        <f t="shared" si="522"/>
        <v>1.5815340273420816E-5</v>
      </c>
      <c r="AL1346" s="27">
        <f t="shared" si="522"/>
        <v>1.5845764593107772E-5</v>
      </c>
      <c r="AM1346" s="27">
        <f t="shared" si="522"/>
        <v>1.5877866318833775E-5</v>
      </c>
      <c r="AN1346" s="27">
        <f t="shared" si="522"/>
        <v>1.5894983838021428E-5</v>
      </c>
      <c r="AO1346" s="27">
        <f t="shared" si="522"/>
        <v>1.5913339031971955E-5</v>
      </c>
      <c r="AP1346" s="27">
        <f t="shared" si="522"/>
        <v>1.593321505910849E-5</v>
      </c>
      <c r="AQ1346" s="27">
        <f t="shared" si="522"/>
        <v>1.5954648527995344E-5</v>
      </c>
      <c r="AR1346" s="27">
        <f t="shared" si="522"/>
        <v>1.5977625288303394E-5</v>
      </c>
      <c r="AS1346" s="27">
        <f t="shared" si="522"/>
        <v>1.5985441440203981E-5</v>
      </c>
      <c r="AT1346" s="27">
        <f t="shared" si="522"/>
        <v>1.5992226212116376E-5</v>
      </c>
      <c r="AU1346" s="27">
        <f t="shared" si="522"/>
        <v>1.6000039436891757E-5</v>
      </c>
      <c r="AV1346" s="27">
        <f t="shared" si="522"/>
        <v>1.6009082551352237E-5</v>
      </c>
      <c r="AW1346" s="27">
        <f t="shared" si="522"/>
        <v>1.6019215529788255E-5</v>
      </c>
      <c r="AY1346" s="79"/>
      <c r="AZ1346" s="79"/>
    </row>
    <row r="1347" spans="1:52" x14ac:dyDescent="0.2">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1.4738364076719785E-3</v>
      </c>
      <c r="L1347" s="27">
        <f t="shared" si="523"/>
        <v>1.4776676709189833E-3</v>
      </c>
      <c r="M1347" s="27">
        <f t="shared" si="523"/>
        <v>1.4829527631761549E-3</v>
      </c>
      <c r="N1347" s="27">
        <f t="shared" si="523"/>
        <v>1.4893914013429299E-3</v>
      </c>
      <c r="O1347" s="27">
        <f t="shared" si="523"/>
        <v>1.4969744022163664E-3</v>
      </c>
      <c r="P1347" s="27">
        <f t="shared" si="523"/>
        <v>1.5056556116759296E-3</v>
      </c>
      <c r="Q1347" s="27">
        <f t="shared" si="523"/>
        <v>1.5149984613639165E-3</v>
      </c>
      <c r="R1347" s="27">
        <f t="shared" si="523"/>
        <v>1.5249659674490626E-3</v>
      </c>
      <c r="S1347" s="27">
        <f t="shared" si="523"/>
        <v>1.5341231262956069E-3</v>
      </c>
      <c r="T1347" s="27">
        <f t="shared" si="523"/>
        <v>1.5385809839218152E-3</v>
      </c>
      <c r="U1347" s="27">
        <f t="shared" si="523"/>
        <v>1.5433724294346084E-3</v>
      </c>
      <c r="V1347" s="27">
        <f t="shared" si="523"/>
        <v>1.5485560579674195E-3</v>
      </c>
      <c r="W1347" s="27">
        <f t="shared" si="523"/>
        <v>1.5541887843401544E-3</v>
      </c>
      <c r="X1347" s="27">
        <f t="shared" si="523"/>
        <v>1.5601703831954754E-3</v>
      </c>
      <c r="Y1347" s="27">
        <f t="shared" si="523"/>
        <v>1.5639098265839071E-3</v>
      </c>
      <c r="Z1347" s="27">
        <f t="shared" si="523"/>
        <v>1.5679549140889886E-3</v>
      </c>
      <c r="AA1347" s="27">
        <f t="shared" si="523"/>
        <v>1.5722818547901358E-3</v>
      </c>
      <c r="AB1347" s="27">
        <f t="shared" si="523"/>
        <v>1.5769853881300361E-3</v>
      </c>
      <c r="AC1347" s="27">
        <f t="shared" si="523"/>
        <v>1.5819571634243445E-3</v>
      </c>
      <c r="AD1347" s="27">
        <f t="shared" si="523"/>
        <v>1.5851893502596976E-3</v>
      </c>
      <c r="AE1347" s="27">
        <f t="shared" si="523"/>
        <v>1.5887491790545015E-3</v>
      </c>
      <c r="AF1347" s="27">
        <f t="shared" si="523"/>
        <v>1.5925816016174124E-3</v>
      </c>
      <c r="AG1347" s="27">
        <f t="shared" si="523"/>
        <v>1.5967278608569652E-3</v>
      </c>
      <c r="AH1347" s="27">
        <f t="shared" si="523"/>
        <v>1.6009465132011667E-3</v>
      </c>
      <c r="AI1347" s="27">
        <f t="shared" si="523"/>
        <v>1.6034436943084516E-3</v>
      </c>
      <c r="AJ1347" s="27">
        <f t="shared" si="523"/>
        <v>1.6061766657662043E-3</v>
      </c>
      <c r="AK1347" s="27">
        <f t="shared" si="523"/>
        <v>1.6090718708855376E-3</v>
      </c>
      <c r="AL1347" s="27">
        <f t="shared" si="523"/>
        <v>1.6121672780125896E-3</v>
      </c>
      <c r="AM1347" s="27">
        <f t="shared" si="523"/>
        <v>1.6154333464612968E-3</v>
      </c>
      <c r="AN1347" s="27">
        <f t="shared" si="523"/>
        <v>1.6171749035917807E-3</v>
      </c>
      <c r="AO1347" s="27">
        <f t="shared" si="523"/>
        <v>1.6190423832513916E-3</v>
      </c>
      <c r="AP1347" s="27">
        <f t="shared" si="523"/>
        <v>1.6210645943209887E-3</v>
      </c>
      <c r="AQ1347" s="27">
        <f t="shared" si="523"/>
        <v>1.6232452614002358E-3</v>
      </c>
      <c r="AR1347" s="27">
        <f t="shared" si="523"/>
        <v>1.6255829448175118E-3</v>
      </c>
      <c r="AS1347" s="27">
        <f t="shared" si="523"/>
        <v>1.6263781695767885E-3</v>
      </c>
      <c r="AT1347" s="27">
        <f t="shared" si="523"/>
        <v>1.6270684604871241E-3</v>
      </c>
      <c r="AU1347" s="27">
        <f t="shared" si="523"/>
        <v>1.6278633874371373E-3</v>
      </c>
      <c r="AV1347" s="27">
        <f t="shared" si="523"/>
        <v>1.6287834448530387E-3</v>
      </c>
      <c r="AW1347" s="27">
        <f t="shared" si="523"/>
        <v>1.6298143863495728E-3</v>
      </c>
      <c r="AY1347" s="79"/>
      <c r="AZ1347" s="79"/>
    </row>
    <row r="1348" spans="1:52" x14ac:dyDescent="0.2">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2">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2">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0.13004550543955873</v>
      </c>
      <c r="M1350" s="27">
        <f t="shared" si="526"/>
        <v>0.13010384136507713</v>
      </c>
      <c r="N1350" s="27">
        <f t="shared" si="526"/>
        <v>0.1289093884029483</v>
      </c>
      <c r="O1350" s="27">
        <f t="shared" si="526"/>
        <v>0.12695857121838477</v>
      </c>
      <c r="P1350" s="27">
        <f t="shared" si="526"/>
        <v>0.12428257569245395</v>
      </c>
      <c r="Q1350" s="27">
        <f t="shared" si="526"/>
        <v>0.12233950618032065</v>
      </c>
      <c r="R1350" s="27">
        <f t="shared" si="526"/>
        <v>0.12056837226162823</v>
      </c>
      <c r="S1350" s="27">
        <f t="shared" si="526"/>
        <v>0.10742568641023791</v>
      </c>
      <c r="T1350" s="27">
        <f t="shared" si="526"/>
        <v>0.1091029492210569</v>
      </c>
      <c r="U1350" s="27">
        <f t="shared" si="526"/>
        <v>0.1098152981393777</v>
      </c>
      <c r="V1350" s="27">
        <f t="shared" si="526"/>
        <v>0.11028443328369632</v>
      </c>
      <c r="W1350" s="27">
        <f t="shared" si="526"/>
        <v>0.11115311990923482</v>
      </c>
      <c r="X1350" s="27">
        <f t="shared" si="526"/>
        <v>0.11180012354863146</v>
      </c>
      <c r="Y1350" s="27">
        <f t="shared" si="526"/>
        <v>0.11213950095917391</v>
      </c>
      <c r="Z1350" s="27">
        <f t="shared" si="526"/>
        <v>0.11234743559515332</v>
      </c>
      <c r="AA1350" s="27">
        <f t="shared" si="526"/>
        <v>0.11237564219545433</v>
      </c>
      <c r="AB1350" s="27">
        <f t="shared" si="526"/>
        <v>0.1130282053559263</v>
      </c>
      <c r="AC1350" s="27">
        <f t="shared" si="526"/>
        <v>0.11359821524900583</v>
      </c>
      <c r="AD1350" s="27">
        <f t="shared" si="526"/>
        <v>0.11441835566605747</v>
      </c>
      <c r="AE1350" s="27">
        <f t="shared" si="526"/>
        <v>0.11580372782809943</v>
      </c>
      <c r="AF1350" s="27">
        <f t="shared" si="526"/>
        <v>0.11742607569995514</v>
      </c>
      <c r="AG1350" s="27">
        <f t="shared" si="526"/>
        <v>0.11962260335271972</v>
      </c>
      <c r="AH1350" s="27">
        <f t="shared" si="526"/>
        <v>0.12080838440395283</v>
      </c>
      <c r="AI1350" s="27">
        <f t="shared" si="526"/>
        <v>0.12184404408189208</v>
      </c>
      <c r="AJ1350" s="27">
        <f t="shared" si="526"/>
        <v>0.12314557152083414</v>
      </c>
      <c r="AK1350" s="27">
        <f t="shared" si="526"/>
        <v>0.12427557755093979</v>
      </c>
      <c r="AL1350" s="27">
        <f t="shared" si="526"/>
        <v>0.1255259175330139</v>
      </c>
      <c r="AM1350" s="27">
        <f t="shared" si="526"/>
        <v>0.12674552603750175</v>
      </c>
      <c r="AN1350" s="27">
        <f t="shared" si="526"/>
        <v>0.12838752833674963</v>
      </c>
      <c r="AO1350" s="27">
        <f t="shared" si="526"/>
        <v>0.12981338825169941</v>
      </c>
      <c r="AP1350" s="27">
        <f t="shared" si="526"/>
        <v>0.13123798099286382</v>
      </c>
      <c r="AQ1350" s="27">
        <f t="shared" si="526"/>
        <v>0.13271316927423235</v>
      </c>
      <c r="AR1350" s="27">
        <f t="shared" si="526"/>
        <v>0.13425553565091783</v>
      </c>
      <c r="AS1350" s="27">
        <f t="shared" si="526"/>
        <v>0.1362655431555625</v>
      </c>
      <c r="AT1350" s="27">
        <f t="shared" si="526"/>
        <v>0.1368880254632967</v>
      </c>
      <c r="AU1350" s="27">
        <f t="shared" si="526"/>
        <v>0.13738521125796219</v>
      </c>
      <c r="AV1350" s="27">
        <f t="shared" si="526"/>
        <v>0.13789795385940914</v>
      </c>
      <c r="AW1350" s="27">
        <f t="shared" si="526"/>
        <v>0.13836722215964953</v>
      </c>
      <c r="AY1350" s="79"/>
      <c r="AZ1350" s="79"/>
    </row>
    <row r="1351" spans="1:52" x14ac:dyDescent="0.2">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1.2724633182830881E-2</v>
      </c>
      <c r="L1351" s="27">
        <f t="shared" si="527"/>
        <v>1.2655466337890216E-2</v>
      </c>
      <c r="M1351" s="27">
        <f t="shared" si="527"/>
        <v>1.266114333794641E-2</v>
      </c>
      <c r="N1351" s="27">
        <f t="shared" si="527"/>
        <v>1.2544904339887072E-2</v>
      </c>
      <c r="O1351" s="27">
        <f t="shared" si="527"/>
        <v>1.2355059245839619E-2</v>
      </c>
      <c r="P1351" s="27">
        <f t="shared" si="527"/>
        <v>1.209464293091744E-2</v>
      </c>
      <c r="Q1351" s="27">
        <f t="shared" si="527"/>
        <v>1.1905551806853851E-2</v>
      </c>
      <c r="R1351" s="27">
        <f t="shared" si="527"/>
        <v>1.1733192711380727E-2</v>
      </c>
      <c r="S1351" s="27">
        <f t="shared" si="527"/>
        <v>1.0454203346699911E-2</v>
      </c>
      <c r="T1351" s="27">
        <f t="shared" si="527"/>
        <v>1.0617427311806347E-2</v>
      </c>
      <c r="U1351" s="27">
        <f t="shared" si="527"/>
        <v>1.0686750028698176E-2</v>
      </c>
      <c r="V1351" s="27">
        <f t="shared" si="527"/>
        <v>1.0732404232638389E-2</v>
      </c>
      <c r="W1351" s="27">
        <f t="shared" si="527"/>
        <v>1.0816941059270873E-2</v>
      </c>
      <c r="X1351" s="27">
        <f t="shared" si="527"/>
        <v>1.087990465613799E-2</v>
      </c>
      <c r="Y1351" s="27">
        <f t="shared" si="527"/>
        <v>1.0912931398434408E-2</v>
      </c>
      <c r="Z1351" s="27">
        <f t="shared" si="527"/>
        <v>1.0933166698202938E-2</v>
      </c>
      <c r="AA1351" s="27">
        <f t="shared" si="527"/>
        <v>1.0935911642593046E-2</v>
      </c>
      <c r="AB1351" s="27">
        <f t="shared" si="527"/>
        <v>1.0999416268014638E-2</v>
      </c>
      <c r="AC1351" s="27">
        <f t="shared" si="527"/>
        <v>1.1054887166372485E-2</v>
      </c>
      <c r="AD1351" s="27">
        <f t="shared" si="527"/>
        <v>1.1134699685884465E-2</v>
      </c>
      <c r="AE1351" s="27">
        <f t="shared" si="527"/>
        <v>1.1269518115040561E-2</v>
      </c>
      <c r="AF1351" s="27">
        <f t="shared" si="527"/>
        <v>1.1427397995711722E-2</v>
      </c>
      <c r="AG1351" s="27">
        <f t="shared" si="527"/>
        <v>1.1641154570195772E-2</v>
      </c>
      <c r="AH1351" s="27">
        <f t="shared" si="527"/>
        <v>1.1756549655379731E-2</v>
      </c>
      <c r="AI1351" s="27">
        <f t="shared" si="527"/>
        <v>1.1857335577564188E-2</v>
      </c>
      <c r="AJ1351" s="27">
        <f t="shared" si="527"/>
        <v>1.1983994600770704E-2</v>
      </c>
      <c r="AK1351" s="27">
        <f t="shared" si="527"/>
        <v>1.209396190204173E-2</v>
      </c>
      <c r="AL1351" s="27">
        <f t="shared" si="527"/>
        <v>1.2215639583254724E-2</v>
      </c>
      <c r="AM1351" s="27">
        <f t="shared" si="527"/>
        <v>1.2334326609936505E-2</v>
      </c>
      <c r="AN1351" s="27">
        <f t="shared" si="527"/>
        <v>1.2494119174505589E-2</v>
      </c>
      <c r="AO1351" s="27">
        <f t="shared" si="527"/>
        <v>1.2632877696725955E-2</v>
      </c>
      <c r="AP1351" s="27">
        <f t="shared" si="527"/>
        <v>1.2771512903072156E-2</v>
      </c>
      <c r="AQ1351" s="27">
        <f t="shared" si="527"/>
        <v>1.2915071848641296E-2</v>
      </c>
      <c r="AR1351" s="27">
        <f t="shared" si="527"/>
        <v>1.3065168276002324E-2</v>
      </c>
      <c r="AS1351" s="27">
        <f t="shared" si="527"/>
        <v>1.3260773516090847E-2</v>
      </c>
      <c r="AT1351" s="27">
        <f t="shared" si="527"/>
        <v>1.3321350802978501E-2</v>
      </c>
      <c r="AU1351" s="27">
        <f t="shared" si="527"/>
        <v>1.3369734774933539E-2</v>
      </c>
      <c r="AV1351" s="27">
        <f t="shared" si="527"/>
        <v>1.3419632668064721E-2</v>
      </c>
      <c r="AW1351" s="27">
        <f t="shared" si="527"/>
        <v>1.3465299830163544E-2</v>
      </c>
      <c r="AY1351" s="79"/>
      <c r="AZ1351" s="79"/>
    </row>
    <row r="1352" spans="1:52" x14ac:dyDescent="0.2">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6.4453339767617107E-2</v>
      </c>
      <c r="L1352" s="27">
        <f t="shared" si="528"/>
        <v>6.5763803942104557E-2</v>
      </c>
      <c r="M1352" s="27">
        <f t="shared" si="528"/>
        <v>6.7295612361813625E-2</v>
      </c>
      <c r="N1352" s="27">
        <f t="shared" si="528"/>
        <v>6.8471619369899747E-2</v>
      </c>
      <c r="O1352" s="27">
        <f t="shared" si="528"/>
        <v>6.9415657765503513E-2</v>
      </c>
      <c r="P1352" s="27">
        <f t="shared" si="528"/>
        <v>7.0122113289878343E-2</v>
      </c>
      <c r="Q1352" s="27">
        <f t="shared" si="528"/>
        <v>7.1027984276732931E-2</v>
      </c>
      <c r="R1352" s="27">
        <f t="shared" si="528"/>
        <v>7.1969839340941838E-2</v>
      </c>
      <c r="S1352" s="27">
        <f t="shared" si="528"/>
        <v>6.9091020117855437E-2</v>
      </c>
      <c r="T1352" s="27">
        <f t="shared" si="528"/>
        <v>7.0923520025616846E-2</v>
      </c>
      <c r="U1352" s="27">
        <f t="shared" si="528"/>
        <v>7.2452558917721649E-2</v>
      </c>
      <c r="V1352" s="27">
        <f t="shared" si="528"/>
        <v>7.3914725789307509E-2</v>
      </c>
      <c r="W1352" s="27">
        <f t="shared" si="528"/>
        <v>7.5540335927502686E-2</v>
      </c>
      <c r="X1352" s="27">
        <f t="shared" si="528"/>
        <v>7.710742274610026E-2</v>
      </c>
      <c r="Y1352" s="27">
        <f t="shared" si="528"/>
        <v>7.8514475152186416E-2</v>
      </c>
      <c r="Z1352" s="27">
        <f t="shared" si="528"/>
        <v>7.9886368180485237E-2</v>
      </c>
      <c r="AA1352" s="27">
        <f t="shared" si="528"/>
        <v>8.1201368710931643E-2</v>
      </c>
      <c r="AB1352" s="27">
        <f t="shared" si="528"/>
        <v>8.2782551319957556E-2</v>
      </c>
      <c r="AC1352" s="27">
        <f t="shared" si="528"/>
        <v>8.4352893309328145E-2</v>
      </c>
      <c r="AD1352" s="27">
        <f t="shared" si="528"/>
        <v>8.5998825916539595E-2</v>
      </c>
      <c r="AE1352" s="27">
        <f t="shared" si="528"/>
        <v>8.791554994164491E-2</v>
      </c>
      <c r="AF1352" s="27">
        <f t="shared" si="528"/>
        <v>8.9973918009766785E-2</v>
      </c>
      <c r="AG1352" s="27">
        <f t="shared" si="528"/>
        <v>9.2332462068458354E-2</v>
      </c>
      <c r="AH1352" s="27">
        <f t="shared" si="528"/>
        <v>9.4282044413809288E-2</v>
      </c>
      <c r="AI1352" s="27">
        <f t="shared" si="528"/>
        <v>9.6147404966029248E-2</v>
      </c>
      <c r="AJ1352" s="27">
        <f t="shared" si="528"/>
        <v>9.8173701325843382E-2</v>
      </c>
      <c r="AK1352" s="27">
        <f t="shared" si="528"/>
        <v>0.1001572245577764</v>
      </c>
      <c r="AL1352" s="27">
        <f t="shared" si="528"/>
        <v>0.10223848995104871</v>
      </c>
      <c r="AM1352" s="27">
        <f t="shared" si="528"/>
        <v>0.10434595485218236</v>
      </c>
      <c r="AN1352" s="27">
        <f t="shared" si="528"/>
        <v>0.10666367827206967</v>
      </c>
      <c r="AO1352" s="27">
        <f t="shared" si="528"/>
        <v>0.10891945161625204</v>
      </c>
      <c r="AP1352" s="27">
        <f t="shared" si="528"/>
        <v>0.11122270700738313</v>
      </c>
      <c r="AQ1352" s="27">
        <f t="shared" si="528"/>
        <v>0.11360290610560657</v>
      </c>
      <c r="AR1352" s="27">
        <f t="shared" si="528"/>
        <v>0.11607217368997393</v>
      </c>
      <c r="AS1352" s="27">
        <f t="shared" si="528"/>
        <v>0.11880939144121157</v>
      </c>
      <c r="AT1352" s="27">
        <f t="shared" si="528"/>
        <v>0.12081746755875615</v>
      </c>
      <c r="AU1352" s="27">
        <f t="shared" si="528"/>
        <v>0.12279062605907758</v>
      </c>
      <c r="AV1352" s="27">
        <f t="shared" si="528"/>
        <v>0.12480975001742217</v>
      </c>
      <c r="AW1352" s="27">
        <f t="shared" si="528"/>
        <v>0.1268408444448812</v>
      </c>
      <c r="AY1352" s="79"/>
      <c r="AZ1352" s="79"/>
    </row>
    <row r="1353" spans="1:52" x14ac:dyDescent="0.2">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0.31034319165291718</v>
      </c>
      <c r="L1353" s="27">
        <f t="shared" si="529"/>
        <v>0.31442985679016988</v>
      </c>
      <c r="M1353" s="27">
        <f t="shared" si="529"/>
        <v>0.32099421325528477</v>
      </c>
      <c r="N1353" s="27">
        <f t="shared" si="529"/>
        <v>0.3228790317815291</v>
      </c>
      <c r="O1353" s="27">
        <f t="shared" si="529"/>
        <v>0.32172327535887091</v>
      </c>
      <c r="P1353" s="27">
        <f t="shared" si="529"/>
        <v>0.31753924052538912</v>
      </c>
      <c r="Q1353" s="27">
        <f t="shared" si="529"/>
        <v>0.31577785743754239</v>
      </c>
      <c r="R1353" s="27">
        <f t="shared" si="529"/>
        <v>0.31441607582114922</v>
      </c>
      <c r="S1353" s="27">
        <f t="shared" si="529"/>
        <v>0.26879192155029241</v>
      </c>
      <c r="T1353" s="27">
        <f t="shared" si="529"/>
        <v>0.28063901740950847</v>
      </c>
      <c r="U1353" s="27">
        <f t="shared" si="529"/>
        <v>0.28880309945041127</v>
      </c>
      <c r="V1353" s="27">
        <f t="shared" si="529"/>
        <v>0.29604855006817871</v>
      </c>
      <c r="W1353" s="27">
        <f t="shared" si="529"/>
        <v>0.30496938447162802</v>
      </c>
      <c r="X1353" s="27">
        <f t="shared" si="529"/>
        <v>0.31306661968905752</v>
      </c>
      <c r="Y1353" s="27">
        <f t="shared" si="529"/>
        <v>0.32021357019479407</v>
      </c>
      <c r="Z1353" s="27">
        <f t="shared" si="529"/>
        <v>0.32685390014438859</v>
      </c>
      <c r="AA1353" s="27">
        <f t="shared" si="529"/>
        <v>0.33276450713212152</v>
      </c>
      <c r="AB1353" s="27">
        <f t="shared" si="529"/>
        <v>0.34142456701129209</v>
      </c>
      <c r="AC1353" s="27">
        <f t="shared" si="529"/>
        <v>0.34982483105719137</v>
      </c>
      <c r="AD1353" s="27">
        <f t="shared" si="529"/>
        <v>0.35965297279223607</v>
      </c>
      <c r="AE1353" s="27">
        <f t="shared" si="529"/>
        <v>0.37217634319205956</v>
      </c>
      <c r="AF1353" s="27">
        <f t="shared" si="529"/>
        <v>0.3859945703932357</v>
      </c>
      <c r="AG1353" s="27">
        <f t="shared" si="529"/>
        <v>0.40272226665089866</v>
      </c>
      <c r="AH1353" s="27">
        <f t="shared" si="529"/>
        <v>0.41501766533472662</v>
      </c>
      <c r="AI1353" s="27">
        <f t="shared" si="529"/>
        <v>0.42700130219026528</v>
      </c>
      <c r="AJ1353" s="27">
        <f t="shared" si="529"/>
        <v>0.44046546100421546</v>
      </c>
      <c r="AK1353" s="27">
        <f t="shared" si="529"/>
        <v>0.45333055520989524</v>
      </c>
      <c r="AL1353" s="27">
        <f t="shared" si="529"/>
        <v>0.46701619271583805</v>
      </c>
      <c r="AM1353" s="27">
        <f t="shared" si="529"/>
        <v>0.48079646315959662</v>
      </c>
      <c r="AN1353" s="27">
        <f t="shared" si="529"/>
        <v>0.49715144699339536</v>
      </c>
      <c r="AO1353" s="27">
        <f t="shared" si="529"/>
        <v>0.51271284356388047</v>
      </c>
      <c r="AP1353" s="27">
        <f t="shared" si="529"/>
        <v>0.52856616956956437</v>
      </c>
      <c r="AQ1353" s="27">
        <f t="shared" si="529"/>
        <v>0.54499431888614669</v>
      </c>
      <c r="AR1353" s="27">
        <f t="shared" si="529"/>
        <v>0.56210625186052299</v>
      </c>
      <c r="AS1353" s="27">
        <f t="shared" si="529"/>
        <v>0.58227066272581418</v>
      </c>
      <c r="AT1353" s="27">
        <f t="shared" si="529"/>
        <v>0.59525693388734258</v>
      </c>
      <c r="AU1353" s="27">
        <f t="shared" si="529"/>
        <v>0.60778527419801665</v>
      </c>
      <c r="AV1353" s="27">
        <f t="shared" si="529"/>
        <v>0.62062894178535877</v>
      </c>
      <c r="AW1353" s="27">
        <f t="shared" si="529"/>
        <v>0.63346374044156473</v>
      </c>
      <c r="AY1353" s="79"/>
      <c r="AZ1353" s="79"/>
    </row>
    <row r="1354" spans="1:52" x14ac:dyDescent="0.2">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8.9709854381943815E-2</v>
      </c>
      <c r="M1354" s="27">
        <f t="shared" si="530"/>
        <v>9.0417475033143083E-2</v>
      </c>
      <c r="N1354" s="27">
        <f t="shared" si="530"/>
        <v>9.0872196678668984E-2</v>
      </c>
      <c r="O1354" s="27">
        <f t="shared" si="530"/>
        <v>9.1174361291842948E-2</v>
      </c>
      <c r="P1354" s="27">
        <f t="shared" si="530"/>
        <v>9.1320994898161728E-2</v>
      </c>
      <c r="Q1354" s="27">
        <f t="shared" si="530"/>
        <v>9.1644963105957017E-2</v>
      </c>
      <c r="R1354" s="27">
        <f t="shared" si="530"/>
        <v>9.2016609055475651E-2</v>
      </c>
      <c r="S1354" s="27">
        <f t="shared" si="530"/>
        <v>8.9497634351969751E-2</v>
      </c>
      <c r="T1354" s="27">
        <f t="shared" si="530"/>
        <v>9.0526156863539653E-2</v>
      </c>
      <c r="U1354" s="27">
        <f t="shared" si="530"/>
        <v>9.133211275409571E-2</v>
      </c>
      <c r="V1354" s="27">
        <f t="shared" si="530"/>
        <v>9.2095667401537948E-2</v>
      </c>
      <c r="W1354" s="27">
        <f t="shared" si="530"/>
        <v>9.2988337377843094E-2</v>
      </c>
      <c r="X1354" s="27">
        <f t="shared" si="530"/>
        <v>9.3843223396191833E-2</v>
      </c>
      <c r="Y1354" s="27">
        <f t="shared" si="530"/>
        <v>9.4560210431129388E-2</v>
      </c>
      <c r="Z1354" s="27">
        <f t="shared" si="530"/>
        <v>9.5257283424355771E-2</v>
      </c>
      <c r="AA1354" s="27">
        <f t="shared" si="530"/>
        <v>9.5918466483612935E-2</v>
      </c>
      <c r="AB1354" s="27">
        <f t="shared" si="530"/>
        <v>9.6778548113850782E-2</v>
      </c>
      <c r="AC1354" s="27">
        <f t="shared" si="530"/>
        <v>9.7634207071548518E-2</v>
      </c>
      <c r="AD1354" s="27">
        <f t="shared" si="530"/>
        <v>9.8526906814348045E-2</v>
      </c>
      <c r="AE1354" s="27">
        <f t="shared" si="530"/>
        <v>9.9615980454525591E-2</v>
      </c>
      <c r="AF1354" s="27">
        <f t="shared" si="530"/>
        <v>0.1008065868820634</v>
      </c>
      <c r="AG1354" s="27">
        <f t="shared" si="530"/>
        <v>0.10221006700957981</v>
      </c>
      <c r="AH1354" s="27">
        <f t="shared" si="530"/>
        <v>0.10332162680247739</v>
      </c>
      <c r="AI1354" s="27">
        <f t="shared" si="530"/>
        <v>0.10435425380397972</v>
      </c>
      <c r="AJ1354" s="27">
        <f t="shared" si="530"/>
        <v>0.10550009187328319</v>
      </c>
      <c r="AK1354" s="27">
        <f t="shared" si="530"/>
        <v>0.10661516318950658</v>
      </c>
      <c r="AL1354" s="27">
        <f t="shared" si="530"/>
        <v>0.10779775034487957</v>
      </c>
      <c r="AM1354" s="27">
        <f t="shared" si="530"/>
        <v>0.10899733735251546</v>
      </c>
      <c r="AN1354" s="27">
        <f t="shared" si="530"/>
        <v>0.11032305770963274</v>
      </c>
      <c r="AO1354" s="27">
        <f t="shared" si="530"/>
        <v>0.1116034974988518</v>
      </c>
      <c r="AP1354" s="27">
        <f t="shared" si="530"/>
        <v>0.11291437639210956</v>
      </c>
      <c r="AQ1354" s="27">
        <f t="shared" si="530"/>
        <v>0.11427557081956052</v>
      </c>
      <c r="AR1354" s="27">
        <f t="shared" si="530"/>
        <v>0.11569486271533871</v>
      </c>
      <c r="AS1354" s="27">
        <f t="shared" si="530"/>
        <v>0.11727523367677491</v>
      </c>
      <c r="AT1354" s="27">
        <f t="shared" si="530"/>
        <v>0.11835610910450192</v>
      </c>
      <c r="AU1354" s="27">
        <f t="shared" si="530"/>
        <v>0.11941212579472428</v>
      </c>
      <c r="AV1354" s="27">
        <f t="shared" si="530"/>
        <v>0.120498066178682</v>
      </c>
      <c r="AW1354" s="27">
        <f t="shared" si="530"/>
        <v>0.12159075101335114</v>
      </c>
      <c r="AY1354" s="79"/>
      <c r="AZ1354" s="79"/>
    </row>
    <row r="1355" spans="1:52" x14ac:dyDescent="0.2">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2.7090100081973278E-2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2.7786681470952927E-2</v>
      </c>
      <c r="S1355" s="27">
        <f t="shared" si="531"/>
        <v>2.7026015016948877E-2</v>
      </c>
      <c r="T1355" s="27">
        <f t="shared" si="531"/>
        <v>2.7336602721799708E-2</v>
      </c>
      <c r="U1355" s="27">
        <f t="shared" si="531"/>
        <v>2.7579980953625429E-2</v>
      </c>
      <c r="V1355" s="27">
        <f t="shared" si="531"/>
        <v>2.7810555085751417E-2</v>
      </c>
      <c r="W1355" s="27">
        <f t="shared" si="531"/>
        <v>2.8080118771534705E-2</v>
      </c>
      <c r="X1355" s="27">
        <f t="shared" si="531"/>
        <v>2.8338272660595177E-2</v>
      </c>
      <c r="Y1355" s="27">
        <f t="shared" si="531"/>
        <v>2.8554784555166308E-2</v>
      </c>
      <c r="Z1355" s="27">
        <f t="shared" si="531"/>
        <v>2.8765282914360448E-2</v>
      </c>
      <c r="AA1355" s="27">
        <f t="shared" si="531"/>
        <v>2.8964943424024437E-2</v>
      </c>
      <c r="AB1355" s="27">
        <f t="shared" si="531"/>
        <v>2.9224666256062608E-2</v>
      </c>
      <c r="AC1355" s="27">
        <f t="shared" si="531"/>
        <v>2.9483053553196983E-2</v>
      </c>
      <c r="AD1355" s="27">
        <f t="shared" si="531"/>
        <v>2.9752626227706403E-2</v>
      </c>
      <c r="AE1355" s="27">
        <f t="shared" si="531"/>
        <v>3.0081498837213019E-2</v>
      </c>
      <c r="AF1355" s="27">
        <f t="shared" si="531"/>
        <v>3.0441031772612943E-2</v>
      </c>
      <c r="AG1355" s="27">
        <f t="shared" si="531"/>
        <v>3.0864847164795019E-2</v>
      </c>
      <c r="AH1355" s="27">
        <f t="shared" si="531"/>
        <v>3.1200510021948794E-2</v>
      </c>
      <c r="AI1355" s="27">
        <f t="shared" si="531"/>
        <v>3.1512337178628218E-2</v>
      </c>
      <c r="AJ1355" s="27">
        <f t="shared" si="531"/>
        <v>3.1858351205615788E-2</v>
      </c>
      <c r="AK1355" s="27">
        <f t="shared" si="531"/>
        <v>3.2195074453726519E-2</v>
      </c>
      <c r="AL1355" s="27">
        <f t="shared" si="531"/>
        <v>3.2552185772381829E-2</v>
      </c>
      <c r="AM1355" s="27">
        <f t="shared" si="531"/>
        <v>3.2914430615133806E-2</v>
      </c>
      <c r="AN1355" s="27">
        <f t="shared" si="531"/>
        <v>3.331476452942278E-2</v>
      </c>
      <c r="AO1355" s="27">
        <f t="shared" si="531"/>
        <v>3.370142486097568E-2</v>
      </c>
      <c r="AP1355" s="27">
        <f t="shared" si="531"/>
        <v>3.4097277029707398E-2</v>
      </c>
      <c r="AQ1355" s="27">
        <f t="shared" si="531"/>
        <v>3.4508323213259036E-2</v>
      </c>
      <c r="AR1355" s="27">
        <f t="shared" si="531"/>
        <v>3.4936913358311179E-2</v>
      </c>
      <c r="AS1355" s="27">
        <f t="shared" si="531"/>
        <v>3.5414145294611905E-2</v>
      </c>
      <c r="AT1355" s="27">
        <f t="shared" si="531"/>
        <v>3.5740542251947324E-2</v>
      </c>
      <c r="AU1355" s="27">
        <f t="shared" si="531"/>
        <v>3.6059432501223176E-2</v>
      </c>
      <c r="AV1355" s="27">
        <f t="shared" si="531"/>
        <v>3.638735894684221E-2</v>
      </c>
      <c r="AW1355" s="27">
        <f t="shared" si="531"/>
        <v>3.6717322045469181E-2</v>
      </c>
      <c r="AY1355" s="79"/>
      <c r="AZ1355" s="79"/>
    </row>
    <row r="1356" spans="1:52" x14ac:dyDescent="0.2">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1.4564639612104711E-3</v>
      </c>
      <c r="M1356" s="27">
        <f t="shared" si="532"/>
        <v>1.4679523755410987E-3</v>
      </c>
      <c r="N1356" s="27">
        <f t="shared" si="532"/>
        <v>1.4753349055168039E-3</v>
      </c>
      <c r="O1356" s="27">
        <f t="shared" si="532"/>
        <v>1.4802406304505133E-3</v>
      </c>
      <c r="P1356" s="27">
        <f t="shared" si="532"/>
        <v>1.4826212670547858E-3</v>
      </c>
      <c r="Q1356" s="27">
        <f t="shared" si="532"/>
        <v>1.4878809792957942E-3</v>
      </c>
      <c r="R1356" s="27">
        <f t="shared" si="532"/>
        <v>1.4939147526814823E-3</v>
      </c>
      <c r="S1356" s="27">
        <f t="shared" si="532"/>
        <v>1.4530185111243717E-3</v>
      </c>
      <c r="T1356" s="27">
        <f t="shared" si="532"/>
        <v>1.4697168547089842E-3</v>
      </c>
      <c r="U1356" s="27">
        <f t="shared" si="532"/>
        <v>1.4828017684791316E-3</v>
      </c>
      <c r="V1356" s="27">
        <f t="shared" si="532"/>
        <v>1.4951982864990986E-3</v>
      </c>
      <c r="W1356" s="27">
        <f t="shared" si="532"/>
        <v>1.5096910271093734E-3</v>
      </c>
      <c r="X1356" s="27">
        <f t="shared" si="532"/>
        <v>1.5235703348537217E-3</v>
      </c>
      <c r="Y1356" s="27">
        <f t="shared" si="532"/>
        <v>1.5352108149797475E-3</v>
      </c>
      <c r="Z1356" s="27">
        <f t="shared" si="532"/>
        <v>1.5465279852054938E-3</v>
      </c>
      <c r="AA1356" s="27">
        <f t="shared" si="532"/>
        <v>1.5572624725614869E-3</v>
      </c>
      <c r="AB1356" s="27">
        <f t="shared" si="532"/>
        <v>1.5712261324823602E-3</v>
      </c>
      <c r="AC1356" s="27">
        <f t="shared" si="532"/>
        <v>1.5851179891079189E-3</v>
      </c>
      <c r="AD1356" s="27">
        <f t="shared" si="532"/>
        <v>1.5996112129853511E-3</v>
      </c>
      <c r="AE1356" s="27">
        <f t="shared" si="532"/>
        <v>1.6172926206629243E-3</v>
      </c>
      <c r="AF1356" s="27">
        <f t="shared" si="532"/>
        <v>1.636622440844233E-3</v>
      </c>
      <c r="AG1356" s="27">
        <f t="shared" si="532"/>
        <v>1.6594083236225038E-3</v>
      </c>
      <c r="AH1356" s="27">
        <f t="shared" si="532"/>
        <v>1.6774548001243291E-3</v>
      </c>
      <c r="AI1356" s="27">
        <f t="shared" si="532"/>
        <v>1.6942197812228126E-3</v>
      </c>
      <c r="AJ1356" s="27">
        <f t="shared" si="532"/>
        <v>1.7128227748941451E-3</v>
      </c>
      <c r="AK1356" s="27">
        <f t="shared" si="532"/>
        <v>1.7309262619352049E-3</v>
      </c>
      <c r="AL1356" s="27">
        <f t="shared" si="532"/>
        <v>1.7501258870450394E-3</v>
      </c>
      <c r="AM1356" s="27">
        <f t="shared" si="532"/>
        <v>1.7696015093943904E-3</v>
      </c>
      <c r="AN1356" s="27">
        <f t="shared" si="532"/>
        <v>1.7911249410852239E-3</v>
      </c>
      <c r="AO1356" s="27">
        <f t="shared" si="532"/>
        <v>1.8119132304024437E-3</v>
      </c>
      <c r="AP1356" s="27">
        <f t="shared" si="532"/>
        <v>1.8331957068783579E-3</v>
      </c>
      <c r="AQ1356" s="27">
        <f t="shared" si="532"/>
        <v>1.8552950697793623E-3</v>
      </c>
      <c r="AR1356" s="27">
        <f t="shared" si="532"/>
        <v>1.8783376609292489E-3</v>
      </c>
      <c r="AS1356" s="27">
        <f t="shared" si="532"/>
        <v>1.9039954146569001E-3</v>
      </c>
      <c r="AT1356" s="27">
        <f t="shared" si="532"/>
        <v>1.9215437221186409E-3</v>
      </c>
      <c r="AU1356" s="27">
        <f t="shared" si="532"/>
        <v>1.938688441194845E-3</v>
      </c>
      <c r="AV1356" s="27">
        <f t="shared" si="532"/>
        <v>1.9563189796028518E-3</v>
      </c>
      <c r="AW1356" s="27">
        <f t="shared" si="532"/>
        <v>1.9740590160082297E-3</v>
      </c>
      <c r="AY1356" s="79"/>
      <c r="AZ1356" s="79"/>
    </row>
    <row r="1357" spans="1:52" x14ac:dyDescent="0.2">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3.030301439269115E-2</v>
      </c>
      <c r="L1357" s="27">
        <f t="shared" si="533"/>
        <v>3.0040206026371367E-2</v>
      </c>
      <c r="M1357" s="27">
        <f t="shared" si="533"/>
        <v>2.99401628371932E-2</v>
      </c>
      <c r="N1357" s="27">
        <f t="shared" si="533"/>
        <v>2.9540351153331298E-2</v>
      </c>
      <c r="O1357" s="27">
        <f t="shared" si="533"/>
        <v>2.896001473012887E-2</v>
      </c>
      <c r="P1357" s="27">
        <f t="shared" si="533"/>
        <v>2.8211154016296501E-2</v>
      </c>
      <c r="Q1357" s="27">
        <f t="shared" si="533"/>
        <v>2.7620505669412022E-2</v>
      </c>
      <c r="R1357" s="27">
        <f t="shared" si="533"/>
        <v>2.7061685185942385E-2</v>
      </c>
      <c r="S1357" s="27">
        <f t="shared" si="533"/>
        <v>2.4017837723924858E-2</v>
      </c>
      <c r="T1357" s="27">
        <f t="shared" si="533"/>
        <v>2.4477250922769193E-2</v>
      </c>
      <c r="U1357" s="27">
        <f t="shared" si="533"/>
        <v>2.4722881599244746E-2</v>
      </c>
      <c r="V1357" s="27">
        <f t="shared" si="533"/>
        <v>2.4911965822405392E-2</v>
      </c>
      <c r="W1357" s="27">
        <f t="shared" si="533"/>
        <v>2.5185541319014813E-2</v>
      </c>
      <c r="X1357" s="27">
        <f t="shared" si="533"/>
        <v>2.5407562443653844E-2</v>
      </c>
      <c r="Y1357" s="27">
        <f t="shared" si="533"/>
        <v>2.5550689603830473E-2</v>
      </c>
      <c r="Z1357" s="27">
        <f t="shared" si="533"/>
        <v>2.5662103388614917E-2</v>
      </c>
      <c r="AA1357" s="27">
        <f t="shared" si="533"/>
        <v>2.5731155592918373E-2</v>
      </c>
      <c r="AB1357" s="27">
        <f t="shared" si="533"/>
        <v>2.593557725784186E-2</v>
      </c>
      <c r="AC1357" s="27">
        <f t="shared" si="533"/>
        <v>2.611950739638573E-2</v>
      </c>
      <c r="AD1357" s="27">
        <f t="shared" si="533"/>
        <v>2.6128993823789925E-2</v>
      </c>
      <c r="AE1357" s="27">
        <f t="shared" si="533"/>
        <v>2.6252210081774377E-2</v>
      </c>
      <c r="AF1357" s="27">
        <f t="shared" si="533"/>
        <v>2.641514740098018E-2</v>
      </c>
      <c r="AG1357" s="27">
        <f t="shared" si="533"/>
        <v>2.6688702803580544E-2</v>
      </c>
      <c r="AH1357" s="27">
        <f t="shared" si="533"/>
        <v>2.6732393968630815E-2</v>
      </c>
      <c r="AI1357" s="27">
        <f t="shared" si="533"/>
        <v>2.6727807661606592E-2</v>
      </c>
      <c r="AJ1357" s="27">
        <f t="shared" si="533"/>
        <v>2.6767943392537564E-2</v>
      </c>
      <c r="AK1357" s="27">
        <f t="shared" si="533"/>
        <v>2.6760535459775924E-2</v>
      </c>
      <c r="AL1357" s="27">
        <f t="shared" si="533"/>
        <v>2.6766203431131164E-2</v>
      </c>
      <c r="AM1357" s="27">
        <f t="shared" si="533"/>
        <v>2.675334011268881E-2</v>
      </c>
      <c r="AN1357" s="27">
        <f t="shared" si="533"/>
        <v>2.694535805594156E-2</v>
      </c>
      <c r="AO1357" s="27">
        <f t="shared" si="533"/>
        <v>2.7085830082425877E-2</v>
      </c>
      <c r="AP1357" s="27">
        <f t="shared" si="533"/>
        <v>2.7218197229606188E-2</v>
      </c>
      <c r="AQ1357" s="27">
        <f t="shared" si="533"/>
        <v>2.7352587206499832E-2</v>
      </c>
      <c r="AR1357" s="27">
        <f t="shared" si="533"/>
        <v>2.7491914385096024E-2</v>
      </c>
      <c r="AS1357" s="27">
        <f t="shared" si="533"/>
        <v>2.7710256058660829E-2</v>
      </c>
      <c r="AT1357" s="27">
        <f t="shared" si="533"/>
        <v>2.7648758084134469E-2</v>
      </c>
      <c r="AU1357" s="27">
        <f t="shared" si="533"/>
        <v>2.7556553714589756E-2</v>
      </c>
      <c r="AV1357" s="27">
        <f t="shared" si="533"/>
        <v>2.7461054996500443E-2</v>
      </c>
      <c r="AW1357" s="27">
        <f t="shared" si="533"/>
        <v>2.7350835179335974E-2</v>
      </c>
      <c r="AY1357" s="79"/>
      <c r="AZ1357" s="79"/>
    </row>
    <row r="1358" spans="1:52" x14ac:dyDescent="0.2">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4.0226293185258936E-2</v>
      </c>
      <c r="L1358" s="27">
        <f t="shared" si="534"/>
        <v>3.9877423391049029E-2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3.1882919944479234E-2</v>
      </c>
      <c r="T1358" s="27">
        <f t="shared" si="534"/>
        <v>3.2492776435665373E-2</v>
      </c>
      <c r="U1358" s="27">
        <f t="shared" si="534"/>
        <v>3.2818843389901528E-2</v>
      </c>
      <c r="V1358" s="27">
        <f t="shared" si="534"/>
        <v>3.3069846715808329E-2</v>
      </c>
      <c r="W1358" s="27">
        <f t="shared" si="534"/>
        <v>3.3433009534935908E-2</v>
      </c>
      <c r="X1358" s="27">
        <f t="shared" si="534"/>
        <v>3.372773555582987E-2</v>
      </c>
      <c r="Y1358" s="27">
        <f t="shared" si="534"/>
        <v>3.3917732334151289E-2</v>
      </c>
      <c r="Z1358" s="27">
        <f t="shared" si="534"/>
        <v>3.4065630609667365E-2</v>
      </c>
      <c r="AA1358" s="27">
        <f t="shared" si="534"/>
        <v>3.4157295226903257E-2</v>
      </c>
      <c r="AB1358" s="27">
        <f t="shared" si="534"/>
        <v>3.4428658521658995E-2</v>
      </c>
      <c r="AC1358" s="27">
        <f t="shared" si="534"/>
        <v>3.4672819963249946E-2</v>
      </c>
      <c r="AD1358" s="27">
        <f t="shared" si="534"/>
        <v>3.4685412895593133E-2</v>
      </c>
      <c r="AE1358" s="27">
        <f t="shared" si="534"/>
        <v>3.4848978580994651E-2</v>
      </c>
      <c r="AF1358" s="27">
        <f t="shared" si="534"/>
        <v>3.5065272718873365E-2</v>
      </c>
      <c r="AG1358" s="27">
        <f t="shared" si="534"/>
        <v>3.542840886383946E-2</v>
      </c>
      <c r="AH1358" s="27">
        <f t="shared" si="534"/>
        <v>3.5486407503583416E-2</v>
      </c>
      <c r="AI1358" s="27">
        <f t="shared" si="534"/>
        <v>3.5480319326064061E-2</v>
      </c>
      <c r="AJ1358" s="27">
        <f t="shared" si="534"/>
        <v>3.5533598239465607E-2</v>
      </c>
      <c r="AK1358" s="27">
        <f t="shared" si="534"/>
        <v>3.5523764443021973E-2</v>
      </c>
      <c r="AL1358" s="27">
        <f t="shared" si="534"/>
        <v>3.5531288495729951E-2</v>
      </c>
      <c r="AM1358" s="27">
        <f t="shared" si="534"/>
        <v>3.5514212847337627E-2</v>
      </c>
      <c r="AN1358" s="27">
        <f t="shared" si="534"/>
        <v>3.5769110593879244E-2</v>
      </c>
      <c r="AO1358" s="27">
        <f t="shared" si="534"/>
        <v>3.5955582766200436E-2</v>
      </c>
      <c r="AP1358" s="27">
        <f t="shared" si="534"/>
        <v>3.6131295967585977E-2</v>
      </c>
      <c r="AQ1358" s="27">
        <f t="shared" si="534"/>
        <v>3.6309694411438075E-2</v>
      </c>
      <c r="AR1358" s="27">
        <f t="shared" si="534"/>
        <v>3.6494646834396953E-2</v>
      </c>
      <c r="AS1358" s="27">
        <f t="shared" si="534"/>
        <v>3.678448850036322E-2</v>
      </c>
      <c r="AT1358" s="27">
        <f t="shared" si="534"/>
        <v>3.6702851884231939E-2</v>
      </c>
      <c r="AU1358" s="27">
        <f t="shared" si="534"/>
        <v>3.6580453499892925E-2</v>
      </c>
      <c r="AV1358" s="27">
        <f t="shared" si="534"/>
        <v>3.6453681972054293E-2</v>
      </c>
      <c r="AW1358" s="27">
        <f t="shared" si="534"/>
        <v>3.6307368650791018E-2</v>
      </c>
      <c r="AY1358" s="79"/>
      <c r="AZ1358" s="79"/>
    </row>
    <row r="1359" spans="1:52" x14ac:dyDescent="0.2">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4.1968337096859203E-2</v>
      </c>
      <c r="L1359" s="27">
        <f t="shared" si="535"/>
        <v>4.3383434779753476E-2</v>
      </c>
      <c r="M1359" s="27">
        <f t="shared" si="535"/>
        <v>4.5063007666824861E-2</v>
      </c>
      <c r="N1359" s="27">
        <f t="shared" si="535"/>
        <v>4.6315596244033502E-2</v>
      </c>
      <c r="O1359" s="27">
        <f t="shared" si="535"/>
        <v>4.7281576900430208E-2</v>
      </c>
      <c r="P1359" s="27">
        <f t="shared" si="535"/>
        <v>4.7947144057730852E-2</v>
      </c>
      <c r="Q1359" s="27">
        <f t="shared" si="535"/>
        <v>4.8855920576585825E-2</v>
      </c>
      <c r="R1359" s="27">
        <f t="shared" si="535"/>
        <v>4.9808583705724517E-2</v>
      </c>
      <c r="S1359" s="27">
        <f t="shared" si="535"/>
        <v>4.5992827569741108E-2</v>
      </c>
      <c r="T1359" s="27">
        <f t="shared" si="535"/>
        <v>4.8001865047769987E-2</v>
      </c>
      <c r="U1359" s="27">
        <f t="shared" si="535"/>
        <v>4.9635626095010099E-2</v>
      </c>
      <c r="V1359" s="27">
        <f t="shared" si="535"/>
        <v>5.1188596767602117E-2</v>
      </c>
      <c r="W1359" s="27">
        <f t="shared" si="535"/>
        <v>5.2950508165481844E-2</v>
      </c>
      <c r="X1359" s="27">
        <f t="shared" si="535"/>
        <v>5.4642195463321171E-2</v>
      </c>
      <c r="Y1359" s="27">
        <f t="shared" si="535"/>
        <v>5.6197330304744171E-2</v>
      </c>
      <c r="Z1359" s="27">
        <f t="shared" si="535"/>
        <v>5.7711583863191099E-2</v>
      </c>
      <c r="AA1359" s="27">
        <f t="shared" si="535"/>
        <v>5.9156834222417472E-2</v>
      </c>
      <c r="AB1359" s="27">
        <f t="shared" si="535"/>
        <v>6.0945336152729353E-2</v>
      </c>
      <c r="AC1359" s="27">
        <f t="shared" si="535"/>
        <v>6.2724727985271067E-2</v>
      </c>
      <c r="AD1359" s="27">
        <f t="shared" si="535"/>
        <v>6.4828386585152428E-2</v>
      </c>
      <c r="AE1359" s="27">
        <f t="shared" si="535"/>
        <v>6.7298261230859621E-2</v>
      </c>
      <c r="AF1359" s="27">
        <f t="shared" si="535"/>
        <v>6.9971651409000274E-2</v>
      </c>
      <c r="AG1359" s="27">
        <f t="shared" si="535"/>
        <v>7.3058736585267875E-2</v>
      </c>
      <c r="AH1359" s="27">
        <f t="shared" si="535"/>
        <v>7.563301385599043E-2</v>
      </c>
      <c r="AI1359" s="27">
        <f t="shared" si="535"/>
        <v>7.8167775440571283E-2</v>
      </c>
      <c r="AJ1359" s="27">
        <f t="shared" si="535"/>
        <v>8.0935873308178169E-2</v>
      </c>
      <c r="AK1359" s="27">
        <f t="shared" si="535"/>
        <v>8.3668525365720503E-2</v>
      </c>
      <c r="AL1359" s="27">
        <f t="shared" si="535"/>
        <v>8.6553364339565772E-2</v>
      </c>
      <c r="AM1359" s="27">
        <f t="shared" si="535"/>
        <v>8.9495828472457392E-2</v>
      </c>
      <c r="AN1359" s="27">
        <f t="shared" si="535"/>
        <v>9.2681440579714905E-2</v>
      </c>
      <c r="AO1359" s="27">
        <f t="shared" si="535"/>
        <v>9.5802357584515191E-2</v>
      </c>
      <c r="AP1359" s="27">
        <f t="shared" si="535"/>
        <v>9.9006841589941233E-2</v>
      </c>
      <c r="AQ1359" s="27">
        <f t="shared" si="535"/>
        <v>0.10233590350911345</v>
      </c>
      <c r="AR1359" s="27">
        <f t="shared" si="535"/>
        <v>0.10580733136333606</v>
      </c>
      <c r="AS1359" s="27">
        <f t="shared" si="535"/>
        <v>0.10972241500262403</v>
      </c>
      <c r="AT1359" s="27">
        <f t="shared" si="535"/>
        <v>0.11265304371652905</v>
      </c>
      <c r="AU1359" s="27">
        <f t="shared" si="535"/>
        <v>0.11555235138269004</v>
      </c>
      <c r="AV1359" s="27">
        <f t="shared" si="535"/>
        <v>0.11853253196869915</v>
      </c>
      <c r="AW1359" s="27">
        <f t="shared" si="535"/>
        <v>0.12154670327230575</v>
      </c>
      <c r="AY1359" s="79"/>
      <c r="AZ1359" s="79"/>
    </row>
    <row r="1360" spans="1:52" x14ac:dyDescent="0.2">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4.4831371338441527E-3</v>
      </c>
      <c r="T1360" s="27">
        <f t="shared" si="536"/>
        <v>4.4899645877902617E-3</v>
      </c>
      <c r="U1360" s="27">
        <f t="shared" si="536"/>
        <v>4.4976812446803844E-3</v>
      </c>
      <c r="V1360" s="27">
        <f t="shared" si="536"/>
        <v>4.5063863158882386E-3</v>
      </c>
      <c r="W1360" s="27">
        <f t="shared" si="536"/>
        <v>4.5161788811117947E-3</v>
      </c>
      <c r="X1360" s="27">
        <f t="shared" si="536"/>
        <v>4.5268547446196596E-3</v>
      </c>
      <c r="Y1360" s="27">
        <f t="shared" si="536"/>
        <v>4.5333477172681842E-3</v>
      </c>
      <c r="Z1360" s="27">
        <f t="shared" si="536"/>
        <v>4.5405999943124754E-3</v>
      </c>
      <c r="AA1360" s="27">
        <f t="shared" si="536"/>
        <v>4.5485583758995193E-3</v>
      </c>
      <c r="AB1360" s="27">
        <f t="shared" si="536"/>
        <v>4.5574030453961476E-3</v>
      </c>
      <c r="AC1360" s="27">
        <f t="shared" si="536"/>
        <v>4.5669166889101189E-3</v>
      </c>
      <c r="AD1360" s="27">
        <f t="shared" si="536"/>
        <v>4.5731331974710569E-3</v>
      </c>
      <c r="AE1360" s="27">
        <f t="shared" si="536"/>
        <v>4.5801112561138658E-3</v>
      </c>
      <c r="AF1360" s="27">
        <f t="shared" si="536"/>
        <v>4.5877393890876687E-3</v>
      </c>
      <c r="AG1360" s="27">
        <f t="shared" si="536"/>
        <v>4.5960968162402412E-3</v>
      </c>
      <c r="AH1360" s="27">
        <f t="shared" si="536"/>
        <v>4.60470160066862E-3</v>
      </c>
      <c r="AI1360" s="27">
        <f t="shared" si="536"/>
        <v>4.6099752593178585E-3</v>
      </c>
      <c r="AJ1360" s="27">
        <f t="shared" si="536"/>
        <v>4.6158010652929838E-3</v>
      </c>
      <c r="AK1360" s="27">
        <f t="shared" si="536"/>
        <v>4.6220305138924079E-3</v>
      </c>
      <c r="AL1360" s="27">
        <f t="shared" si="536"/>
        <v>4.6287377180545888E-3</v>
      </c>
      <c r="AM1360" s="27">
        <f t="shared" si="536"/>
        <v>4.635862068128902E-3</v>
      </c>
      <c r="AN1360" s="27">
        <f t="shared" si="536"/>
        <v>4.6399936101115553E-3</v>
      </c>
      <c r="AO1360" s="27">
        <f t="shared" si="536"/>
        <v>4.6444376176989054E-3</v>
      </c>
      <c r="AP1360" s="27">
        <f t="shared" si="536"/>
        <v>4.6492508857149065E-3</v>
      </c>
      <c r="AQ1360" s="27">
        <f t="shared" si="536"/>
        <v>4.6544400588078442E-3</v>
      </c>
      <c r="AR1360" s="27">
        <f t="shared" si="536"/>
        <v>4.6600015094737631E-3</v>
      </c>
      <c r="AS1360" s="27">
        <f t="shared" si="536"/>
        <v>4.6624883129741824E-3</v>
      </c>
      <c r="AT1360" s="27">
        <f t="shared" si="536"/>
        <v>4.6648029335130551E-3</v>
      </c>
      <c r="AU1360" s="27">
        <f t="shared" si="536"/>
        <v>4.6673689256300846E-3</v>
      </c>
      <c r="AV1360" s="27">
        <f t="shared" si="536"/>
        <v>4.6702274196843731E-3</v>
      </c>
      <c r="AW1360" s="27">
        <f t="shared" si="536"/>
        <v>4.6733489894838004E-3</v>
      </c>
      <c r="AY1360" s="79"/>
      <c r="AZ1360" s="79"/>
    </row>
    <row r="1361" spans="1:52" x14ac:dyDescent="0.2">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3.7291632343986812E-3</v>
      </c>
      <c r="T1361" s="27">
        <f t="shared" si="537"/>
        <v>3.7348424472980965E-3</v>
      </c>
      <c r="U1361" s="27">
        <f t="shared" si="537"/>
        <v>3.7412613170109757E-3</v>
      </c>
      <c r="V1361" s="27">
        <f t="shared" si="537"/>
        <v>3.7485023695444986E-3</v>
      </c>
      <c r="W1361" s="27">
        <f t="shared" si="537"/>
        <v>3.7566480213753234E-3</v>
      </c>
      <c r="X1361" s="27">
        <f t="shared" si="537"/>
        <v>3.7655284184054385E-3</v>
      </c>
      <c r="Y1361" s="27">
        <f t="shared" si="537"/>
        <v>3.770929403064159E-3</v>
      </c>
      <c r="Z1361" s="27">
        <f t="shared" si="537"/>
        <v>3.7769619923229323E-3</v>
      </c>
      <c r="AA1361" s="27">
        <f t="shared" si="537"/>
        <v>3.7835819334787997E-3</v>
      </c>
      <c r="AB1361" s="27">
        <f t="shared" si="537"/>
        <v>3.7909391066641191E-3</v>
      </c>
      <c r="AC1361" s="27">
        <f t="shared" si="537"/>
        <v>3.7988527458320239E-3</v>
      </c>
      <c r="AD1361" s="27">
        <f t="shared" si="537"/>
        <v>3.8040237621270109E-3</v>
      </c>
      <c r="AE1361" s="27">
        <f t="shared" si="537"/>
        <v>3.8098282510287203E-3</v>
      </c>
      <c r="AF1361" s="27">
        <f t="shared" si="537"/>
        <v>3.8161734847754797E-3</v>
      </c>
      <c r="AG1361" s="27">
        <f t="shared" si="537"/>
        <v>3.823125360022894E-3</v>
      </c>
      <c r="AH1361" s="27">
        <f t="shared" si="537"/>
        <v>3.8302829920051928E-3</v>
      </c>
      <c r="AI1361" s="27">
        <f t="shared" si="537"/>
        <v>3.834669726864819E-3</v>
      </c>
      <c r="AJ1361" s="27">
        <f t="shared" si="537"/>
        <v>3.8395157489258354E-3</v>
      </c>
      <c r="AK1361" s="27">
        <f t="shared" si="537"/>
        <v>3.8446975290039364E-3</v>
      </c>
      <c r="AL1361" s="27">
        <f t="shared" si="537"/>
        <v>3.8502767157253038E-3</v>
      </c>
      <c r="AM1361" s="27">
        <f t="shared" si="537"/>
        <v>3.8562028927689521E-3</v>
      </c>
      <c r="AN1361" s="27">
        <f t="shared" si="537"/>
        <v>3.8596395921165526E-3</v>
      </c>
      <c r="AO1361" s="27">
        <f t="shared" si="537"/>
        <v>3.8633362066106815E-3</v>
      </c>
      <c r="AP1361" s="27">
        <f t="shared" si="537"/>
        <v>3.8673399793231139E-3</v>
      </c>
      <c r="AQ1361" s="27">
        <f t="shared" si="537"/>
        <v>3.8716564374053405E-3</v>
      </c>
      <c r="AR1361" s="27">
        <f t="shared" si="537"/>
        <v>3.8762825634269383E-3</v>
      </c>
      <c r="AS1361" s="27">
        <f t="shared" si="537"/>
        <v>3.8783511363721934E-3</v>
      </c>
      <c r="AT1361" s="27">
        <f t="shared" si="537"/>
        <v>3.8802764840823911E-3</v>
      </c>
      <c r="AU1361" s="27">
        <f t="shared" si="537"/>
        <v>3.8824109277045466E-3</v>
      </c>
      <c r="AV1361" s="27">
        <f t="shared" si="537"/>
        <v>3.8847886802949221E-3</v>
      </c>
      <c r="AW1361" s="27">
        <f t="shared" si="537"/>
        <v>3.8873852645577018E-3</v>
      </c>
      <c r="AY1361" s="79"/>
      <c r="AZ1361" s="79"/>
    </row>
    <row r="1362" spans="1:52" x14ac:dyDescent="0.2">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5.4322987485311551E-4</v>
      </c>
      <c r="L1362" s="27">
        <f t="shared" si="538"/>
        <v>5.4464201031358182E-4</v>
      </c>
      <c r="M1362" s="27">
        <f t="shared" si="538"/>
        <v>5.4659000127818655E-4</v>
      </c>
      <c r="N1362" s="27">
        <f t="shared" si="538"/>
        <v>5.4896316873921192E-4</v>
      </c>
      <c r="O1362" s="27">
        <f t="shared" si="538"/>
        <v>5.5175812793145673E-4</v>
      </c>
      <c r="P1362" s="27">
        <f t="shared" si="538"/>
        <v>5.5495786726734487E-4</v>
      </c>
      <c r="Q1362" s="27">
        <f t="shared" si="538"/>
        <v>5.5840147541839707E-4</v>
      </c>
      <c r="R1362" s="27">
        <f t="shared" si="538"/>
        <v>5.620753208024884E-4</v>
      </c>
      <c r="S1362" s="27">
        <f t="shared" si="538"/>
        <v>5.6545048661351359E-4</v>
      </c>
      <c r="T1362" s="27">
        <f t="shared" si="538"/>
        <v>5.6709357361271675E-4</v>
      </c>
      <c r="U1362" s="27">
        <f t="shared" si="538"/>
        <v>5.688596151711496E-4</v>
      </c>
      <c r="V1362" s="27">
        <f t="shared" si="538"/>
        <v>5.7077020841237065E-4</v>
      </c>
      <c r="W1362" s="27">
        <f t="shared" si="538"/>
        <v>5.7284633112627235E-4</v>
      </c>
      <c r="X1362" s="27">
        <f t="shared" si="538"/>
        <v>5.7505104202951998E-4</v>
      </c>
      <c r="Y1362" s="27">
        <f t="shared" si="538"/>
        <v>5.7642933432393154E-4</v>
      </c>
      <c r="Z1362" s="27">
        <f t="shared" si="538"/>
        <v>5.7792028160119863E-4</v>
      </c>
      <c r="AA1362" s="27">
        <f t="shared" si="538"/>
        <v>5.7951511495132196E-4</v>
      </c>
      <c r="AB1362" s="27">
        <f t="shared" si="538"/>
        <v>5.8124875364710992E-4</v>
      </c>
      <c r="AC1362" s="27">
        <f t="shared" si="538"/>
        <v>5.8308126155427384E-4</v>
      </c>
      <c r="AD1362" s="27">
        <f t="shared" si="538"/>
        <v>5.8427258810919626E-4</v>
      </c>
      <c r="AE1362" s="27">
        <f t="shared" si="538"/>
        <v>5.8558467766040652E-4</v>
      </c>
      <c r="AF1362" s="27">
        <f t="shared" si="538"/>
        <v>5.8699724042408691E-4</v>
      </c>
      <c r="AG1362" s="27">
        <f t="shared" si="538"/>
        <v>5.8852547780245982E-4</v>
      </c>
      <c r="AH1362" s="27">
        <f t="shared" si="538"/>
        <v>5.9008039799106414E-4</v>
      </c>
      <c r="AI1362" s="27">
        <f t="shared" si="538"/>
        <v>5.9100081451309786E-4</v>
      </c>
      <c r="AJ1362" s="27">
        <f t="shared" si="538"/>
        <v>5.9200813916272929E-4</v>
      </c>
      <c r="AK1362" s="27">
        <f t="shared" si="538"/>
        <v>5.9307526025328071E-4</v>
      </c>
      <c r="AL1362" s="27">
        <f t="shared" si="538"/>
        <v>5.942161722415414E-4</v>
      </c>
      <c r="AM1362" s="27">
        <f t="shared" si="538"/>
        <v>5.9541998695626641E-4</v>
      </c>
      <c r="AN1362" s="27">
        <f t="shared" si="538"/>
        <v>5.9606189392580344E-4</v>
      </c>
      <c r="AO1362" s="27">
        <f t="shared" si="538"/>
        <v>5.9675021369894824E-4</v>
      </c>
      <c r="AP1362" s="27">
        <f t="shared" si="538"/>
        <v>5.9749556471656829E-4</v>
      </c>
      <c r="AQ1362" s="27">
        <f t="shared" si="538"/>
        <v>5.9829931979982535E-4</v>
      </c>
      <c r="AR1362" s="27">
        <f t="shared" si="538"/>
        <v>5.9916094831137718E-4</v>
      </c>
      <c r="AS1362" s="27">
        <f t="shared" si="538"/>
        <v>5.9945405400764929E-4</v>
      </c>
      <c r="AT1362" s="27">
        <f t="shared" si="538"/>
        <v>5.9970848295436412E-4</v>
      </c>
      <c r="AU1362" s="27">
        <f t="shared" si="538"/>
        <v>6.00001478883441E-4</v>
      </c>
      <c r="AV1362" s="27">
        <f t="shared" si="538"/>
        <v>6.0034059567570894E-4</v>
      </c>
      <c r="AW1362" s="27">
        <f t="shared" si="538"/>
        <v>6.0072058236705953E-4</v>
      </c>
      <c r="AY1362" s="79"/>
      <c r="AZ1362" s="79"/>
    </row>
    <row r="1363" spans="1:52" x14ac:dyDescent="0.2">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6.6992563985089938E-3</v>
      </c>
      <c r="L1363" s="27">
        <f t="shared" si="539"/>
        <v>6.716671231449923E-3</v>
      </c>
      <c r="M1363" s="27">
        <f t="shared" si="539"/>
        <v>6.7406943780734313E-3</v>
      </c>
      <c r="N1363" s="27">
        <f t="shared" si="539"/>
        <v>6.769960915195136E-3</v>
      </c>
      <c r="O1363" s="27">
        <f t="shared" si="539"/>
        <v>6.8044291009834836E-3</v>
      </c>
      <c r="P1363" s="27">
        <f t="shared" si="539"/>
        <v>6.8438891439814974E-3</v>
      </c>
      <c r="Q1363" s="27">
        <f t="shared" si="539"/>
        <v>6.8863566425632549E-3</v>
      </c>
      <c r="R1363" s="27">
        <f t="shared" si="539"/>
        <v>6.9316634884048298E-3</v>
      </c>
      <c r="S1363" s="27">
        <f t="shared" si="539"/>
        <v>6.973286937707302E-3</v>
      </c>
      <c r="T1363" s="27">
        <f t="shared" si="539"/>
        <v>6.9935499269173423E-3</v>
      </c>
      <c r="U1363" s="27">
        <f t="shared" si="539"/>
        <v>7.0153292247027649E-3</v>
      </c>
      <c r="V1363" s="27">
        <f t="shared" si="539"/>
        <v>7.0388911725791786E-3</v>
      </c>
      <c r="W1363" s="27">
        <f t="shared" si="539"/>
        <v>7.0644944742734297E-3</v>
      </c>
      <c r="X1363" s="27">
        <f t="shared" si="539"/>
        <v>7.0916835599794349E-3</v>
      </c>
      <c r="Y1363" s="27">
        <f t="shared" si="539"/>
        <v>7.1086810299268487E-3</v>
      </c>
      <c r="Z1363" s="27">
        <f t="shared" si="539"/>
        <v>7.1270677913135832E-3</v>
      </c>
      <c r="AA1363" s="27">
        <f t="shared" si="539"/>
        <v>7.1467357035915266E-3</v>
      </c>
      <c r="AB1363" s="27">
        <f t="shared" si="539"/>
        <v>7.1681154005910717E-3</v>
      </c>
      <c r="AC1363" s="27">
        <f t="shared" si="539"/>
        <v>7.1907143792015659E-3</v>
      </c>
      <c r="AD1363" s="27">
        <f t="shared" si="539"/>
        <v>7.2054061375440787E-3</v>
      </c>
      <c r="AE1363" s="27">
        <f t="shared" si="539"/>
        <v>7.2215871775204617E-3</v>
      </c>
      <c r="AF1363" s="27">
        <f t="shared" si="539"/>
        <v>7.2390072800791469E-3</v>
      </c>
      <c r="AG1363" s="27">
        <f t="shared" si="539"/>
        <v>7.2578539129862047E-3</v>
      </c>
      <c r="AH1363" s="27">
        <f t="shared" si="539"/>
        <v>7.277029605459848E-3</v>
      </c>
      <c r="AI1363" s="27">
        <f t="shared" si="539"/>
        <v>7.2883804286747794E-3</v>
      </c>
      <c r="AJ1363" s="27">
        <f t="shared" si="539"/>
        <v>7.3008030262100192E-3</v>
      </c>
      <c r="AK1363" s="27">
        <f t="shared" si="539"/>
        <v>7.3139630494797169E-3</v>
      </c>
      <c r="AL1363" s="27">
        <f t="shared" si="539"/>
        <v>7.3280330818754061E-3</v>
      </c>
      <c r="AM1363" s="27">
        <f t="shared" si="539"/>
        <v>7.3428788475513491E-3</v>
      </c>
      <c r="AN1363" s="27">
        <f t="shared" si="539"/>
        <v>7.3507950163262765E-3</v>
      </c>
      <c r="AO1363" s="27">
        <f t="shared" si="539"/>
        <v>7.3592835602335977E-3</v>
      </c>
      <c r="AP1363" s="27">
        <f t="shared" si="539"/>
        <v>7.3684754287317664E-3</v>
      </c>
      <c r="AQ1363" s="27">
        <f t="shared" si="539"/>
        <v>7.3783875518192519E-3</v>
      </c>
      <c r="AR1363" s="27">
        <f t="shared" si="539"/>
        <v>7.3890133855341444E-3</v>
      </c>
      <c r="AS1363" s="27">
        <f t="shared" si="539"/>
        <v>7.3926280435308569E-3</v>
      </c>
      <c r="AT1363" s="27">
        <f t="shared" si="539"/>
        <v>7.3957657294869287E-3</v>
      </c>
      <c r="AU1363" s="27">
        <f t="shared" si="539"/>
        <v>7.3993790338051698E-3</v>
      </c>
      <c r="AV1363" s="27">
        <f t="shared" si="539"/>
        <v>7.4035611129683564E-3</v>
      </c>
      <c r="AW1363" s="27">
        <f t="shared" si="539"/>
        <v>7.4082472106798752E-3</v>
      </c>
      <c r="AY1363" s="79"/>
      <c r="AZ1363" s="79"/>
    </row>
    <row r="1364" spans="1:52" x14ac:dyDescent="0.2">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2">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2">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2.6729002214214585E-2</v>
      </c>
      <c r="M1366" s="27">
        <f t="shared" si="542"/>
        <v>2.6740992333189322E-2</v>
      </c>
      <c r="N1366" s="27">
        <f t="shared" si="542"/>
        <v>2.6495489531984443E-2</v>
      </c>
      <c r="O1366" s="27">
        <f t="shared" si="542"/>
        <v>2.609452683304702E-2</v>
      </c>
      <c r="P1366" s="27">
        <f t="shared" si="542"/>
        <v>2.5544514050244028E-2</v>
      </c>
      <c r="Q1366" s="27">
        <f t="shared" si="542"/>
        <v>2.5145143775072754E-2</v>
      </c>
      <c r="R1366" s="27">
        <f t="shared" si="542"/>
        <v>2.4781112413324518E-2</v>
      </c>
      <c r="S1366" s="27">
        <f t="shared" si="542"/>
        <v>2.20798204460615E-2</v>
      </c>
      <c r="T1366" s="27">
        <f t="shared" si="542"/>
        <v>2.2424557938008405E-2</v>
      </c>
      <c r="U1366" s="27">
        <f t="shared" si="542"/>
        <v>2.2570971116616413E-2</v>
      </c>
      <c r="V1366" s="27">
        <f t="shared" si="542"/>
        <v>2.2667395166558576E-2</v>
      </c>
      <c r="W1366" s="27">
        <f t="shared" si="542"/>
        <v>2.284594133514007E-2</v>
      </c>
      <c r="X1366" s="27">
        <f t="shared" si="542"/>
        <v>2.2978923721971391E-2</v>
      </c>
      <c r="Y1366" s="27">
        <f t="shared" si="542"/>
        <v>2.3048677917067804E-2</v>
      </c>
      <c r="Z1366" s="27">
        <f t="shared" si="542"/>
        <v>2.3091415921174294E-2</v>
      </c>
      <c r="AA1366" s="27">
        <f t="shared" si="542"/>
        <v>2.3097213386295078E-2</v>
      </c>
      <c r="AB1366" s="27">
        <f t="shared" si="542"/>
        <v>2.323133845353377E-2</v>
      </c>
      <c r="AC1366" s="27">
        <f t="shared" si="542"/>
        <v>2.3348495871952417E-2</v>
      </c>
      <c r="AD1366" s="27">
        <f t="shared" si="542"/>
        <v>2.3517064058520994E-2</v>
      </c>
      <c r="AE1366" s="27">
        <f t="shared" si="542"/>
        <v>2.3801807583193908E-2</v>
      </c>
      <c r="AF1366" s="27">
        <f t="shared" si="542"/>
        <v>2.4135258091248658E-2</v>
      </c>
      <c r="AG1366" s="27">
        <f t="shared" si="542"/>
        <v>2.4586723078799614E-2</v>
      </c>
      <c r="AH1366" s="27">
        <f t="shared" si="542"/>
        <v>2.483044349217995E-2</v>
      </c>
      <c r="AI1366" s="27">
        <f t="shared" si="542"/>
        <v>2.5043308594524263E-2</v>
      </c>
      <c r="AJ1366" s="27">
        <f t="shared" si="542"/>
        <v>2.531081903004264E-2</v>
      </c>
      <c r="AK1366" s="27">
        <f t="shared" si="542"/>
        <v>2.5543075681886771E-2</v>
      </c>
      <c r="AL1366" s="27">
        <f t="shared" si="542"/>
        <v>2.5800065264390357E-2</v>
      </c>
      <c r="AM1366" s="27">
        <f t="shared" si="542"/>
        <v>2.6050738429193292E-2</v>
      </c>
      <c r="AN1366" s="27">
        <f t="shared" si="542"/>
        <v>2.6388228624982798E-2</v>
      </c>
      <c r="AO1366" s="27">
        <f t="shared" si="542"/>
        <v>2.6681293830850793E-2</v>
      </c>
      <c r="AP1366" s="27">
        <f t="shared" si="542"/>
        <v>2.6974098587187682E-2</v>
      </c>
      <c r="AQ1366" s="27">
        <f t="shared" si="542"/>
        <v>2.7277302536496094E-2</v>
      </c>
      <c r="AR1366" s="27">
        <f t="shared" si="542"/>
        <v>2.759431398689733E-2</v>
      </c>
      <c r="AS1366" s="27">
        <f t="shared" si="542"/>
        <v>2.800744241344803E-2</v>
      </c>
      <c r="AT1366" s="27">
        <f t="shared" si="542"/>
        <v>2.8135384789660874E-2</v>
      </c>
      <c r="AU1366" s="27">
        <f t="shared" si="542"/>
        <v>2.8237574251430975E-2</v>
      </c>
      <c r="AV1366" s="27">
        <f t="shared" si="542"/>
        <v>2.8342961193356213E-2</v>
      </c>
      <c r="AW1366" s="27">
        <f t="shared" si="542"/>
        <v>2.8439412611602398E-2</v>
      </c>
      <c r="AY1366" s="79"/>
      <c r="AZ1366" s="79"/>
    </row>
    <row r="1367" spans="1:52" x14ac:dyDescent="0.2">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3.9947810410006996E-3</v>
      </c>
      <c r="M1367" s="27">
        <f t="shared" si="543"/>
        <v>3.9965730233416704E-3</v>
      </c>
      <c r="N1367" s="27">
        <f t="shared" si="543"/>
        <v>3.9598814204188995E-3</v>
      </c>
      <c r="O1367" s="27">
        <f t="shared" si="543"/>
        <v>3.8999555700251322E-3</v>
      </c>
      <c r="P1367" s="27">
        <f t="shared" si="543"/>
        <v>3.8177534504158584E-3</v>
      </c>
      <c r="Q1367" s="27">
        <f t="shared" si="543"/>
        <v>3.7580655955978051E-3</v>
      </c>
      <c r="R1367" s="27">
        <f t="shared" si="543"/>
        <v>3.7036593154610876E-3</v>
      </c>
      <c r="S1367" s="27">
        <f t="shared" si="543"/>
        <v>3.2999379250946686E-3</v>
      </c>
      <c r="T1367" s="27">
        <f t="shared" si="543"/>
        <v>3.3514606413530125E-3</v>
      </c>
      <c r="U1367" s="27">
        <f t="shared" si="543"/>
        <v>3.3733428120890697E-3</v>
      </c>
      <c r="V1367" s="27">
        <f t="shared" si="543"/>
        <v>3.3877538613126231E-3</v>
      </c>
      <c r="W1367" s="27">
        <f t="shared" si="543"/>
        <v>3.4144384656789365E-3</v>
      </c>
      <c r="X1367" s="27">
        <f t="shared" si="543"/>
        <v>3.4343133384273955E-3</v>
      </c>
      <c r="Y1367" s="27">
        <f t="shared" si="543"/>
        <v>3.4447384464755082E-3</v>
      </c>
      <c r="Z1367" s="27">
        <f t="shared" si="543"/>
        <v>3.4511258517054724E-3</v>
      </c>
      <c r="AA1367" s="27">
        <f t="shared" si="543"/>
        <v>3.4519923114245724E-3</v>
      </c>
      <c r="AB1367" s="27">
        <f t="shared" si="543"/>
        <v>3.4720379633884583E-3</v>
      </c>
      <c r="AC1367" s="27">
        <f t="shared" si="543"/>
        <v>3.4895477166579812E-3</v>
      </c>
      <c r="AD1367" s="27">
        <f t="shared" si="543"/>
        <v>3.5147410624635305E-3</v>
      </c>
      <c r="AE1367" s="27">
        <f t="shared" si="543"/>
        <v>3.5572973847981574E-3</v>
      </c>
      <c r="AF1367" s="27">
        <f t="shared" si="543"/>
        <v>3.6071332057170833E-3</v>
      </c>
      <c r="AG1367" s="27">
        <f t="shared" si="543"/>
        <v>3.6746068719052303E-3</v>
      </c>
      <c r="AH1367" s="27">
        <f t="shared" si="543"/>
        <v>3.7110320881880462E-3</v>
      </c>
      <c r="AI1367" s="27">
        <f t="shared" si="543"/>
        <v>3.7428458262513211E-3</v>
      </c>
      <c r="AJ1367" s="27">
        <f t="shared" si="543"/>
        <v>3.7828265785261059E-3</v>
      </c>
      <c r="AK1367" s="27">
        <f t="shared" si="543"/>
        <v>3.8175384791798387E-3</v>
      </c>
      <c r="AL1367" s="27">
        <f t="shared" si="543"/>
        <v>3.8559468381485868E-3</v>
      </c>
      <c r="AM1367" s="27">
        <f t="shared" si="543"/>
        <v>3.8934111773789473E-3</v>
      </c>
      <c r="AN1367" s="27">
        <f t="shared" si="543"/>
        <v>3.9438507495282793E-3</v>
      </c>
      <c r="AO1367" s="27">
        <f t="shared" si="543"/>
        <v>3.9876507881079406E-3</v>
      </c>
      <c r="AP1367" s="27">
        <f t="shared" si="543"/>
        <v>4.0314119012222708E-3</v>
      </c>
      <c r="AQ1367" s="27">
        <f t="shared" si="543"/>
        <v>4.0767272249499047E-3</v>
      </c>
      <c r="AR1367" s="27">
        <f t="shared" si="543"/>
        <v>4.1241061477280058E-3</v>
      </c>
      <c r="AS1367" s="27">
        <f t="shared" si="543"/>
        <v>4.1858502260387767E-3</v>
      </c>
      <c r="AT1367" s="27">
        <f t="shared" si="543"/>
        <v>4.2049718443745261E-3</v>
      </c>
      <c r="AU1367" s="27">
        <f t="shared" si="543"/>
        <v>4.2202445627946769E-3</v>
      </c>
      <c r="AV1367" s="27">
        <f t="shared" si="543"/>
        <v>4.2359951603739652E-3</v>
      </c>
      <c r="AW1367" s="27">
        <f t="shared" si="543"/>
        <v>4.2504102999253611E-3</v>
      </c>
      <c r="AY1367" s="79"/>
      <c r="AZ1367" s="79"/>
    </row>
    <row r="1368" spans="1:52" x14ac:dyDescent="0.2">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1.7066731126843742E-2</v>
      </c>
      <c r="M1368" s="27">
        <f t="shared" si="544"/>
        <v>1.7464259263446445E-2</v>
      </c>
      <c r="N1368" s="27">
        <f t="shared" si="544"/>
        <v>1.77694513935726E-2</v>
      </c>
      <c r="O1368" s="27">
        <f t="shared" si="544"/>
        <v>1.8014444056791572E-2</v>
      </c>
      <c r="P1368" s="27">
        <f t="shared" si="544"/>
        <v>1.8197780265539365E-2</v>
      </c>
      <c r="Q1368" s="27">
        <f t="shared" si="544"/>
        <v>1.8432867891885713E-2</v>
      </c>
      <c r="R1368" s="27">
        <f t="shared" si="544"/>
        <v>1.8677293946611207E-2</v>
      </c>
      <c r="S1368" s="27">
        <f t="shared" si="544"/>
        <v>1.7930195532315427E-2</v>
      </c>
      <c r="T1368" s="27">
        <f t="shared" si="544"/>
        <v>1.8405757792115097E-2</v>
      </c>
      <c r="U1368" s="27">
        <f t="shared" si="544"/>
        <v>1.880256719318036E-2</v>
      </c>
      <c r="V1368" s="27">
        <f t="shared" si="544"/>
        <v>1.9182022263661121E-2</v>
      </c>
      <c r="W1368" s="27">
        <f t="shared" si="544"/>
        <v>1.9603893406791358E-2</v>
      </c>
      <c r="X1368" s="27">
        <f t="shared" si="544"/>
        <v>2.0010576837223248E-2</v>
      </c>
      <c r="Y1368" s="27">
        <f t="shared" si="544"/>
        <v>2.0375728845723119E-2</v>
      </c>
      <c r="Z1368" s="27">
        <f t="shared" si="544"/>
        <v>2.0731756448222814E-2</v>
      </c>
      <c r="AA1368" s="27">
        <f t="shared" si="544"/>
        <v>2.1073019561660463E-2</v>
      </c>
      <c r="AB1368" s="27">
        <f t="shared" si="544"/>
        <v>2.148336106919314E-2</v>
      </c>
      <c r="AC1368" s="27">
        <f t="shared" si="544"/>
        <v>2.1890889267126682E-2</v>
      </c>
      <c r="AD1368" s="27">
        <f t="shared" si="544"/>
        <v>2.231803440740647E-2</v>
      </c>
      <c r="AE1368" s="27">
        <f t="shared" si="544"/>
        <v>2.2815454137105083E-2</v>
      </c>
      <c r="AF1368" s="27">
        <f t="shared" si="544"/>
        <v>2.3349632701496571E-2</v>
      </c>
      <c r="AG1368" s="27">
        <f t="shared" si="544"/>
        <v>2.396171160946152E-2</v>
      </c>
      <c r="AH1368" s="27">
        <f t="shared" si="544"/>
        <v>2.4467658584898602E-2</v>
      </c>
      <c r="AI1368" s="27">
        <f t="shared" si="544"/>
        <v>2.4951748693606203E-2</v>
      </c>
      <c r="AJ1368" s="27">
        <f t="shared" si="544"/>
        <v>2.5477604150305377E-2</v>
      </c>
      <c r="AK1368" s="27">
        <f t="shared" si="544"/>
        <v>2.5992359314301834E-2</v>
      </c>
      <c r="AL1368" s="27">
        <f t="shared" si="544"/>
        <v>2.6532480091102609E-2</v>
      </c>
      <c r="AM1368" s="27">
        <f t="shared" si="544"/>
        <v>2.7079400048144214E-2</v>
      </c>
      <c r="AN1368" s="27">
        <f t="shared" si="544"/>
        <v>2.7680885364723965E-2</v>
      </c>
      <c r="AO1368" s="27">
        <f t="shared" si="544"/>
        <v>2.8266293672037732E-2</v>
      </c>
      <c r="AP1368" s="27">
        <f t="shared" si="544"/>
        <v>2.886402430987451E-2</v>
      </c>
      <c r="AQ1368" s="27">
        <f t="shared" si="544"/>
        <v>2.9481723037787178E-2</v>
      </c>
      <c r="AR1368" s="27">
        <f t="shared" si="544"/>
        <v>3.0122536424733722E-2</v>
      </c>
      <c r="AS1368" s="27">
        <f t="shared" si="544"/>
        <v>3.0832887052217536E-2</v>
      </c>
      <c r="AT1368" s="27">
        <f t="shared" si="544"/>
        <v>3.1354014072341549E-2</v>
      </c>
      <c r="AU1368" s="27">
        <f t="shared" si="544"/>
        <v>3.1866079427096267E-2</v>
      </c>
      <c r="AV1368" s="27">
        <f t="shared" si="544"/>
        <v>3.2390073533933091E-2</v>
      </c>
      <c r="AW1368" s="27">
        <f t="shared" si="544"/>
        <v>3.2917174163896501E-2</v>
      </c>
      <c r="AY1368" s="79"/>
      <c r="AZ1368" s="79"/>
    </row>
    <row r="1369" spans="1:52" x14ac:dyDescent="0.2">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7.758579791322931E-2</v>
      </c>
      <c r="L1369" s="27">
        <f t="shared" si="545"/>
        <v>7.860746419754247E-2</v>
      </c>
      <c r="M1369" s="27">
        <f t="shared" si="545"/>
        <v>8.0248553313821205E-2</v>
      </c>
      <c r="N1369" s="27">
        <f t="shared" si="545"/>
        <v>8.0719757945382262E-2</v>
      </c>
      <c r="O1369" s="27">
        <f t="shared" si="545"/>
        <v>8.0430818839717741E-2</v>
      </c>
      <c r="P1369" s="27">
        <f t="shared" si="545"/>
        <v>7.938481013134728E-2</v>
      </c>
      <c r="Q1369" s="27">
        <f t="shared" si="545"/>
        <v>7.8944464359385597E-2</v>
      </c>
      <c r="R1369" s="27">
        <f t="shared" si="545"/>
        <v>7.8604018955287305E-2</v>
      </c>
      <c r="S1369" s="27">
        <f t="shared" si="545"/>
        <v>6.7197980387573103E-2</v>
      </c>
      <c r="T1369" s="27">
        <f t="shared" si="545"/>
        <v>7.0159754352377118E-2</v>
      </c>
      <c r="U1369" s="27">
        <f t="shared" si="545"/>
        <v>7.2200774862602818E-2</v>
      </c>
      <c r="V1369" s="27">
        <f t="shared" si="545"/>
        <v>7.4012137517044677E-2</v>
      </c>
      <c r="W1369" s="27">
        <f t="shared" si="545"/>
        <v>7.624234611790702E-2</v>
      </c>
      <c r="X1369" s="27">
        <f t="shared" si="545"/>
        <v>7.8266654922264395E-2</v>
      </c>
      <c r="Y1369" s="27">
        <f t="shared" si="545"/>
        <v>8.0053392548698518E-2</v>
      </c>
      <c r="Z1369" s="27">
        <f t="shared" si="545"/>
        <v>8.1713475036097147E-2</v>
      </c>
      <c r="AA1369" s="27">
        <f t="shared" si="545"/>
        <v>8.3191126783030381E-2</v>
      </c>
      <c r="AB1369" s="27">
        <f t="shared" si="545"/>
        <v>8.5356141752823037E-2</v>
      </c>
      <c r="AC1369" s="27">
        <f t="shared" si="545"/>
        <v>8.7456207764297841E-2</v>
      </c>
      <c r="AD1369" s="27">
        <f t="shared" si="545"/>
        <v>8.9913243198059017E-2</v>
      </c>
      <c r="AE1369" s="27">
        <f t="shared" si="545"/>
        <v>9.3044085798014903E-2</v>
      </c>
      <c r="AF1369" s="27">
        <f t="shared" si="545"/>
        <v>9.6498642598308926E-2</v>
      </c>
      <c r="AG1369" s="27">
        <f t="shared" si="545"/>
        <v>0.10068056666272467</v>
      </c>
      <c r="AH1369" s="27">
        <f t="shared" si="545"/>
        <v>0.10375441633368165</v>
      </c>
      <c r="AI1369" s="27">
        <f t="shared" si="545"/>
        <v>0.10675032554756632</v>
      </c>
      <c r="AJ1369" s="27">
        <f t="shared" si="545"/>
        <v>0.11011636525105389</v>
      </c>
      <c r="AK1369" s="27">
        <f t="shared" si="545"/>
        <v>0.11333263880247381</v>
      </c>
      <c r="AL1369" s="27">
        <f t="shared" si="545"/>
        <v>0.11675404817895949</v>
      </c>
      <c r="AM1369" s="27">
        <f t="shared" si="545"/>
        <v>0.12019911578989917</v>
      </c>
      <c r="AN1369" s="27">
        <f t="shared" si="545"/>
        <v>0.12428786174834884</v>
      </c>
      <c r="AO1369" s="27">
        <f t="shared" si="545"/>
        <v>0.12817821089097012</v>
      </c>
      <c r="AP1369" s="27">
        <f t="shared" si="545"/>
        <v>0.13214154239239112</v>
      </c>
      <c r="AQ1369" s="27">
        <f t="shared" si="545"/>
        <v>0.13624857972153667</v>
      </c>
      <c r="AR1369" s="27">
        <f t="shared" si="545"/>
        <v>0.14052656296513075</v>
      </c>
      <c r="AS1369" s="27">
        <f t="shared" si="545"/>
        <v>0.14556766568145355</v>
      </c>
      <c r="AT1369" s="27">
        <f t="shared" si="545"/>
        <v>0.14881423347183564</v>
      </c>
      <c r="AU1369" s="27">
        <f t="shared" si="545"/>
        <v>0.15194631854950416</v>
      </c>
      <c r="AV1369" s="27">
        <f t="shared" si="545"/>
        <v>0.15515723544633972</v>
      </c>
      <c r="AW1369" s="27">
        <f t="shared" si="545"/>
        <v>0.15836593511039121</v>
      </c>
      <c r="AY1369" s="79"/>
      <c r="AZ1369" s="79"/>
    </row>
    <row r="1379" spans="1:49" x14ac:dyDescent="0.2">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72.649957574793405</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73.83596289834658</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74.518042528471312</v>
      </c>
      <c r="S1379" s="27">
        <f>IF(('Activity data'!AL5*EF!$H4)*kgtoGg=0,"NO",('Activity data'!AL5*EF!$H4)*kgtoGg)</f>
        <v>72.478094892813189</v>
      </c>
      <c r="T1379" s="27">
        <f>IF(('Activity data'!AM5*EF!$H4)*kgtoGg=0,"NO",('Activity data'!AM5*EF!$H4)*kgtoGg)</f>
        <v>73.311025871745997</v>
      </c>
      <c r="U1379" s="27">
        <f>IF(('Activity data'!AN5*EF!$H4)*kgtoGg=0,"NO",('Activity data'!AN5*EF!$H4)*kgtoGg)</f>
        <v>73.963715162788233</v>
      </c>
      <c r="V1379" s="27">
        <f>IF(('Activity data'!AO5*EF!$H4)*kgtoGg=0,"NO",('Activity data'!AO5*EF!$H4)*kgtoGg)</f>
        <v>74.582066548206157</v>
      </c>
      <c r="W1379" s="27">
        <f>IF(('Activity data'!AP5*EF!$H4)*kgtoGg=0,"NO",('Activity data'!AP5*EF!$H4)*kgtoGg)</f>
        <v>75.304979725957494</v>
      </c>
      <c r="X1379" s="27">
        <f>IF(('Activity data'!AQ5*EF!$H4)*kgtoGg=0,"NO",('Activity data'!AQ5*EF!$H4)*kgtoGg)</f>
        <v>75.997294225765899</v>
      </c>
      <c r="Y1379" s="27">
        <f>IF(('Activity data'!AR5*EF!$H4)*kgtoGg=0,"NO",('Activity data'!AR5*EF!$H4)*kgtoGg)</f>
        <v>76.577933644130326</v>
      </c>
      <c r="Z1379" s="27">
        <f>IF(('Activity data'!AS5*EF!$H4)*kgtoGg=0,"NO",('Activity data'!AS5*EF!$H4)*kgtoGg)</f>
        <v>77.142446023883181</v>
      </c>
      <c r="AA1379" s="27">
        <f>IF(('Activity data'!AT5*EF!$H4)*kgtoGg=0,"NO",('Activity data'!AT5*EF!$H4)*kgtoGg)</f>
        <v>77.677893567914339</v>
      </c>
      <c r="AB1379" s="27">
        <f>IF(('Activity data'!AU5*EF!$H4)*kgtoGg=0,"NO",('Activity data'!AU5*EF!$H4)*kgtoGg)</f>
        <v>78.37441564319947</v>
      </c>
      <c r="AC1379" s="27">
        <f>IF(('Activity data'!AV5*EF!$H4)*kgtoGg=0,"NO",('Activity data'!AV5*EF!$H4)*kgtoGg)</f>
        <v>79.067356094429798</v>
      </c>
      <c r="AD1379" s="27">
        <f>IF(('Activity data'!AW5*EF!$H4)*kgtoGg=0,"NO",('Activity data'!AW5*EF!$H4)*kgtoGg)</f>
        <v>79.790293378056347</v>
      </c>
      <c r="AE1379" s="27">
        <f>IF(('Activity data'!AX5*EF!$H4)*kgtoGg=0,"NO",('Activity data'!AX5*EF!$H4)*kgtoGg)</f>
        <v>80.672260630147306</v>
      </c>
      <c r="AF1379" s="27">
        <f>IF(('Activity data'!AY5*EF!$H4)*kgtoGg=0,"NO",('Activity data'!AY5*EF!$H4)*kgtoGg)</f>
        <v>81.636452435438088</v>
      </c>
      <c r="AG1379" s="27">
        <f>IF(('Activity data'!AZ5*EF!$H4)*kgtoGg=0,"NO",('Activity data'!AZ5*EF!$H4)*kgtoGg)</f>
        <v>82.773036285937067</v>
      </c>
      <c r="AH1379" s="27">
        <f>IF(('Activity data'!BA5*EF!$H4)*kgtoGg=0,"NO",('Activity data'!BA5*EF!$H4)*kgtoGg)</f>
        <v>83.673213555783462</v>
      </c>
      <c r="AI1379" s="27">
        <f>IF(('Activity data'!BB5*EF!$H4)*kgtoGg=0,"NO",('Activity data'!BB5*EF!$H4)*kgtoGg)</f>
        <v>84.509468484147618</v>
      </c>
      <c r="AJ1379" s="27">
        <f>IF(('Activity data'!BC5*EF!$H4)*kgtoGg=0,"NO",('Activity data'!BC5*EF!$H4)*kgtoGg)</f>
        <v>85.437405417007412</v>
      </c>
      <c r="AK1379" s="27">
        <f>IF(('Activity data'!BD5*EF!$H4)*kgtoGg=0,"NO",('Activity data'!BD5*EF!$H4)*kgtoGg)</f>
        <v>86.340426432642914</v>
      </c>
      <c r="AL1379" s="27">
        <f>IF(('Activity data'!BE5*EF!$H4)*kgtoGg=0,"NO",('Activity data'!BE5*EF!$H4)*kgtoGg)</f>
        <v>87.298123970536111</v>
      </c>
      <c r="AM1379" s="27">
        <f>IF(('Activity data'!BF5*EF!$H4)*kgtoGg=0,"NO",('Activity data'!BF5*EF!$H4)*kgtoGg)</f>
        <v>88.26958854165197</v>
      </c>
      <c r="AN1379" s="27">
        <f>IF(('Activity data'!BG5*EF!$H4)*kgtoGg=0,"NO",('Activity data'!BG5*EF!$H4)*kgtoGg)</f>
        <v>89.343200001219728</v>
      </c>
      <c r="AO1379" s="27">
        <f>IF(('Activity data'!BH5*EF!$H4)*kgtoGg=0,"NO",('Activity data'!BH5*EF!$H4)*kgtoGg)</f>
        <v>90.380141784312926</v>
      </c>
      <c r="AP1379" s="27">
        <f>IF(('Activity data'!BI5*EF!$H4)*kgtoGg=0,"NO",('Activity data'!BI5*EF!$H4)*kgtoGg)</f>
        <v>91.441734143781034</v>
      </c>
      <c r="AQ1379" s="27">
        <f>IF(('Activity data'!BJ5*EF!$H4)*kgtoGg=0,"NO",('Activity data'!BJ5*EF!$H4)*kgtoGg)</f>
        <v>92.544073659173904</v>
      </c>
      <c r="AR1379" s="27">
        <f>IF(('Activity data'!BK5*EF!$H4)*kgtoGg=0,"NO",('Activity data'!BK5*EF!$H4)*kgtoGg)</f>
        <v>93.693462393833215</v>
      </c>
      <c r="AS1379" s="27">
        <f>IF(('Activity data'!BL5*EF!$H4)*kgtoGg=0,"NO",('Activity data'!BL5*EF!$H4)*kgtoGg)</f>
        <v>94.97329819439031</v>
      </c>
      <c r="AT1379" s="27">
        <f>IF(('Activity data'!BM5*EF!$H4)*kgtoGg=0,"NO",('Activity data'!BM5*EF!$H4)*kgtoGg)</f>
        <v>95.848626267420912</v>
      </c>
      <c r="AU1379" s="27">
        <f>IF(('Activity data'!BN5*EF!$H4)*kgtoGg=0,"NO",('Activity data'!BN5*EF!$H4)*kgtoGg)</f>
        <v>96.703822926377612</v>
      </c>
      <c r="AV1379" s="27">
        <f>IF(('Activity data'!BO5*EF!$H4)*kgtoGg=0,"NO",('Activity data'!BO5*EF!$H4)*kgtoGg)</f>
        <v>97.583252765683682</v>
      </c>
      <c r="AW1379" s="27">
        <f>IF(('Activity data'!BP5*EF!$H4)*kgtoGg=0,"NO",('Activity data'!BP5*EF!$H4)*kgtoGg)</f>
        <v>98.468144480515292</v>
      </c>
    </row>
    <row r="1380" spans="1:49" x14ac:dyDescent="0.2">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58.1066387636453</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59.055225455337663</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59.600764035107602</v>
      </c>
      <c r="S1380" s="27">
        <f>IF(('Activity data'!AL6*EF!$H5)*kgtoGg=0,"NO",('Activity data'!AL6*EF!$H5)*kgtoGg)</f>
        <v>57.969180145469302</v>
      </c>
      <c r="T1380" s="27">
        <f>IF(('Activity data'!AM6*EF!$H5)*kgtoGg=0,"NO",('Activity data'!AM6*EF!$H5)*kgtoGg)</f>
        <v>58.635372131308685</v>
      </c>
      <c r="U1380" s="27">
        <f>IF(('Activity data'!AN6*EF!$H5)*kgtoGg=0,"NO",('Activity data'!AN6*EF!$H5)*kgtoGg)</f>
        <v>59.157403831333383</v>
      </c>
      <c r="V1380" s="27">
        <f>IF(('Activity data'!AO6*EF!$H5)*kgtoGg=0,"NO",('Activity data'!AO6*EF!$H5)*kgtoGg)</f>
        <v>59.65197150598739</v>
      </c>
      <c r="W1380" s="27">
        <f>IF(('Activity data'!AP6*EF!$H5)*kgtoGg=0,"NO",('Activity data'!AP6*EF!$H5)*kgtoGg)</f>
        <v>60.230169433134556</v>
      </c>
      <c r="X1380" s="27">
        <f>IF(('Activity data'!AQ6*EF!$H5)*kgtoGg=0,"NO",('Activity data'!AQ6*EF!$H5)*kgtoGg)</f>
        <v>60.783894031112283</v>
      </c>
      <c r="Y1380" s="27">
        <f>IF(('Activity data'!AR6*EF!$H5)*kgtoGg=0,"NO",('Activity data'!AR6*EF!$H5)*kgtoGg)</f>
        <v>61.248299050208132</v>
      </c>
      <c r="Z1380" s="27">
        <f>IF(('Activity data'!AS6*EF!$H5)*kgtoGg=0,"NO",('Activity data'!AS6*EF!$H5)*kgtoGg)</f>
        <v>61.699805396844816</v>
      </c>
      <c r="AA1380" s="27">
        <f>IF(('Activity data'!AT6*EF!$H5)*kgtoGg=0,"NO",('Activity data'!AT6*EF!$H5)*kgtoGg)</f>
        <v>62.128065206712812</v>
      </c>
      <c r="AB1380" s="27">
        <f>IF(('Activity data'!AU6*EF!$H5)*kgtoGg=0,"NO",('Activity data'!AU6*EF!$H5)*kgtoGg)</f>
        <v>62.685155093211797</v>
      </c>
      <c r="AC1380" s="27">
        <f>IF(('Activity data'!AV6*EF!$H5)*kgtoGg=0,"NO",('Activity data'!AV6*EF!$H5)*kgtoGg)</f>
        <v>63.239380337499199</v>
      </c>
      <c r="AD1380" s="27">
        <f>IF(('Activity data'!AW6*EF!$H5)*kgtoGg=0,"NO",('Activity data'!AW6*EF!$H5)*kgtoGg)</f>
        <v>63.817597544924432</v>
      </c>
      <c r="AE1380" s="27">
        <f>IF(('Activity data'!AX6*EF!$H5)*kgtoGg=0,"NO",('Activity data'!AX6*EF!$H5)*kgtoGg)</f>
        <v>64.523009553814518</v>
      </c>
      <c r="AF1380" s="27">
        <f>IF(('Activity data'!AY6*EF!$H5)*kgtoGg=0,"NO",('Activity data'!AY6*EF!$H5)*kgtoGg)</f>
        <v>65.294186121553309</v>
      </c>
      <c r="AG1380" s="27">
        <f>IF(('Activity data'!AZ6*EF!$H5)*kgtoGg=0,"NO",('Activity data'!AZ6*EF!$H5)*kgtoGg)</f>
        <v>66.203244700941269</v>
      </c>
      <c r="AH1380" s="27">
        <f>IF(('Activity data'!BA6*EF!$H5)*kgtoGg=0,"NO",('Activity data'!BA6*EF!$H5)*kgtoGg)</f>
        <v>66.923221383492788</v>
      </c>
      <c r="AI1380" s="27">
        <f>IF(('Activity data'!BB6*EF!$H5)*kgtoGg=0,"NO",('Activity data'!BB6*EF!$H5)*kgtoGg)</f>
        <v>67.592071919114218</v>
      </c>
      <c r="AJ1380" s="27">
        <f>IF(('Activity data'!BC6*EF!$H5)*kgtoGg=0,"NO",('Activity data'!BC6*EF!$H5)*kgtoGg)</f>
        <v>68.334251239695618</v>
      </c>
      <c r="AK1380" s="27">
        <f>IF(('Activity data'!BD6*EF!$H5)*kgtoGg=0,"NO",('Activity data'!BD6*EF!$H5)*kgtoGg)</f>
        <v>69.056502397206529</v>
      </c>
      <c r="AL1380" s="27">
        <f>IF(('Activity data'!BE6*EF!$H5)*kgtoGg=0,"NO",('Activity data'!BE6*EF!$H5)*kgtoGg)</f>
        <v>69.822484742370364</v>
      </c>
      <c r="AM1380" s="27">
        <f>IF(('Activity data'!BF6*EF!$H5)*kgtoGg=0,"NO",('Activity data'!BF6*EF!$H5)*kgtoGg)</f>
        <v>70.599478188614199</v>
      </c>
      <c r="AN1380" s="27">
        <f>IF(('Activity data'!BG6*EF!$H5)*kgtoGg=0,"NO",('Activity data'!BG6*EF!$H5)*kgtoGg)</f>
        <v>71.458170407248886</v>
      </c>
      <c r="AO1380" s="27">
        <f>IF(('Activity data'!BH6*EF!$H5)*kgtoGg=0,"NO",('Activity data'!BH6*EF!$H5)*kgtoGg)</f>
        <v>72.287533611585175</v>
      </c>
      <c r="AP1380" s="27">
        <f>IF(('Activity data'!BI6*EF!$H5)*kgtoGg=0,"NO",('Activity data'!BI6*EF!$H5)*kgtoGg)</f>
        <v>73.136612754988022</v>
      </c>
      <c r="AQ1380" s="27">
        <f>IF(('Activity data'!BJ6*EF!$H5)*kgtoGg=0,"NO",('Activity data'!BJ6*EF!$H5)*kgtoGg)</f>
        <v>74.018282148254812</v>
      </c>
      <c r="AR1380" s="27">
        <f>IF(('Activity data'!BK6*EF!$H5)*kgtoGg=0,"NO",('Activity data'!BK6*EF!$H5)*kgtoGg)</f>
        <v>74.937582285974699</v>
      </c>
      <c r="AS1380" s="27">
        <f>IF(('Activity data'!BL6*EF!$H5)*kgtoGg=0,"NO",('Activity data'!BL6*EF!$H5)*kgtoGg)</f>
        <v>75.96121614650643</v>
      </c>
      <c r="AT1380" s="27">
        <f>IF(('Activity data'!BM6*EF!$H5)*kgtoGg=0,"NO",('Activity data'!BM6*EF!$H5)*kgtoGg)</f>
        <v>76.661318030074682</v>
      </c>
      <c r="AU1380" s="27">
        <f>IF(('Activity data'!BN6*EF!$H5)*kgtoGg=0,"NO",('Activity data'!BN6*EF!$H5)*kgtoGg)</f>
        <v>77.345318475397917</v>
      </c>
      <c r="AV1380" s="27">
        <f>IF(('Activity data'!BO6*EF!$H5)*kgtoGg=0,"NO",('Activity data'!BO6*EF!$H5)*kgtoGg)</f>
        <v>78.048701019536637</v>
      </c>
      <c r="AW1380" s="27">
        <f>IF(('Activity data'!BP6*EF!$H5)*kgtoGg=0,"NO",('Activity data'!BP6*EF!$H5)*kgtoGg)</f>
        <v>78.756452062140184</v>
      </c>
    </row>
    <row r="1381" spans="1:49" x14ac:dyDescent="0.2">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26.272250579806308</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26.701143177813606</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26.947802192577246</v>
      </c>
      <c r="S1381" s="27">
        <f>IF(('Activity data'!AL7*EF!$H6)*kgtoGg=0,"NO",('Activity data'!AL7*EF!$H6)*kgtoGg)</f>
        <v>26.210100241429942</v>
      </c>
      <c r="T1381" s="27">
        <f>IF(('Activity data'!AM7*EF!$H6)*kgtoGg=0,"NO",('Activity data'!AM7*EF!$H6)*kgtoGg)</f>
        <v>26.511311310571692</v>
      </c>
      <c r="U1381" s="27">
        <f>IF(('Activity data'!AN7*EF!$H6)*kgtoGg=0,"NO",('Activity data'!AN7*EF!$H6)*kgtoGg)</f>
        <v>26.747341959142467</v>
      </c>
      <c r="V1381" s="27">
        <f>IF(('Activity data'!AO7*EF!$H6)*kgtoGg=0,"NO",('Activity data'!AO7*EF!$H6)*kgtoGg)</f>
        <v>26.970955063490745</v>
      </c>
      <c r="W1381" s="27">
        <f>IF(('Activity data'!AP7*EF!$H6)*kgtoGg=0,"NO",('Activity data'!AP7*EF!$H6)*kgtoGg)</f>
        <v>27.232380627762737</v>
      </c>
      <c r="X1381" s="27">
        <f>IF(('Activity data'!AQ7*EF!$H6)*kgtoGg=0,"NO",('Activity data'!AQ7*EF!$H6)*kgtoGg)</f>
        <v>27.482740856814136</v>
      </c>
      <c r="Y1381" s="27">
        <f>IF(('Activity data'!AR7*EF!$H6)*kgtoGg=0,"NO",('Activity data'!AR7*EF!$H6)*kgtoGg)</f>
        <v>27.692716262237859</v>
      </c>
      <c r="Z1381" s="27">
        <f>IF(('Activity data'!AS7*EF!$H6)*kgtoGg=0,"NO",('Activity data'!AS7*EF!$H6)*kgtoGg)</f>
        <v>27.896859680780135</v>
      </c>
      <c r="AA1381" s="27">
        <f>IF(('Activity data'!AT7*EF!$H6)*kgtoGg=0,"NO",('Activity data'!AT7*EF!$H6)*kgtoGg)</f>
        <v>28.09049244422182</v>
      </c>
      <c r="AB1381" s="27">
        <f>IF(('Activity data'!AU7*EF!$H6)*kgtoGg=0,"NO",('Activity data'!AU7*EF!$H6)*kgtoGg)</f>
        <v>28.342374249898288</v>
      </c>
      <c r="AC1381" s="27">
        <f>IF(('Activity data'!AV7*EF!$H6)*kgtoGg=0,"NO",('Activity data'!AV7*EF!$H6)*kgtoGg)</f>
        <v>28.592960840439176</v>
      </c>
      <c r="AD1381" s="27">
        <f>IF(('Activity data'!AW7*EF!$H6)*kgtoGg=0,"NO",('Activity data'!AW7*EF!$H6)*kgtoGg)</f>
        <v>28.854395122067867</v>
      </c>
      <c r="AE1381" s="27">
        <f>IF(('Activity data'!AX7*EF!$H6)*kgtoGg=0,"NO",('Activity data'!AX7*EF!$H6)*kgtoGg)</f>
        <v>29.173339075011846</v>
      </c>
      <c r="AF1381" s="27">
        <f>IF(('Activity data'!AY7*EF!$H6)*kgtoGg=0,"NO",('Activity data'!AY7*EF!$H6)*kgtoGg)</f>
        <v>29.522017719311339</v>
      </c>
      <c r="AG1381" s="27">
        <f>IF(('Activity data'!AZ7*EF!$H6)*kgtoGg=0,"NO",('Activity data'!AZ7*EF!$H6)*kgtoGg)</f>
        <v>29.9330381344923</v>
      </c>
      <c r="AH1381" s="27">
        <f>IF(('Activity data'!BA7*EF!$H6)*kgtoGg=0,"NO",('Activity data'!BA7*EF!$H6)*kgtoGg)</f>
        <v>30.258567337662207</v>
      </c>
      <c r="AI1381" s="27">
        <f>IF(('Activity data'!BB7*EF!$H6)*kgtoGg=0,"NO",('Activity data'!BB7*EF!$H6)*kgtoGg)</f>
        <v>30.560980439610169</v>
      </c>
      <c r="AJ1381" s="27">
        <f>IF(('Activity data'!BC7*EF!$H6)*kgtoGg=0,"NO",('Activity data'!BC7*EF!$H6)*kgtoGg)</f>
        <v>30.896548311033232</v>
      </c>
      <c r="AK1381" s="27">
        <f>IF(('Activity data'!BD7*EF!$H6)*kgtoGg=0,"NO",('Activity data'!BD7*EF!$H6)*kgtoGg)</f>
        <v>31.223105891981344</v>
      </c>
      <c r="AL1381" s="27">
        <f>IF(('Activity data'!BE7*EF!$H6)*kgtoGg=0,"NO",('Activity data'!BE7*EF!$H6)*kgtoGg)</f>
        <v>31.569436028090372</v>
      </c>
      <c r="AM1381" s="27">
        <f>IF(('Activity data'!BF7*EF!$H6)*kgtoGg=0,"NO",('Activity data'!BF7*EF!$H6)*kgtoGg)</f>
        <v>31.920744707320974</v>
      </c>
      <c r="AN1381" s="27">
        <f>IF(('Activity data'!BG7*EF!$H6)*kgtoGg=0,"NO",('Activity data'!BG7*EF!$H6)*kgtoGg)</f>
        <v>32.308992549889602</v>
      </c>
      <c r="AO1381" s="27">
        <f>IF(('Activity data'!BH7*EF!$H6)*kgtoGg=0,"NO",('Activity data'!BH7*EF!$H6)*kgtoGg)</f>
        <v>32.683979614872385</v>
      </c>
      <c r="AP1381" s="27">
        <f>IF(('Activity data'!BI7*EF!$H6)*kgtoGg=0,"NO",('Activity data'!BI7*EF!$H6)*kgtoGg)</f>
        <v>33.067881015679681</v>
      </c>
      <c r="AQ1381" s="27">
        <f>IF(('Activity data'!BJ7*EF!$H6)*kgtoGg=0,"NO",('Activity data'!BJ7*EF!$H6)*kgtoGg)</f>
        <v>33.466517724346836</v>
      </c>
      <c r="AR1381" s="27">
        <f>IF(('Activity data'!BK7*EF!$H6)*kgtoGg=0,"NO",('Activity data'!BK7*EF!$H6)*kgtoGg)</f>
        <v>33.882168742717873</v>
      </c>
      <c r="AS1381" s="27">
        <f>IF(('Activity data'!BL7*EF!$H6)*kgtoGg=0,"NO",('Activity data'!BL7*EF!$H6)*kgtoGg)</f>
        <v>34.344993057771696</v>
      </c>
      <c r="AT1381" s="27">
        <f>IF(('Activity data'!BM7*EF!$H6)*kgtoGg=0,"NO",('Activity data'!BM7*EF!$H6)*kgtoGg)</f>
        <v>34.661536098426936</v>
      </c>
      <c r="AU1381" s="27">
        <f>IF(('Activity data'!BN7*EF!$H6)*kgtoGg=0,"NO",('Activity data'!BN7*EF!$H6)*kgtoGg)</f>
        <v>34.970799058367312</v>
      </c>
      <c r="AV1381" s="27">
        <f>IF(('Activity data'!BO7*EF!$H6)*kgtoGg=0,"NO",('Activity data'!BO7*EF!$H6)*kgtoGg)</f>
        <v>35.288825412089835</v>
      </c>
      <c r="AW1381" s="27">
        <f>IF(('Activity data'!BP7*EF!$H6)*kgtoGg=0,"NO",('Activity data'!BP7*EF!$H6)*kgtoGg)</f>
        <v>35.608826932312567</v>
      </c>
    </row>
    <row r="1382" spans="1:49" x14ac:dyDescent="0.2">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463.23498593143194</v>
      </c>
      <c r="L1382" s="27">
        <f>IF(('Activity data'!AE8*EF!$H7)*kgtoGg=0,"NO",('Activity data'!AE8*EF!$H7)*kgtoGg)</f>
        <v>459.21749683621613</v>
      </c>
      <c r="M1382" s="27">
        <f>IF(('Activity data'!AF8*EF!$H7)*kgtoGg=0,"NO",('Activity data'!AF8*EF!$H7)*kgtoGg)</f>
        <v>457.68816035731248</v>
      </c>
      <c r="N1382" s="27">
        <f>IF(('Activity data'!AG8*EF!$H7)*kgtoGg=0,"NO",('Activity data'!AG8*EF!$H7)*kgtoGg)</f>
        <v>451.57633407663525</v>
      </c>
      <c r="O1382" s="27">
        <f>IF(('Activity data'!AH8*EF!$H7)*kgtoGg=0,"NO",('Activity data'!AH8*EF!$H7)*kgtoGg)</f>
        <v>442.70486896910745</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367.15498253629937</v>
      </c>
      <c r="T1382" s="27">
        <f>IF(('Activity data'!AM8*EF!$H7)*kgtoGg=0,"NO",('Activity data'!AM8*EF!$H7)*kgtoGg)</f>
        <v>374.17792302484366</v>
      </c>
      <c r="U1382" s="27">
        <f>IF(('Activity data'!AN8*EF!$H7)*kgtoGg=0,"NO",('Activity data'!AN8*EF!$H7)*kgtoGg)</f>
        <v>377.93282085404854</v>
      </c>
      <c r="V1382" s="27">
        <f>IF(('Activity data'!AO8*EF!$H7)*kgtoGg=0,"NO",('Activity data'!AO8*EF!$H7)*kgtoGg)</f>
        <v>380.82330647770999</v>
      </c>
      <c r="W1382" s="27">
        <f>IF(('Activity data'!AP8*EF!$H7)*kgtoGg=0,"NO",('Activity data'!AP8*EF!$H7)*kgtoGg)</f>
        <v>385.00539013713677</v>
      </c>
      <c r="X1382" s="27">
        <f>IF(('Activity data'!AQ8*EF!$H7)*kgtoGg=0,"NO",('Activity data'!AQ8*EF!$H7)*kgtoGg)</f>
        <v>388.39937435322344</v>
      </c>
      <c r="Y1382" s="27">
        <f>IF(('Activity data'!AR8*EF!$H7)*kgtoGg=0,"NO",('Activity data'!AR8*EF!$H7)*kgtoGg)</f>
        <v>390.58732526700504</v>
      </c>
      <c r="Z1382" s="27">
        <f>IF(('Activity data'!AS8*EF!$H7)*kgtoGg=0,"NO",('Activity data'!AS8*EF!$H7)*kgtoGg)</f>
        <v>392.29048134112935</v>
      </c>
      <c r="AA1382" s="27">
        <f>IF(('Activity data'!AT8*EF!$H7)*kgtoGg=0,"NO",('Activity data'!AT8*EF!$H7)*kgtoGg)</f>
        <v>393.3460659926933</v>
      </c>
      <c r="AB1382" s="27">
        <f>IF(('Activity data'!AU8*EF!$H7)*kgtoGg=0,"NO",('Activity data'!AU8*EF!$H7)*kgtoGg)</f>
        <v>396.4710114468906</v>
      </c>
      <c r="AC1382" s="27">
        <f>IF(('Activity data'!AV8*EF!$H7)*kgtoGg=0,"NO",('Activity data'!AV8*EF!$H7)*kgtoGg)</f>
        <v>399.28270780279126</v>
      </c>
      <c r="AD1382" s="27">
        <f>IF(('Activity data'!AW8*EF!$H7)*kgtoGg=0,"NO",('Activity data'!AW8*EF!$H7)*kgtoGg)</f>
        <v>399.42772456608003</v>
      </c>
      <c r="AE1382" s="27">
        <f>IF(('Activity data'!AX8*EF!$H7)*kgtoGg=0,"NO",('Activity data'!AX8*EF!$H7)*kgtoGg)</f>
        <v>401.31130224565624</v>
      </c>
      <c r="AF1382" s="27">
        <f>IF(('Activity data'!AY8*EF!$H7)*kgtoGg=0,"NO",('Activity data'!AY8*EF!$H7)*kgtoGg)</f>
        <v>403.80208635683084</v>
      </c>
      <c r="AG1382" s="27">
        <f>IF(('Activity data'!AZ8*EF!$H7)*kgtoGg=0,"NO",('Activity data'!AZ8*EF!$H7)*kgtoGg)</f>
        <v>407.98386284391222</v>
      </c>
      <c r="AH1382" s="27">
        <f>IF(('Activity data'!BA8*EF!$H7)*kgtoGg=0,"NO",('Activity data'!BA8*EF!$H7)*kgtoGg)</f>
        <v>408.65175931008923</v>
      </c>
      <c r="AI1382" s="27">
        <f>IF(('Activity data'!BB8*EF!$H7)*kgtoGg=0,"NO",('Activity data'!BB8*EF!$H7)*kgtoGg)</f>
        <v>408.58164952357384</v>
      </c>
      <c r="AJ1382" s="27">
        <f>IF(('Activity data'!BC8*EF!$H7)*kgtoGg=0,"NO",('Activity data'!BC8*EF!$H7)*kgtoGg)</f>
        <v>409.1951949125646</v>
      </c>
      <c r="AK1382" s="27">
        <f>IF(('Activity data'!BD8*EF!$H7)*kgtoGg=0,"NO",('Activity data'!BD8*EF!$H7)*kgtoGg)</f>
        <v>409.08195160336288</v>
      </c>
      <c r="AL1382" s="27">
        <f>IF(('Activity data'!BE8*EF!$H7)*kgtoGg=0,"NO",('Activity data'!BE8*EF!$H7)*kgtoGg)</f>
        <v>409.16859653567815</v>
      </c>
      <c r="AM1382" s="27">
        <f>IF(('Activity data'!BF8*EF!$H7)*kgtoGg=0,"NO",('Activity data'!BF8*EF!$H7)*kgtoGg)</f>
        <v>408.97195804089159</v>
      </c>
      <c r="AN1382" s="27">
        <f>IF(('Activity data'!BG8*EF!$H7)*kgtoGg=0,"NO",('Activity data'!BG8*EF!$H7)*kgtoGg)</f>
        <v>411.90729074702386</v>
      </c>
      <c r="AO1382" s="27">
        <f>IF(('Activity data'!BH8*EF!$H7)*kgtoGg=0,"NO",('Activity data'!BH8*EF!$H7)*kgtoGg)</f>
        <v>414.05465326248105</v>
      </c>
      <c r="AP1382" s="27">
        <f>IF(('Activity data'!BI8*EF!$H7)*kgtoGg=0,"NO",('Activity data'!BI8*EF!$H7)*kgtoGg)</f>
        <v>416.07811841242483</v>
      </c>
      <c r="AQ1382" s="27">
        <f>IF(('Activity data'!BJ8*EF!$H7)*kgtoGg=0,"NO",('Activity data'!BJ8*EF!$H7)*kgtoGg)</f>
        <v>418.1325060798996</v>
      </c>
      <c r="AR1382" s="27">
        <f>IF(('Activity data'!BK8*EF!$H7)*kgtoGg=0,"NO",('Activity data'!BK8*EF!$H7)*kgtoGg)</f>
        <v>420.26236757752156</v>
      </c>
      <c r="AS1382" s="27">
        <f>IF(('Activity data'!BL8*EF!$H7)*kgtoGg=0,"NO",('Activity data'!BL8*EF!$H7)*kgtoGg)</f>
        <v>423.60010489867818</v>
      </c>
      <c r="AT1382" s="27">
        <f>IF(('Activity data'!BM8*EF!$H7)*kgtoGg=0,"NO",('Activity data'!BM8*EF!$H7)*kgtoGg)</f>
        <v>422.65999996405498</v>
      </c>
      <c r="AU1382" s="27">
        <f>IF(('Activity data'!BN8*EF!$H7)*kgtoGg=0,"NO",('Activity data'!BN8*EF!$H7)*kgtoGg)</f>
        <v>421.25049365965373</v>
      </c>
      <c r="AV1382" s="27">
        <f>IF(('Activity data'!BO8*EF!$H7)*kgtoGg=0,"NO",('Activity data'!BO8*EF!$H7)*kgtoGg)</f>
        <v>419.79062743125479</v>
      </c>
      <c r="AW1382" s="27">
        <f>IF(('Activity data'!BP8*EF!$H7)*kgtoGg=0,"NO",('Activity data'!BP8*EF!$H7)*kgtoGg)</f>
        <v>418.10572325664367</v>
      </c>
    </row>
    <row r="1383" spans="1:49" x14ac:dyDescent="0.2">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326.20040935577742</v>
      </c>
      <c r="L1383" s="27">
        <f>IF(('Activity data'!AE9*EF!$H8)*kgtoGg=0,"NO",('Activity data'!AE9*EF!$H8)*kgtoGg)</f>
        <v>323.37137738012325</v>
      </c>
      <c r="M1383" s="27">
        <f>IF(('Activity data'!AF9*EF!$H8)*kgtoGg=0,"NO",('Activity data'!AF9*EF!$H8)*kgtoGg)</f>
        <v>322.29445054900748</v>
      </c>
      <c r="N1383" s="27">
        <f>IF(('Activity data'!AG9*EF!$H8)*kgtoGg=0,"NO",('Activity data'!AG9*EF!$H8)*kgtoGg)</f>
        <v>317.99063003627219</v>
      </c>
      <c r="O1383" s="27">
        <f>IF(('Activity data'!AH9*EF!$H8)*kgtoGg=0,"NO",('Activity data'!AH9*EF!$H8)*kgtoGg)</f>
        <v>311.74352945546798</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258.54287615936238</v>
      </c>
      <c r="T1383" s="27">
        <f>IF(('Activity data'!AM9*EF!$H8)*kgtoGg=0,"NO",('Activity data'!AM9*EF!$H8)*kgtoGg)</f>
        <v>263.48828428227887</v>
      </c>
      <c r="U1383" s="27">
        <f>IF(('Activity data'!AN9*EF!$H8)*kgtoGg=0,"NO",('Activity data'!AN9*EF!$H8)*kgtoGg)</f>
        <v>266.13240496870094</v>
      </c>
      <c r="V1383" s="27">
        <f>IF(('Activity data'!AO9*EF!$H8)*kgtoGg=0,"NO",('Activity data'!AO9*EF!$H8)*kgtoGg)</f>
        <v>268.167824620305</v>
      </c>
      <c r="W1383" s="27">
        <f>IF(('Activity data'!AP9*EF!$H8)*kgtoGg=0,"NO",('Activity data'!AP9*EF!$H8)*kgtoGg)</f>
        <v>271.11276065297989</v>
      </c>
      <c r="X1383" s="27">
        <f>IF(('Activity data'!AQ9*EF!$H8)*kgtoGg=0,"NO",('Activity data'!AQ9*EF!$H8)*kgtoGg)</f>
        <v>273.50273350532916</v>
      </c>
      <c r="Y1383" s="27">
        <f>IF(('Activity data'!AR9*EF!$H8)*kgtoGg=0,"NO",('Activity data'!AR9*EF!$H8)*kgtoGg)</f>
        <v>275.0434428761701</v>
      </c>
      <c r="Z1383" s="27">
        <f>IF(('Activity data'!AS9*EF!$H8)*kgtoGg=0,"NO",('Activity data'!AS9*EF!$H8)*kgtoGg)</f>
        <v>276.2427698386166</v>
      </c>
      <c r="AA1383" s="27">
        <f>IF(('Activity data'!AT9*EF!$H8)*kgtoGg=0,"NO",('Activity data'!AT9*EF!$H8)*kgtoGg)</f>
        <v>276.98609052014405</v>
      </c>
      <c r="AB1383" s="27">
        <f>IF(('Activity data'!AU9*EF!$H8)*kgtoGg=0,"NO",('Activity data'!AU9*EF!$H8)*kgtoGg)</f>
        <v>279.18661189122298</v>
      </c>
      <c r="AC1383" s="27">
        <f>IF(('Activity data'!AV9*EF!$H8)*kgtoGg=0,"NO",('Activity data'!AV9*EF!$H8)*kgtoGg)</f>
        <v>281.1665497848058</v>
      </c>
      <c r="AD1383" s="27">
        <f>IF(('Activity data'!AW9*EF!$H8)*kgtoGg=0,"NO",('Activity data'!AW9*EF!$H8)*kgtoGg)</f>
        <v>281.26866756300677</v>
      </c>
      <c r="AE1383" s="27">
        <f>IF(('Activity data'!AX9*EF!$H8)*kgtoGg=0,"NO",('Activity data'!AX9*EF!$H8)*kgtoGg)</f>
        <v>282.59504365460464</v>
      </c>
      <c r="AF1383" s="27">
        <f>IF(('Activity data'!AY9*EF!$H8)*kgtoGg=0,"NO",('Activity data'!AY9*EF!$H8)*kgtoGg)</f>
        <v>284.34900184290586</v>
      </c>
      <c r="AG1383" s="27">
        <f>IF(('Activity data'!AZ9*EF!$H8)*kgtoGg=0,"NO",('Activity data'!AZ9*EF!$H8)*kgtoGg)</f>
        <v>287.29372157122594</v>
      </c>
      <c r="AH1383" s="27">
        <f>IF(('Activity data'!BA9*EF!$H8)*kgtoGg=0,"NO",('Activity data'!BA9*EF!$H8)*kgtoGg)</f>
        <v>287.76404032367537</v>
      </c>
      <c r="AI1383" s="27">
        <f>IF(('Activity data'!BB9*EF!$H8)*kgtoGg=0,"NO",('Activity data'!BB9*EF!$H8)*kgtoGg)</f>
        <v>287.71467047520593</v>
      </c>
      <c r="AJ1383" s="27">
        <f>IF(('Activity data'!BC9*EF!$H8)*kgtoGg=0,"NO",('Activity data'!BC9*EF!$H8)*kgtoGg)</f>
        <v>288.14671633341055</v>
      </c>
      <c r="AK1383" s="27">
        <f>IF(('Activity data'!BD9*EF!$H8)*kgtoGg=0,"NO",('Activity data'!BD9*EF!$H8)*kgtoGg)</f>
        <v>288.06697275846409</v>
      </c>
      <c r="AL1383" s="27">
        <f>IF(('Activity data'!BE9*EF!$H8)*kgtoGg=0,"NO",('Activity data'!BE9*EF!$H8)*kgtoGg)</f>
        <v>288.12798631151645</v>
      </c>
      <c r="AM1383" s="27">
        <f>IF(('Activity data'!BF9*EF!$H8)*kgtoGg=0,"NO",('Activity data'!BF9*EF!$H8)*kgtoGg)</f>
        <v>287.98951758734296</v>
      </c>
      <c r="AN1383" s="27">
        <f>IF(('Activity data'!BG9*EF!$H8)*kgtoGg=0,"NO",('Activity data'!BG9*EF!$H8)*kgtoGg)</f>
        <v>290.05651761846218</v>
      </c>
      <c r="AO1383" s="27">
        <f>IF(('Activity data'!BH9*EF!$H8)*kgtoGg=0,"NO",('Activity data'!BH9*EF!$H8)*kgtoGg)</f>
        <v>291.56864548628482</v>
      </c>
      <c r="AP1383" s="27">
        <f>IF(('Activity data'!BI9*EF!$H8)*kgtoGg=0,"NO",('Activity data'!BI9*EF!$H8)*kgtoGg)</f>
        <v>292.99352741505732</v>
      </c>
      <c r="AQ1383" s="27">
        <f>IF(('Activity data'!BJ9*EF!$H8)*kgtoGg=0,"NO",('Activity data'!BJ9*EF!$H8)*kgtoGg)</f>
        <v>294.44018433532034</v>
      </c>
      <c r="AR1383" s="27">
        <f>IF(('Activity data'!BK9*EF!$H8)*kgtoGg=0,"NO",('Activity data'!BK9*EF!$H8)*kgtoGg)</f>
        <v>295.93998835163069</v>
      </c>
      <c r="AS1383" s="27">
        <f>IF(('Activity data'!BL9*EF!$H8)*kgtoGg=0,"NO",('Activity data'!BL9*EF!$H8)*kgtoGg)</f>
        <v>298.29035331444567</v>
      </c>
      <c r="AT1383" s="27">
        <f>IF(('Activity data'!BM9*EF!$H8)*kgtoGg=0,"NO",('Activity data'!BM9*EF!$H8)*kgtoGg)</f>
        <v>297.62835103952062</v>
      </c>
      <c r="AU1383" s="27">
        <f>IF(('Activity data'!BN9*EF!$H8)*kgtoGg=0,"NO",('Activity data'!BN9*EF!$H8)*kgtoGg)</f>
        <v>296.63580611642783</v>
      </c>
      <c r="AV1383" s="27">
        <f>IF(('Activity data'!BO9*EF!$H8)*kgtoGg=0,"NO",('Activity data'!BO9*EF!$H8)*kgtoGg)</f>
        <v>295.60779878586987</v>
      </c>
      <c r="AW1383" s="27">
        <f>IF(('Activity data'!BP9*EF!$H8)*kgtoGg=0,"NO",('Activity data'!BP9*EF!$H8)*kgtoGg)</f>
        <v>294.42132443014248</v>
      </c>
    </row>
    <row r="1384" spans="1:49" x14ac:dyDescent="0.2">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32.967337371253549</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35.929559405213347</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34.950230908345851</v>
      </c>
      <c r="T1384" s="27">
        <f>IF(('Activity data'!AM10*EF!$H9)*kgtoGg=0,"NO",('Activity data'!AM10*EF!$H9)*kgtoGg)</f>
        <v>36.476910772812936</v>
      </c>
      <c r="U1384" s="27">
        <f>IF(('Activity data'!AN10*EF!$H9)*kgtoGg=0,"NO",('Activity data'!AN10*EF!$H9)*kgtoGg)</f>
        <v>37.718415782773874</v>
      </c>
      <c r="V1384" s="27">
        <f>IF(('Activity data'!AO10*EF!$H9)*kgtoGg=0,"NO",('Activity data'!AO10*EF!$H9)*kgtoGg)</f>
        <v>38.898527693020689</v>
      </c>
      <c r="W1384" s="27">
        <f>IF(('Activity data'!AP10*EF!$H9)*kgtoGg=0,"NO",('Activity data'!AP10*EF!$H9)*kgtoGg)</f>
        <v>40.237414938049668</v>
      </c>
      <c r="X1384" s="27">
        <f>IF(('Activity data'!AQ10*EF!$H9)*kgtoGg=0,"NO",('Activity data'!AQ10*EF!$H9)*kgtoGg)</f>
        <v>41.522938460049829</v>
      </c>
      <c r="Y1384" s="27">
        <f>IF(('Activity data'!AR10*EF!$H9)*kgtoGg=0,"NO",('Activity data'!AR10*EF!$H9)*kgtoGg)</f>
        <v>42.70469493542484</v>
      </c>
      <c r="Z1384" s="27">
        <f>IF(('Activity data'!AS10*EF!$H9)*kgtoGg=0,"NO",('Activity data'!AS10*EF!$H9)*kgtoGg)</f>
        <v>43.855385473884439</v>
      </c>
      <c r="AA1384" s="27">
        <f>IF(('Activity data'!AT10*EF!$H9)*kgtoGg=0,"NO",('Activity data'!AT10*EF!$H9)*kgtoGg)</f>
        <v>44.953640059313827</v>
      </c>
      <c r="AB1384" s="27">
        <f>IF(('Activity data'!AU10*EF!$H9)*kgtoGg=0,"NO",('Activity data'!AU10*EF!$H9)*kgtoGg)</f>
        <v>46.312733612534437</v>
      </c>
      <c r="AC1384" s="27">
        <f>IF(('Activity data'!AV10*EF!$H9)*kgtoGg=0,"NO",('Activity data'!AV10*EF!$H9)*kgtoGg)</f>
        <v>47.664904346752849</v>
      </c>
      <c r="AD1384" s="27">
        <f>IF(('Activity data'!AW10*EF!$H9)*kgtoGg=0,"NO",('Activity data'!AW10*EF!$H9)*kgtoGg)</f>
        <v>49.26348738030724</v>
      </c>
      <c r="AE1384" s="27">
        <f>IF(('Activity data'!AX10*EF!$H9)*kgtoGg=0,"NO",('Activity data'!AX10*EF!$H9)*kgtoGg)</f>
        <v>51.140360226431802</v>
      </c>
      <c r="AF1384" s="27">
        <f>IF(('Activity data'!AY10*EF!$H9)*kgtoGg=0,"NO",('Activity data'!AY10*EF!$H9)*kgtoGg)</f>
        <v>53.171885770114415</v>
      </c>
      <c r="AG1384" s="27">
        <f>IF(('Activity data'!AZ10*EF!$H9)*kgtoGg=0,"NO",('Activity data'!AZ10*EF!$H9)*kgtoGg)</f>
        <v>55.517780672546301</v>
      </c>
      <c r="AH1384" s="27">
        <f>IF(('Activity data'!BA10*EF!$H9)*kgtoGg=0,"NO",('Activity data'!BA10*EF!$H9)*kgtoGg)</f>
        <v>57.473989711823819</v>
      </c>
      <c r="AI1384" s="27">
        <f>IF(('Activity data'!BB10*EF!$H9)*kgtoGg=0,"NO",('Activity data'!BB10*EF!$H9)*kgtoGg)</f>
        <v>59.400170539570745</v>
      </c>
      <c r="AJ1384" s="27">
        <f>IF(('Activity data'!BC10*EF!$H9)*kgtoGg=0,"NO",('Activity data'!BC10*EF!$H9)*kgtoGg)</f>
        <v>61.503665035599717</v>
      </c>
      <c r="AK1384" s="27">
        <f>IF(('Activity data'!BD10*EF!$H9)*kgtoGg=0,"NO",('Activity data'!BD10*EF!$H9)*kgtoGg)</f>
        <v>63.580224043815704</v>
      </c>
      <c r="AL1384" s="27">
        <f>IF(('Activity data'!BE10*EF!$H9)*kgtoGg=0,"NO",('Activity data'!BE10*EF!$H9)*kgtoGg)</f>
        <v>65.772430820326704</v>
      </c>
      <c r="AM1384" s="27">
        <f>IF(('Activity data'!BF10*EF!$H9)*kgtoGg=0,"NO",('Activity data'!BF10*EF!$H9)*kgtoGg)</f>
        <v>68.008427307564773</v>
      </c>
      <c r="AN1384" s="27">
        <f>IF(('Activity data'!BG10*EF!$H9)*kgtoGg=0,"NO",('Activity data'!BG10*EF!$H9)*kgtoGg)</f>
        <v>70.429193427330858</v>
      </c>
      <c r="AO1384" s="27">
        <f>IF(('Activity data'!BH10*EF!$H9)*kgtoGg=0,"NO",('Activity data'!BH10*EF!$H9)*kgtoGg)</f>
        <v>72.800797343140431</v>
      </c>
      <c r="AP1384" s="27">
        <f>IF(('Activity data'!BI10*EF!$H9)*kgtoGg=0,"NO",('Activity data'!BI10*EF!$H9)*kgtoGg)</f>
        <v>75.235904333723141</v>
      </c>
      <c r="AQ1384" s="27">
        <f>IF(('Activity data'!BJ10*EF!$H9)*kgtoGg=0,"NO",('Activity data'!BJ10*EF!$H9)*kgtoGg)</f>
        <v>77.76567884273372</v>
      </c>
      <c r="AR1384" s="27">
        <f>IF(('Activity data'!BK10*EF!$H9)*kgtoGg=0,"NO",('Activity data'!BK10*EF!$H9)*kgtoGg)</f>
        <v>80.403638096331917</v>
      </c>
      <c r="AS1384" s="27">
        <f>IF(('Activity data'!BL10*EF!$H9)*kgtoGg=0,"NO",('Activity data'!BL10*EF!$H9)*kgtoGg)</f>
        <v>83.378734093878791</v>
      </c>
      <c r="AT1384" s="27">
        <f>IF(('Activity data'!BM10*EF!$H9)*kgtoGg=0,"NO",('Activity data'!BM10*EF!$H9)*kgtoGg)</f>
        <v>85.605736773857444</v>
      </c>
      <c r="AU1384" s="27">
        <f>IF(('Activity data'!BN10*EF!$H9)*kgtoGg=0,"NO",('Activity data'!BN10*EF!$H9)*kgtoGg)</f>
        <v>87.808938398132668</v>
      </c>
      <c r="AV1384" s="27">
        <f>IF(('Activity data'!BO10*EF!$H9)*kgtoGg=0,"NO",('Activity data'!BO10*EF!$H9)*kgtoGg)</f>
        <v>90.073595848724253</v>
      </c>
      <c r="AW1384" s="27">
        <f>IF(('Activity data'!BP10*EF!$H9)*kgtoGg=0,"NO",('Activity data'!BP10*EF!$H9)*kgtoGg)</f>
        <v>92.36408305346545</v>
      </c>
    </row>
    <row r="1385" spans="1:49" x14ac:dyDescent="0.2">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135.26278530113291</v>
      </c>
      <c r="T1385" s="27">
        <f>IF(('Activity data'!AM11*EF!$H10)*kgtoGg=0,"NO",('Activity data'!AM11*EF!$H10)*kgtoGg)</f>
        <v>135.46877954348926</v>
      </c>
      <c r="U1385" s="27">
        <f>IF(('Activity data'!AN11*EF!$H10)*kgtoGg=0,"NO",('Activity data'!AN11*EF!$H10)*kgtoGg)</f>
        <v>135.70160233543365</v>
      </c>
      <c r="V1385" s="27">
        <f>IF(('Activity data'!AO11*EF!$H10)*kgtoGg=0,"NO",('Activity data'!AO11*EF!$H10)*kgtoGg)</f>
        <v>135.96424702879582</v>
      </c>
      <c r="W1385" s="27">
        <f>IF(('Activity data'!AP11*EF!$H10)*kgtoGg=0,"NO",('Activity data'!AP11*EF!$H10)*kgtoGg)</f>
        <v>136.25970300255619</v>
      </c>
      <c r="X1385" s="27">
        <f>IF(('Activity data'!AQ11*EF!$H10)*kgtoGg=0,"NO",('Activity data'!AQ11*EF!$H10)*kgtoGg)</f>
        <v>136.58180937371023</v>
      </c>
      <c r="Y1385" s="27">
        <f>IF(('Activity data'!AR11*EF!$H10)*kgtoGg=0,"NO",('Activity data'!AR11*EF!$H10)*kgtoGg)</f>
        <v>136.77771182752844</v>
      </c>
      <c r="Z1385" s="27">
        <f>IF(('Activity data'!AS11*EF!$H10)*kgtoGg=0,"NO",('Activity data'!AS11*EF!$H10)*kgtoGg)</f>
        <v>136.99652360229675</v>
      </c>
      <c r="AA1385" s="27">
        <f>IF(('Activity data'!AT11*EF!$H10)*kgtoGg=0,"NO",('Activity data'!AT11*EF!$H10)*kgtoGg)</f>
        <v>137.23663958086595</v>
      </c>
      <c r="AB1385" s="27">
        <f>IF(('Activity data'!AU11*EF!$H10)*kgtoGg=0,"NO",('Activity data'!AU11*EF!$H10)*kgtoGg)</f>
        <v>137.50349615818331</v>
      </c>
      <c r="AC1385" s="27">
        <f>IF(('Activity data'!AV11*EF!$H10)*kgtoGg=0,"NO",('Activity data'!AV11*EF!$H10)*kgtoGg)</f>
        <v>137.79053665720062</v>
      </c>
      <c r="AD1385" s="27">
        <f>IF(('Activity data'!AW11*EF!$H10)*kgtoGg=0,"NO",('Activity data'!AW11*EF!$H10)*kgtoGg)</f>
        <v>137.97809778631554</v>
      </c>
      <c r="AE1385" s="27">
        <f>IF(('Activity data'!AX11*EF!$H10)*kgtoGg=0,"NO",('Activity data'!AX11*EF!$H10)*kgtoGg)</f>
        <v>138.18863599200537</v>
      </c>
      <c r="AF1385" s="27">
        <f>IF(('Activity data'!AY11*EF!$H10)*kgtoGg=0,"NO",('Activity data'!AY11*EF!$H10)*kgtoGg)</f>
        <v>138.41878788829575</v>
      </c>
      <c r="AG1385" s="27">
        <f>IF(('Activity data'!AZ11*EF!$H10)*kgtoGg=0,"NO",('Activity data'!AZ11*EF!$H10)*kgtoGg)</f>
        <v>138.67094365352415</v>
      </c>
      <c r="AH1385" s="27">
        <f>IF(('Activity data'!BA11*EF!$H10)*kgtoGg=0,"NO",('Activity data'!BA11*EF!$H10)*kgtoGg)</f>
        <v>138.93056254849651</v>
      </c>
      <c r="AI1385" s="27">
        <f>IF(('Activity data'!BB11*EF!$H10)*kgtoGg=0,"NO",('Activity data'!BB11*EF!$H10)*kgtoGg)</f>
        <v>139.08967652077243</v>
      </c>
      <c r="AJ1385" s="27">
        <f>IF(('Activity data'!BC11*EF!$H10)*kgtoGg=0,"NO",('Activity data'!BC11*EF!$H10)*kgtoGg)</f>
        <v>139.2654495830931</v>
      </c>
      <c r="AK1385" s="27">
        <f>IF(('Activity data'!BD11*EF!$H10)*kgtoGg=0,"NO",('Activity data'!BD11*EF!$H10)*kgtoGg)</f>
        <v>139.4534011320402</v>
      </c>
      <c r="AL1385" s="27">
        <f>IF(('Activity data'!BE11*EF!$H10)*kgtoGg=0,"NO",('Activity data'!BE11*EF!$H10)*kgtoGg)</f>
        <v>139.65576726304948</v>
      </c>
      <c r="AM1385" s="27">
        <f>IF(('Activity data'!BF11*EF!$H10)*kgtoGg=0,"NO",('Activity data'!BF11*EF!$H10)*kgtoGg)</f>
        <v>139.87071929457153</v>
      </c>
      <c r="AN1385" s="27">
        <f>IF(('Activity data'!BG11*EF!$H10)*kgtoGg=0,"NO",('Activity data'!BG11*EF!$H10)*kgtoGg)</f>
        <v>139.99537394141325</v>
      </c>
      <c r="AO1385" s="27">
        <f>IF(('Activity data'!BH11*EF!$H10)*kgtoGg=0,"NO",('Activity data'!BH11*EF!$H10)*kgtoGg)</f>
        <v>140.12945613123219</v>
      </c>
      <c r="AP1385" s="27">
        <f>IF(('Activity data'!BI11*EF!$H10)*kgtoGg=0,"NO",('Activity data'!BI11*EF!$H10)*kgtoGg)</f>
        <v>140.27467944669363</v>
      </c>
      <c r="AQ1385" s="27">
        <f>IF(('Activity data'!BJ11*EF!$H10)*kgtoGg=0,"NO",('Activity data'!BJ11*EF!$H10)*kgtoGg)</f>
        <v>140.43124436652656</v>
      </c>
      <c r="AR1385" s="27">
        <f>IF(('Activity data'!BK11*EF!$H10)*kgtoGg=0,"NO",('Activity data'!BK11*EF!$H10)*kgtoGg)</f>
        <v>140.59904144364654</v>
      </c>
      <c r="AS1385" s="27">
        <f>IF(('Activity data'!BL11*EF!$H10)*kgtoGg=0,"NO",('Activity data'!BL11*EF!$H10)*kgtoGg)</f>
        <v>140.67407193187856</v>
      </c>
      <c r="AT1385" s="27">
        <f>IF(('Activity data'!BM11*EF!$H10)*kgtoGg=0,"NO",('Activity data'!BM11*EF!$H10)*kgtoGg)</f>
        <v>140.74390740905804</v>
      </c>
      <c r="AU1385" s="27">
        <f>IF(('Activity data'!BN11*EF!$H10)*kgtoGg=0,"NO",('Activity data'!BN11*EF!$H10)*kgtoGg)</f>
        <v>140.82132713333769</v>
      </c>
      <c r="AV1385" s="27">
        <f>IF(('Activity data'!BO11*EF!$H10)*kgtoGg=0,"NO",('Activity data'!BO11*EF!$H10)*kgtoGg)</f>
        <v>140.90757206763405</v>
      </c>
      <c r="AW1385" s="27">
        <f>IF(('Activity data'!BP11*EF!$H10)*kgtoGg=0,"NO",('Activity data'!BP11*EF!$H10)*kgtoGg)</f>
        <v>141.00175438081712</v>
      </c>
    </row>
    <row r="1386" spans="1:49" x14ac:dyDescent="0.2">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14.658944228555331</v>
      </c>
      <c r="T1386" s="27">
        <f>IF(('Activity data'!AM12*EF!$H11)*kgtoGg=0,"NO",('Activity data'!AM12*EF!$H11)*kgtoGg)</f>
        <v>14.681268610708063</v>
      </c>
      <c r="U1386" s="27">
        <f>IF(('Activity data'!AN12*EF!$H11)*kgtoGg=0,"NO",('Activity data'!AN12*EF!$H11)*kgtoGg)</f>
        <v>14.706500505161891</v>
      </c>
      <c r="V1386" s="27">
        <f>IF(('Activity data'!AO12*EF!$H11)*kgtoGg=0,"NO",('Activity data'!AO12*EF!$H11)*kgtoGg)</f>
        <v>14.734964312877745</v>
      </c>
      <c r="W1386" s="27">
        <f>IF(('Activity data'!AP12*EF!$H11)*kgtoGg=0,"NO",('Activity data'!AP12*EF!$H11)*kgtoGg)</f>
        <v>14.766984004263698</v>
      </c>
      <c r="X1386" s="27">
        <f>IF(('Activity data'!AQ12*EF!$H11)*kgtoGg=0,"NO",('Activity data'!AQ12*EF!$H11)*kgtoGg)</f>
        <v>14.801891900917591</v>
      </c>
      <c r="Y1386" s="27">
        <f>IF(('Activity data'!AR12*EF!$H11)*kgtoGg=0,"NO",('Activity data'!AR12*EF!$H11)*kgtoGg)</f>
        <v>14.823122597434484</v>
      </c>
      <c r="Z1386" s="27">
        <f>IF(('Activity data'!AS12*EF!$H11)*kgtoGg=0,"NO",('Activity data'!AS12*EF!$H11)*kgtoGg)</f>
        <v>14.846836064488549</v>
      </c>
      <c r="AA1386" s="27">
        <f>IF(('Activity data'!AT12*EF!$H11)*kgtoGg=0,"NO",('Activity data'!AT12*EF!$H11)*kgtoGg)</f>
        <v>14.872858349408936</v>
      </c>
      <c r="AB1386" s="27">
        <f>IF(('Activity data'!AU12*EF!$H11)*kgtoGg=0,"NO",('Activity data'!AU12*EF!$H11)*kgtoGg)</f>
        <v>14.901778615062266</v>
      </c>
      <c r="AC1386" s="27">
        <f>IF(('Activity data'!AV12*EF!$H11)*kgtoGg=0,"NO",('Activity data'!AV12*EF!$H11)*kgtoGg)</f>
        <v>14.932886289335453</v>
      </c>
      <c r="AD1386" s="27">
        <f>IF(('Activity data'!AW12*EF!$H11)*kgtoGg=0,"NO",('Activity data'!AW12*EF!$H11)*kgtoGg)</f>
        <v>14.953213004662359</v>
      </c>
      <c r="AE1386" s="27">
        <f>IF(('Activity data'!AX12*EF!$H11)*kgtoGg=0,"NO",('Activity data'!AX12*EF!$H11)*kgtoGg)</f>
        <v>14.976029833462063</v>
      </c>
      <c r="AF1386" s="27">
        <f>IF(('Activity data'!AY12*EF!$H11)*kgtoGg=0,"NO",('Activity data'!AY12*EF!$H11)*kgtoGg)</f>
        <v>15.000972272761286</v>
      </c>
      <c r="AG1386" s="27">
        <f>IF(('Activity data'!AZ12*EF!$H11)*kgtoGg=0,"NO",('Activity data'!AZ12*EF!$H11)*kgtoGg)</f>
        <v>15.02829935530777</v>
      </c>
      <c r="AH1386" s="27">
        <f>IF(('Activity data'!BA12*EF!$H11)*kgtoGg=0,"NO",('Activity data'!BA12*EF!$H11)*kgtoGg)</f>
        <v>15.056435245705167</v>
      </c>
      <c r="AI1386" s="27">
        <f>IF(('Activity data'!BB12*EF!$H11)*kgtoGg=0,"NO",('Activity data'!BB12*EF!$H11)*kgtoGg)</f>
        <v>15.073679034086307</v>
      </c>
      <c r="AJ1386" s="27">
        <f>IF(('Activity data'!BC12*EF!$H11)*kgtoGg=0,"NO",('Activity data'!BC12*EF!$H11)*kgtoGg)</f>
        <v>15.092728231629481</v>
      </c>
      <c r="AK1386" s="27">
        <f>IF(('Activity data'!BD12*EF!$H11)*kgtoGg=0,"NO",('Activity data'!BD12*EF!$H11)*kgtoGg)</f>
        <v>15.11309725824351</v>
      </c>
      <c r="AL1386" s="27">
        <f>IF(('Activity data'!BE12*EF!$H11)*kgtoGg=0,"NO",('Activity data'!BE12*EF!$H11)*kgtoGg)</f>
        <v>15.135028448124075</v>
      </c>
      <c r="AM1386" s="27">
        <f>IF(('Activity data'!BF12*EF!$H11)*kgtoGg=0,"NO",('Activity data'!BF12*EF!$H11)*kgtoGg)</f>
        <v>15.158323620073121</v>
      </c>
      <c r="AN1386" s="27">
        <f>IF(('Activity data'!BG12*EF!$H11)*kgtoGg=0,"NO",('Activity data'!BG12*EF!$H11)*kgtoGg)</f>
        <v>15.171832919854392</v>
      </c>
      <c r="AO1386" s="27">
        <f>IF(('Activity data'!BH12*EF!$H11)*kgtoGg=0,"NO",('Activity data'!BH12*EF!$H11)*kgtoGg)</f>
        <v>15.186363918445194</v>
      </c>
      <c r="AP1386" s="27">
        <f>IF(('Activity data'!BI12*EF!$H11)*kgtoGg=0,"NO",('Activity data'!BI12*EF!$H11)*kgtoGg)</f>
        <v>15.202102323338273</v>
      </c>
      <c r="AQ1386" s="27">
        <f>IF(('Activity data'!BJ12*EF!$H11)*kgtoGg=0,"NO",('Activity data'!BJ12*EF!$H11)*kgtoGg)</f>
        <v>15.219069861178557</v>
      </c>
      <c r="AR1386" s="27">
        <f>IF(('Activity data'!BK12*EF!$H11)*kgtoGg=0,"NO",('Activity data'!BK12*EF!$H11)*kgtoGg)</f>
        <v>15.237254670767834</v>
      </c>
      <c r="AS1386" s="27">
        <f>IF(('Activity data'!BL12*EF!$H11)*kgtoGg=0,"NO",('Activity data'!BL12*EF!$H11)*kgtoGg)</f>
        <v>15.245386011106461</v>
      </c>
      <c r="AT1386" s="27">
        <f>IF(('Activity data'!BM12*EF!$H11)*kgtoGg=0,"NO",('Activity data'!BM12*EF!$H11)*kgtoGg)</f>
        <v>15.252954348272294</v>
      </c>
      <c r="AU1386" s="27">
        <f>IF(('Activity data'!BN12*EF!$H11)*kgtoGg=0,"NO",('Activity data'!BN12*EF!$H11)*kgtoGg)</f>
        <v>15.261344619239132</v>
      </c>
      <c r="AV1386" s="27">
        <f>IF(('Activity data'!BO12*EF!$H11)*kgtoGg=0,"NO",('Activity data'!BO12*EF!$H11)*kgtoGg)</f>
        <v>15.270691311893962</v>
      </c>
      <c r="AW1386" s="27">
        <f>IF(('Activity data'!BP12*EF!$H11)*kgtoGg=0,"NO",('Activity data'!BP12*EF!$H11)*kgtoGg)</f>
        <v>15.280898208589107</v>
      </c>
    </row>
    <row r="1387" spans="1:49" x14ac:dyDescent="0.2">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15.123414197798356</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15.283027985940226</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15.545788610572219</v>
      </c>
      <c r="R1387" s="27">
        <f>IF(('Activity data'!AK13*EF!$H12)*kgtoGg=0,"NO",('Activity data'!AK13*EF!$H12)*kgtoGg)</f>
        <v>15.648067752449878</v>
      </c>
      <c r="S1387" s="27">
        <f>IF(('Activity data'!AL13*EF!$H12)*kgtoGg=0,"NO",('Activity data'!AL13*EF!$H12)*kgtoGg)</f>
        <v>15.742031713029512</v>
      </c>
      <c r="T1387" s="27">
        <f>IF(('Activity data'!AM13*EF!$H12)*kgtoGg=0,"NO",('Activity data'!AM13*EF!$H12)*kgtoGg)</f>
        <v>15.78777493593066</v>
      </c>
      <c r="U1387" s="27">
        <f>IF(('Activity data'!AN13*EF!$H12)*kgtoGg=0,"NO",('Activity data'!AN13*EF!$H12)*kgtoGg)</f>
        <v>15.836941189877804</v>
      </c>
      <c r="V1387" s="27">
        <f>IF(('Activity data'!AO13*EF!$H12)*kgtoGg=0,"NO",('Activity data'!AO13*EF!$H12)*kgtoGg)</f>
        <v>15.890131734595759</v>
      </c>
      <c r="W1387" s="27">
        <f>IF(('Activity data'!AP13*EF!$H12)*kgtoGg=0,"NO",('Activity data'!AP13*EF!$H12)*kgtoGg)</f>
        <v>15.947930587680338</v>
      </c>
      <c r="X1387" s="27">
        <f>IF(('Activity data'!AQ13*EF!$H12)*kgtoGg=0,"NO",('Activity data'!AQ13*EF!$H12)*kgtoGg)</f>
        <v>16.009309310979074</v>
      </c>
      <c r="Y1387" s="27">
        <f>IF(('Activity data'!AR13*EF!$H12)*kgtoGg=0,"NO",('Activity data'!AR13*EF!$H12)*kgtoGg)</f>
        <v>16.047680700733103</v>
      </c>
      <c r="Z1387" s="27">
        <f>IF(('Activity data'!AS13*EF!$H12)*kgtoGg=0,"NO",('Activity data'!AS13*EF!$H12)*kgtoGg)</f>
        <v>16.089188383327485</v>
      </c>
      <c r="AA1387" s="27">
        <f>IF(('Activity data'!AT13*EF!$H12)*kgtoGg=0,"NO",('Activity data'!AT13*EF!$H12)*kgtoGg)</f>
        <v>16.133588234011135</v>
      </c>
      <c r="AB1387" s="27">
        <f>IF(('Activity data'!AU13*EF!$H12)*kgtoGg=0,"NO",('Activity data'!AU13*EF!$H12)*kgtoGg)</f>
        <v>16.181852398556252</v>
      </c>
      <c r="AC1387" s="27">
        <f>IF(('Activity data'!AV13*EF!$H12)*kgtoGg=0,"NO",('Activity data'!AV13*EF!$H12)*kgtoGg)</f>
        <v>16.232869062741507</v>
      </c>
      <c r="AD1387" s="27">
        <f>IF(('Activity data'!AW13*EF!$H12)*kgtoGg=0,"NO",('Activity data'!AW13*EF!$H12)*kgtoGg)</f>
        <v>16.26603536262477</v>
      </c>
      <c r="AE1387" s="27">
        <f>IF(('Activity data'!AX13*EF!$H12)*kgtoGg=0,"NO",('Activity data'!AX13*EF!$H12)*kgtoGg)</f>
        <v>16.302563680867436</v>
      </c>
      <c r="AF1387" s="27">
        <f>IF(('Activity data'!AY13*EF!$H12)*kgtoGg=0,"NO",('Activity data'!AY13*EF!$H12)*kgtoGg)</f>
        <v>16.341889153829143</v>
      </c>
      <c r="AG1387" s="27">
        <f>IF(('Activity data'!AZ13*EF!$H12)*kgtoGg=0,"NO",('Activity data'!AZ13*EF!$H12)*kgtoGg)</f>
        <v>16.384434985595004</v>
      </c>
      <c r="AH1387" s="27">
        <f>IF(('Activity data'!BA13*EF!$H12)*kgtoGg=0,"NO",('Activity data'!BA13*EF!$H12)*kgtoGg)</f>
        <v>16.427723661614785</v>
      </c>
      <c r="AI1387" s="27">
        <f>IF(('Activity data'!BB13*EF!$H12)*kgtoGg=0,"NO",('Activity data'!BB13*EF!$H12)*kgtoGg)</f>
        <v>16.453347878804561</v>
      </c>
      <c r="AJ1387" s="27">
        <f>IF(('Activity data'!BC13*EF!$H12)*kgtoGg=0,"NO",('Activity data'!BC13*EF!$H12)*kgtoGg)</f>
        <v>16.481391601385443</v>
      </c>
      <c r="AK1387" s="27">
        <f>IF(('Activity data'!BD13*EF!$H12)*kgtoGg=0,"NO",('Activity data'!BD13*EF!$H12)*kgtoGg)</f>
        <v>16.511100045266552</v>
      </c>
      <c r="AL1387" s="27">
        <f>IF(('Activity data'!BE13*EF!$H12)*kgtoGg=0,"NO",('Activity data'!BE13*EF!$H12)*kgtoGg)</f>
        <v>16.542862813406586</v>
      </c>
      <c r="AM1387" s="27">
        <f>IF(('Activity data'!BF13*EF!$H12)*kgtoGg=0,"NO",('Activity data'!BF13*EF!$H12)*kgtoGg)</f>
        <v>16.576376781233034</v>
      </c>
      <c r="AN1387" s="27">
        <f>IF(('Activity data'!BG13*EF!$H12)*kgtoGg=0,"NO",('Activity data'!BG13*EF!$H12)*kgtoGg)</f>
        <v>16.594247346579589</v>
      </c>
      <c r="AO1387" s="27">
        <f>IF(('Activity data'!BH13*EF!$H12)*kgtoGg=0,"NO",('Activity data'!BH13*EF!$H12)*kgtoGg)</f>
        <v>16.613410035363255</v>
      </c>
      <c r="AP1387" s="27">
        <f>IF(('Activity data'!BI13*EF!$H12)*kgtoGg=0,"NO",('Activity data'!BI13*EF!$H12)*kgtoGg)</f>
        <v>16.634160462915251</v>
      </c>
      <c r="AQ1387" s="27">
        <f>IF(('Activity data'!BJ13*EF!$H12)*kgtoGg=0,"NO",('Activity data'!BJ13*EF!$H12)*kgtoGg)</f>
        <v>16.656536848310051</v>
      </c>
      <c r="AR1387" s="27">
        <f>IF(('Activity data'!BK13*EF!$H12)*kgtoGg=0,"NO",('Activity data'!BK13*EF!$H12)*kgtoGg)</f>
        <v>16.680524418707119</v>
      </c>
      <c r="AS1387" s="27">
        <f>IF(('Activity data'!BL13*EF!$H12)*kgtoGg=0,"NO",('Activity data'!BL13*EF!$H12)*kgtoGg)</f>
        <v>16.68868442435787</v>
      </c>
      <c r="AT1387" s="27">
        <f>IF(('Activity data'!BM13*EF!$H12)*kgtoGg=0,"NO",('Activity data'!BM13*EF!$H12)*kgtoGg)</f>
        <v>16.695767676813599</v>
      </c>
      <c r="AU1387" s="27">
        <f>IF(('Activity data'!BN13*EF!$H12)*kgtoGg=0,"NO",('Activity data'!BN13*EF!$H12)*kgtoGg)</f>
        <v>16.703924626566948</v>
      </c>
      <c r="AV1387" s="27">
        <f>IF(('Activity data'!BO13*EF!$H12)*kgtoGg=0,"NO",('Activity data'!BO13*EF!$H12)*kgtoGg)</f>
        <v>16.713365572192938</v>
      </c>
      <c r="AW1387" s="27">
        <f>IF(('Activity data'!BP13*EF!$H12)*kgtoGg=0,"NO",('Activity data'!BP13*EF!$H12)*kgtoGg)</f>
        <v>16.723944327870726</v>
      </c>
    </row>
    <row r="1388" spans="1:49" x14ac:dyDescent="0.2">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22.381101687842737</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22.617313721478972</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23.296592154028918</v>
      </c>
      <c r="T1388" s="27">
        <f>IF(('Activity data'!AM14*EF!$H13)*kgtoGg=0,"NO",('Activity data'!AM14*EF!$H13)*kgtoGg)</f>
        <v>23.36428743168846</v>
      </c>
      <c r="U1388" s="27">
        <f>IF(('Activity data'!AN14*EF!$H13)*kgtoGg=0,"NO",('Activity data'!AN14*EF!$H13)*kgtoGg)</f>
        <v>23.437048444169463</v>
      </c>
      <c r="V1388" s="27">
        <f>IF(('Activity data'!AO14*EF!$H13)*kgtoGg=0,"NO",('Activity data'!AO14*EF!$H13)*kgtoGg)</f>
        <v>23.51576499418881</v>
      </c>
      <c r="W1388" s="27">
        <f>IF(('Activity data'!AP14*EF!$H13)*kgtoGg=0,"NO",('Activity data'!AP14*EF!$H13)*kgtoGg)</f>
        <v>23.601301367881135</v>
      </c>
      <c r="X1388" s="27">
        <f>IF(('Activity data'!AQ14*EF!$H13)*kgtoGg=0,"NO",('Activity data'!AQ14*EF!$H13)*kgtoGg)</f>
        <v>23.692135582275586</v>
      </c>
      <c r="Y1388" s="27">
        <f>IF(('Activity data'!AR14*EF!$H13)*kgtoGg=0,"NO",('Activity data'!AR14*EF!$H13)*kgtoGg)</f>
        <v>23.748921303063014</v>
      </c>
      <c r="Z1388" s="27">
        <f>IF(('Activity data'!AS14*EF!$H13)*kgtoGg=0,"NO",('Activity data'!AS14*EF!$H13)*kgtoGg)</f>
        <v>23.810348415540492</v>
      </c>
      <c r="AA1388" s="27">
        <f>IF(('Activity data'!AT14*EF!$H13)*kgtoGg=0,"NO",('Activity data'!AT14*EF!$H13)*kgtoGg)</f>
        <v>23.876055640118153</v>
      </c>
      <c r="AB1388" s="27">
        <f>IF(('Activity data'!AU14*EF!$H13)*kgtoGg=0,"NO",('Activity data'!AU14*EF!$H13)*kgtoGg)</f>
        <v>23.947481652818404</v>
      </c>
      <c r="AC1388" s="27">
        <f>IF(('Activity data'!AV14*EF!$H13)*kgtoGg=0,"NO",('Activity data'!AV14*EF!$H13)*kgtoGg)</f>
        <v>24.022981082641</v>
      </c>
      <c r="AD1388" s="27">
        <f>IF(('Activity data'!AW14*EF!$H13)*kgtoGg=0,"NO",('Activity data'!AW14*EF!$H13)*kgtoGg)</f>
        <v>24.072063804345781</v>
      </c>
      <c r="AE1388" s="27">
        <f>IF(('Activity data'!AX14*EF!$H13)*kgtoGg=0,"NO",('Activity data'!AX14*EF!$H13)*kgtoGg)</f>
        <v>24.126121968354415</v>
      </c>
      <c r="AF1388" s="27">
        <f>IF(('Activity data'!AY14*EF!$H13)*kgtoGg=0,"NO",('Activity data'!AY14*EF!$H13)*kgtoGg)</f>
        <v>24.184319634421552</v>
      </c>
      <c r="AG1388" s="27">
        <f>IF(('Activity data'!AZ14*EF!$H13)*kgtoGg=0,"NO",('Activity data'!AZ14*EF!$H13)*kgtoGg)</f>
        <v>24.247283101181864</v>
      </c>
      <c r="AH1388" s="27">
        <f>IF(('Activity data'!BA14*EF!$H13)*kgtoGg=0,"NO",('Activity data'!BA14*EF!$H13)*kgtoGg)</f>
        <v>24.311345901238735</v>
      </c>
      <c r="AI1388" s="27">
        <f>IF(('Activity data'!BB14*EF!$H13)*kgtoGg=0,"NO",('Activity data'!BB14*EF!$H13)*kgtoGg)</f>
        <v>24.34926711420659</v>
      </c>
      <c r="AJ1388" s="27">
        <f>IF(('Activity data'!BC14*EF!$H13)*kgtoGg=0,"NO",('Activity data'!BC14*EF!$H13)*kgtoGg)</f>
        <v>24.390768946966002</v>
      </c>
      <c r="AK1388" s="27">
        <f>IF(('Activity data'!BD14*EF!$H13)*kgtoGg=0,"NO",('Activity data'!BD14*EF!$H13)*kgtoGg)</f>
        <v>24.434734396486487</v>
      </c>
      <c r="AL1388" s="27">
        <f>IF(('Activity data'!BE14*EF!$H13)*kgtoGg=0,"NO",('Activity data'!BE14*EF!$H13)*kgtoGg)</f>
        <v>24.481740035182341</v>
      </c>
      <c r="AM1388" s="27">
        <f>IF(('Activity data'!BF14*EF!$H13)*kgtoGg=0,"NO",('Activity data'!BF14*EF!$H13)*kgtoGg)</f>
        <v>24.531337269780067</v>
      </c>
      <c r="AN1388" s="27">
        <f>IF(('Activity data'!BG14*EF!$H13)*kgtoGg=0,"NO",('Activity data'!BG14*EF!$H13)*kgtoGg)</f>
        <v>24.557783873371651</v>
      </c>
      <c r="AO1388" s="27">
        <f>IF(('Activity data'!BH14*EF!$H13)*kgtoGg=0,"NO",('Activity data'!BH14*EF!$H13)*kgtoGg)</f>
        <v>24.586142687107124</v>
      </c>
      <c r="AP1388" s="27">
        <f>IF(('Activity data'!BI14*EF!$H13)*kgtoGg=0,"NO",('Activity data'!BI14*EF!$H13)*kgtoGg)</f>
        <v>24.616851191353145</v>
      </c>
      <c r="AQ1388" s="27">
        <f>IF(('Activity data'!BJ14*EF!$H13)*kgtoGg=0,"NO",('Activity data'!BJ14*EF!$H13)*kgtoGg)</f>
        <v>24.649965946419517</v>
      </c>
      <c r="AR1388" s="27">
        <f>IF(('Activity data'!BK14*EF!$H13)*kgtoGg=0,"NO",('Activity data'!BK14*EF!$H13)*kgtoGg)</f>
        <v>24.685465090017612</v>
      </c>
      <c r="AS1388" s="27">
        <f>IF(('Activity data'!BL14*EF!$H13)*kgtoGg=0,"NO",('Activity data'!BL14*EF!$H13)*kgtoGg)</f>
        <v>24.697541061346186</v>
      </c>
      <c r="AT1388" s="27">
        <f>IF(('Activity data'!BM14*EF!$H13)*kgtoGg=0,"NO",('Activity data'!BM14*EF!$H13)*kgtoGg)</f>
        <v>24.708023548396984</v>
      </c>
      <c r="AU1388" s="27">
        <f>IF(('Activity data'!BN14*EF!$H13)*kgtoGg=0,"NO",('Activity data'!BN14*EF!$H13)*kgtoGg)</f>
        <v>24.720094997310881</v>
      </c>
      <c r="AV1388" s="27">
        <f>IF(('Activity data'!BO14*EF!$H13)*kgtoGg=0,"NO",('Activity data'!BO14*EF!$H13)*kgtoGg)</f>
        <v>24.734066628406943</v>
      </c>
      <c r="AW1388" s="27">
        <f>IF(('Activity data'!BP14*EF!$H13)*kgtoGg=0,"NO",('Activity data'!BP14*EF!$H13)*kgtoGg)</f>
        <v>24.749722101665743</v>
      </c>
    </row>
    <row r="1389" spans="1:49" x14ac:dyDescent="0.2">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5.5526214800767892</v>
      </c>
      <c r="L1389" s="27">
        <f>IF(('Activity data'!AE15*EF!$H14)*kgtoGg=0,"NO",('Activity data'!AE15*EF!$H14)*kgtoGg)</f>
        <v>5.579523571019652</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5.6165815405282284</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5.5483103177944013</v>
      </c>
      <c r="S1389" s="27">
        <f>IF(('Activity data'!AL15*EF!$H14)*kgtoGg=0,"NO",('Activity data'!AL15*EF!$H14)*kgtoGg)</f>
        <v>5.2545848231765602</v>
      </c>
      <c r="T1389" s="27">
        <f>IF(('Activity data'!AM15*EF!$H14)*kgtoGg=0,"NO",('Activity data'!AM15*EF!$H14)*kgtoGg)</f>
        <v>5.3277448648735932</v>
      </c>
      <c r="U1389" s="27">
        <f>IF(('Activity data'!AN15*EF!$H14)*kgtoGg=0,"NO",('Activity data'!AN15*EF!$H14)*kgtoGg)</f>
        <v>5.3771318788227438</v>
      </c>
      <c r="V1389" s="27">
        <f>IF(('Activity data'!AO15*EF!$H14)*kgtoGg=0,"NO",('Activity data'!AO15*EF!$H14)*kgtoGg)</f>
        <v>5.4200550937003218</v>
      </c>
      <c r="W1389" s="27">
        <f>IF(('Activity data'!AP15*EF!$H14)*kgtoGg=0,"NO",('Activity data'!AP15*EF!$H14)*kgtoGg)</f>
        <v>5.4726184084270573</v>
      </c>
      <c r="X1389" s="27">
        <f>IF(('Activity data'!AQ15*EF!$H14)*kgtoGg=0,"NO",('Activity data'!AQ15*EF!$H14)*kgtoGg)</f>
        <v>5.5193093093258572</v>
      </c>
      <c r="Y1389" s="27">
        <f>IF(('Activity data'!AR15*EF!$H14)*kgtoGg=0,"NO",('Activity data'!AR15*EF!$H14)*kgtoGg)</f>
        <v>5.5623143429133499</v>
      </c>
      <c r="Z1389" s="27">
        <f>IF(('Activity data'!AS15*EF!$H14)*kgtoGg=0,"NO",('Activity data'!AS15*EF!$H14)*kgtoGg)</f>
        <v>5.6016190467987945</v>
      </c>
      <c r="AA1389" s="27">
        <f>IF(('Activity data'!AT15*EF!$H14)*kgtoGg=0,"NO",('Activity data'!AT15*EF!$H14)*kgtoGg)</f>
        <v>5.6358734850599594</v>
      </c>
      <c r="AB1389" s="27">
        <f>IF(('Activity data'!AU15*EF!$H14)*kgtoGg=0,"NO",('Activity data'!AU15*EF!$H14)*kgtoGg)</f>
        <v>5.6864221774832213</v>
      </c>
      <c r="AC1389" s="27">
        <f>IF(('Activity data'!AV15*EF!$H14)*kgtoGg=0,"NO",('Activity data'!AV15*EF!$H14)*kgtoGg)</f>
        <v>5.734761216152096</v>
      </c>
      <c r="AD1389" s="27">
        <f>IF(('Activity data'!AW15*EF!$H14)*kgtoGg=0,"NO",('Activity data'!AW15*EF!$H14)*kgtoGg)</f>
        <v>5.7937893665421401</v>
      </c>
      <c r="AE1389" s="27">
        <f>IF(('Activity data'!AX15*EF!$H14)*kgtoGg=0,"NO",('Activity data'!AX15*EF!$H14)*kgtoGg)</f>
        <v>5.868728906856421</v>
      </c>
      <c r="AF1389" s="27">
        <f>IF(('Activity data'!AY15*EF!$H14)*kgtoGg=0,"NO",('Activity data'!AY15*EF!$H14)*kgtoGg)</f>
        <v>5.95097387412393</v>
      </c>
      <c r="AG1389" s="27">
        <f>IF(('Activity data'!AZ15*EF!$H14)*kgtoGg=0,"NO",('Activity data'!AZ15*EF!$H14)*kgtoGg)</f>
        <v>6.0502809540907023</v>
      </c>
      <c r="AH1389" s="27">
        <f>IF(('Activity data'!BA15*EF!$H14)*kgtoGg=0,"NO",('Activity data'!BA15*EF!$H14)*kgtoGg)</f>
        <v>6.1220107529838179</v>
      </c>
      <c r="AI1389" s="27">
        <f>IF(('Activity data'!BB15*EF!$H14)*kgtoGg=0,"NO",('Activity data'!BB15*EF!$H14)*kgtoGg)</f>
        <v>6.1941308642978408</v>
      </c>
      <c r="AJ1389" s="27">
        <f>IF(('Activity data'!BC15*EF!$H14)*kgtoGg=0,"NO",('Activity data'!BC15*EF!$H14)*kgtoGg)</f>
        <v>6.2747694866131836</v>
      </c>
      <c r="AK1389" s="27">
        <f>IF(('Activity data'!BD15*EF!$H14)*kgtoGg=0,"NO",('Activity data'!BD15*EF!$H14)*kgtoGg)</f>
        <v>6.3513096084096698</v>
      </c>
      <c r="AL1389" s="27">
        <f>IF(('Activity data'!BE15*EF!$H14)*kgtoGg=0,"NO",('Activity data'!BE15*EF!$H14)*kgtoGg)</f>
        <v>6.4323283925814563</v>
      </c>
      <c r="AM1389" s="27">
        <f>IF(('Activity data'!BF15*EF!$H14)*kgtoGg=0,"NO",('Activity data'!BF15*EF!$H14)*kgtoGg)</f>
        <v>6.5134158744418782</v>
      </c>
      <c r="AN1389" s="27">
        <f>IF(('Activity data'!BG15*EF!$H14)*kgtoGg=0,"NO",('Activity data'!BG15*EF!$H14)*kgtoGg)</f>
        <v>6.6126163316975539</v>
      </c>
      <c r="AO1389" s="27">
        <f>IF(('Activity data'!BH15*EF!$H14)*kgtoGg=0,"NO",('Activity data'!BH15*EF!$H14)*kgtoGg)</f>
        <v>6.7066735285892829</v>
      </c>
      <c r="AP1389" s="27">
        <f>IF(('Activity data'!BI15*EF!$H14)*kgtoGg=0,"NO",('Activity data'!BI15*EF!$H14)*kgtoGg)</f>
        <v>6.8021224333407027</v>
      </c>
      <c r="AQ1389" s="27">
        <f>IF(('Activity data'!BJ15*EF!$H14)*kgtoGg=0,"NO",('Activity data'!BJ15*EF!$H14)*kgtoGg)</f>
        <v>6.9006513009384864</v>
      </c>
      <c r="AR1389" s="27">
        <f>IF(('Activity data'!BK15*EF!$H14)*kgtoGg=0,"NO",('Activity data'!BK15*EF!$H14)*kgtoGg)</f>
        <v>7.0028965831984893</v>
      </c>
      <c r="AS1389" s="27">
        <f>IF(('Activity data'!BL15*EF!$H14)*kgtoGg=0,"NO",('Activity data'!BL15*EF!$H14)*kgtoGg)</f>
        <v>7.1267607896665828</v>
      </c>
      <c r="AT1389" s="27">
        <f>IF(('Activity data'!BM15*EF!$H14)*kgtoGg=0,"NO",('Activity data'!BM15*EF!$H14)*kgtoGg)</f>
        <v>7.2071584727038323</v>
      </c>
      <c r="AU1389" s="27">
        <f>IF(('Activity data'!BN15*EF!$H14)*kgtoGg=0,"NO",('Activity data'!BN15*EF!$H14)*kgtoGg)</f>
        <v>7.2845566532149562</v>
      </c>
      <c r="AV1389" s="27">
        <f>IF(('Activity data'!BO15*EF!$H14)*kgtoGg=0,"NO",('Activity data'!BO15*EF!$H14)*kgtoGg)</f>
        <v>7.3636089922437549</v>
      </c>
      <c r="AW1389" s="27">
        <f>IF(('Activity data'!BP15*EF!$H14)*kgtoGg=0,"NO",('Activity data'!BP15*EF!$H14)*kgtoGg)</f>
        <v>7.4423534956754249</v>
      </c>
    </row>
    <row r="1390" spans="1:49" x14ac:dyDescent="0.2">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2">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1.8400999552016304</v>
      </c>
      <c r="L1391" s="27">
        <f>IF(('Activity data'!AE17*EF!$H16)*kgtoGg=0,"NO",('Activity data'!AE17*EF!$H16)*kgtoGg)</f>
        <v>1.8300977880312255</v>
      </c>
      <c r="M1391" s="27">
        <f>IF(('Activity data'!AF17*EF!$H16)*kgtoGg=0,"NO",('Activity data'!AF17*EF!$H16)*kgtoGg)</f>
        <v>1.8309187348828158</v>
      </c>
      <c r="N1391" s="27">
        <f>IF(('Activity data'!AG17*EF!$H16)*kgtoGg=0,"NO",('Activity data'!AG17*EF!$H16)*kgtoGg)</f>
        <v>1.8141094978660448</v>
      </c>
      <c r="O1391" s="27">
        <f>IF(('Activity data'!AH17*EF!$H16)*kgtoGg=0,"NO",('Activity data'!AH17*EF!$H16)*kgtoGg)</f>
        <v>1.7866561368117302</v>
      </c>
      <c r="P1391" s="27">
        <f>IF(('Activity data'!AI17*EF!$H16)*kgtoGg=0,"NO",('Activity data'!AI17*EF!$H16)*kgtoGg)</f>
        <v>1.7489975228040084</v>
      </c>
      <c r="Q1391" s="27">
        <f>IF(('Activity data'!AJ17*EF!$H16)*kgtoGg=0,"NO",('Activity data'!AJ17*EF!$H16)*kgtoGg)</f>
        <v>1.7216531928010095</v>
      </c>
      <c r="R1391" s="27">
        <f>IF(('Activity data'!AK17*EF!$H16)*kgtoGg=0,"NO",('Activity data'!AK17*EF!$H16)*kgtoGg)</f>
        <v>1.6967284692901876</v>
      </c>
      <c r="S1391" s="27">
        <f>IF(('Activity data'!AL17*EF!$H16)*kgtoGg=0,"NO",('Activity data'!AL17*EF!$H16)*kgtoGg)</f>
        <v>1.5117747469441463</v>
      </c>
      <c r="T1391" s="27">
        <f>IF(('Activity data'!AM17*EF!$H16)*kgtoGg=0,"NO",('Activity data'!AM17*EF!$H16)*kgtoGg)</f>
        <v>1.5353784458928466</v>
      </c>
      <c r="U1391" s="27">
        <f>IF(('Activity data'!AN17*EF!$H16)*kgtoGg=0,"NO",('Activity data'!AN17*EF!$H16)*kgtoGg)</f>
        <v>1.5454031535928081</v>
      </c>
      <c r="V1391" s="27">
        <f>IF(('Activity data'!AO17*EF!$H16)*kgtoGg=0,"NO",('Activity data'!AO17*EF!$H16)*kgtoGg)</f>
        <v>1.5520051748391652</v>
      </c>
      <c r="W1391" s="27">
        <f>IF(('Activity data'!AP17*EF!$H16)*kgtoGg=0,"NO",('Activity data'!AP17*EF!$H16)*kgtoGg)</f>
        <v>1.564229983889788</v>
      </c>
      <c r="X1391" s="27">
        <f>IF(('Activity data'!AQ17*EF!$H16)*kgtoGg=0,"NO",('Activity data'!AQ17*EF!$H16)*kgtoGg)</f>
        <v>1.5733351038653358</v>
      </c>
      <c r="Y1391" s="27">
        <f>IF(('Activity data'!AR17*EF!$H16)*kgtoGg=0,"NO",('Activity data'!AR17*EF!$H16)*kgtoGg)</f>
        <v>1.5781110770621192</v>
      </c>
      <c r="Z1391" s="27">
        <f>IF(('Activity data'!AS17*EF!$H16)*kgtoGg=0,"NO",('Activity data'!AS17*EF!$H16)*kgtoGg)</f>
        <v>1.5810372890528743</v>
      </c>
      <c r="AA1391" s="27">
        <f>IF(('Activity data'!AT17*EF!$H16)*kgtoGg=0,"NO",('Activity data'!AT17*EF!$H16)*kgtoGg)</f>
        <v>1.5814342334658642</v>
      </c>
      <c r="AB1391" s="27">
        <f>IF(('Activity data'!AU17*EF!$H16)*kgtoGg=0,"NO",('Activity data'!AU17*EF!$H16)*kgtoGg)</f>
        <v>1.5906175911874081</v>
      </c>
      <c r="AC1391" s="27">
        <f>IF(('Activity data'!AV17*EF!$H16)*kgtoGg=0,"NO",('Activity data'!AV17*EF!$H16)*kgtoGg)</f>
        <v>1.598639197477874</v>
      </c>
      <c r="AD1391" s="27">
        <f>IF(('Activity data'!AW17*EF!$H16)*kgtoGg=0,"NO",('Activity data'!AW17*EF!$H16)*kgtoGg)</f>
        <v>1.6101808279098371</v>
      </c>
      <c r="AE1391" s="27">
        <f>IF(('Activity data'!AX17*EF!$H16)*kgtoGg=0,"NO",('Activity data'!AX17*EF!$H16)*kgtoGg)</f>
        <v>1.6296768229523677</v>
      </c>
      <c r="AF1391" s="27">
        <f>IF(('Activity data'!AY17*EF!$H16)*kgtoGg=0,"NO",('Activity data'!AY17*EF!$H16)*kgtoGg)</f>
        <v>1.6525077177354268</v>
      </c>
      <c r="AG1391" s="27">
        <f>IF(('Activity data'!AZ17*EF!$H16)*kgtoGg=0,"NO",('Activity data'!AZ17*EF!$H16)*kgtoGg)</f>
        <v>1.6834189005947389</v>
      </c>
      <c r="AH1391" s="27">
        <f>IF(('Activity data'!BA17*EF!$H16)*kgtoGg=0,"NO",('Activity data'!BA17*EF!$H16)*kgtoGg)</f>
        <v>1.7001060999840301</v>
      </c>
      <c r="AI1391" s="27">
        <f>IF(('Activity data'!BB17*EF!$H16)*kgtoGg=0,"NO",('Activity data'!BB17*EF!$H16)*kgtoGg)</f>
        <v>1.714680678931171</v>
      </c>
      <c r="AJ1391" s="27">
        <f>IF(('Activity data'!BC17*EF!$H16)*kgtoGg=0,"NO",('Activity data'!BC17*EF!$H16)*kgtoGg)</f>
        <v>1.7329967482102966</v>
      </c>
      <c r="AK1391" s="27">
        <f>IF(('Activity data'!BD17*EF!$H16)*kgtoGg=0,"NO",('Activity data'!BD17*EF!$H16)*kgtoGg)</f>
        <v>1.7488990397133231</v>
      </c>
      <c r="AL1391" s="27">
        <f>IF(('Activity data'!BE17*EF!$H16)*kgtoGg=0,"NO",('Activity data'!BE17*EF!$H16)*kgtoGg)</f>
        <v>1.7664947607476369</v>
      </c>
      <c r="AM1391" s="27">
        <f>IF(('Activity data'!BF17*EF!$H16)*kgtoGg=0,"NO",('Activity data'!BF17*EF!$H16)*kgtoGg)</f>
        <v>1.7836580054040596</v>
      </c>
      <c r="AN1391" s="27">
        <f>IF(('Activity data'!BG17*EF!$H16)*kgtoGg=0,"NO",('Activity data'!BG17*EF!$H16)*kgtoGg)</f>
        <v>1.8067654920152938</v>
      </c>
      <c r="AO1391" s="27">
        <f>IF(('Activity data'!BH17*EF!$H16)*kgtoGg=0,"NO",('Activity data'!BH17*EF!$H16)*kgtoGg)</f>
        <v>1.8268312610518465</v>
      </c>
      <c r="AP1391" s="27">
        <f>IF(('Activity data'!BI17*EF!$H16)*kgtoGg=0,"NO",('Activity data'!BI17*EF!$H16)*kgtoGg)</f>
        <v>1.8468791974694727</v>
      </c>
      <c r="AQ1391" s="27">
        <f>IF(('Activity data'!BJ17*EF!$H16)*kgtoGg=0,"NO",('Activity data'!BJ17*EF!$H16)*kgtoGg)</f>
        <v>1.8676391522371276</v>
      </c>
      <c r="AR1391" s="27">
        <f>IF(('Activity data'!BK17*EF!$H16)*kgtoGg=0,"NO",('Activity data'!BK17*EF!$H16)*kgtoGg)</f>
        <v>1.8893444874946981</v>
      </c>
      <c r="AS1391" s="27">
        <f>IF(('Activity data'!BL17*EF!$H16)*kgtoGg=0,"NO",('Activity data'!BL17*EF!$H16)*kgtoGg)</f>
        <v>1.9176308190810374</v>
      </c>
      <c r="AT1391" s="27">
        <f>IF(('Activity data'!BM17*EF!$H16)*kgtoGg=0,"NO",('Activity data'!BM17*EF!$H16)*kgtoGg)</f>
        <v>1.9263908565050327</v>
      </c>
      <c r="AU1391" s="27">
        <f>IF(('Activity data'!BN17*EF!$H16)*kgtoGg=0,"NO",('Activity data'!BN17*EF!$H16)*kgtoGg)</f>
        <v>1.9333876275197814</v>
      </c>
      <c r="AV1391" s="27">
        <f>IF(('Activity data'!BO17*EF!$H16)*kgtoGg=0,"NO",('Activity data'!BO17*EF!$H16)*kgtoGg)</f>
        <v>1.9406033255753634</v>
      </c>
      <c r="AW1391" s="27">
        <f>IF(('Activity data'!BP17*EF!$H16)*kgtoGg=0,"NO",('Activity data'!BP17*EF!$H16)*kgtoGg)</f>
        <v>1.947207220691618</v>
      </c>
    </row>
    <row r="1392" spans="1:49" x14ac:dyDescent="0.2">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0.25496723934882609</v>
      </c>
      <c r="L1392" s="27">
        <f>IF(('Activity data'!AE18*EF!$H17)*kgtoGg=0,"NO",('Activity data'!AE18*EF!$H17)*kgtoGg)</f>
        <v>0.25358132281546897</v>
      </c>
      <c r="M1392" s="27">
        <f>IF(('Activity data'!AF18*EF!$H17)*kgtoGg=0,"NO",('Activity data'!AF18*EF!$H17)*kgtoGg)</f>
        <v>0.25369507454499346</v>
      </c>
      <c r="N1392" s="27">
        <f>IF(('Activity data'!AG18*EF!$H17)*kgtoGg=0,"NO",('Activity data'!AG18*EF!$H17)*kgtoGg)</f>
        <v>0.25136595935447842</v>
      </c>
      <c r="O1392" s="27">
        <f>IF(('Activity data'!AH18*EF!$H17)*kgtoGg=0,"NO",('Activity data'!AH18*EF!$H17)*kgtoGg)</f>
        <v>0.24756197704412711</v>
      </c>
      <c r="P1392" s="27">
        <f>IF(('Activity data'!AI18*EF!$H17)*kgtoGg=0,"NO",('Activity data'!AI18*EF!$H17)*kgtoGg)</f>
        <v>0.2423439383043785</v>
      </c>
      <c r="Q1392" s="27">
        <f>IF(('Activity data'!AJ18*EF!$H17)*kgtoGg=0,"NO",('Activity data'!AJ18*EF!$H17)*kgtoGg)</f>
        <v>0.23855506351363703</v>
      </c>
      <c r="R1392" s="27">
        <f>IF(('Activity data'!AK18*EF!$H17)*kgtoGg=0,"NO",('Activity data'!AK18*EF!$H17)*kgtoGg)</f>
        <v>0.23510145332951488</v>
      </c>
      <c r="S1392" s="27">
        <f>IF(('Activity data'!AL18*EF!$H17)*kgtoGg=0,"NO",('Activity data'!AL18*EF!$H17)*kgtoGg)</f>
        <v>0.20947396507239346</v>
      </c>
      <c r="T1392" s="27">
        <f>IF(('Activity data'!AM18*EF!$H17)*kgtoGg=0,"NO",('Activity data'!AM18*EF!$H17)*kgtoGg)</f>
        <v>0.21274453194695842</v>
      </c>
      <c r="U1392" s="27">
        <f>IF(('Activity data'!AN18*EF!$H17)*kgtoGg=0,"NO",('Activity data'!AN18*EF!$H17)*kgtoGg)</f>
        <v>0.21413357173271183</v>
      </c>
      <c r="V1392" s="27">
        <f>IF(('Activity data'!AO18*EF!$H17)*kgtoGg=0,"NO",('Activity data'!AO18*EF!$H17)*kgtoGg)</f>
        <v>0.21504835852271614</v>
      </c>
      <c r="W1392" s="27">
        <f>IF(('Activity data'!AP18*EF!$H17)*kgtoGg=0,"NO",('Activity data'!AP18*EF!$H17)*kgtoGg)</f>
        <v>0.21674224792605687</v>
      </c>
      <c r="X1392" s="27">
        <f>IF(('Activity data'!AQ18*EF!$H17)*kgtoGg=0,"NO",('Activity data'!AQ18*EF!$H17)*kgtoGg)</f>
        <v>0.21800386814268849</v>
      </c>
      <c r="Y1392" s="27">
        <f>IF(('Activity data'!AR18*EF!$H17)*kgtoGg=0,"NO",('Activity data'!AR18*EF!$H17)*kgtoGg)</f>
        <v>0.21866563474821746</v>
      </c>
      <c r="Z1392" s="27">
        <f>IF(('Activity data'!AS18*EF!$H17)*kgtoGg=0,"NO",('Activity data'!AS18*EF!$H17)*kgtoGg)</f>
        <v>0.21907109543578676</v>
      </c>
      <c r="AA1392" s="27">
        <f>IF(('Activity data'!AT18*EF!$H17)*kgtoGg=0,"NO",('Activity data'!AT18*EF!$H17)*kgtoGg)</f>
        <v>0.21912609669855451</v>
      </c>
      <c r="AB1392" s="27">
        <f>IF(('Activity data'!AU18*EF!$H17)*kgtoGg=0,"NO",('Activity data'!AU18*EF!$H17)*kgtoGg)</f>
        <v>0.22039855766438188</v>
      </c>
      <c r="AC1392" s="27">
        <f>IF(('Activity data'!AV18*EF!$H17)*kgtoGg=0,"NO",('Activity data'!AV18*EF!$H17)*kgtoGg)</f>
        <v>0.22151004446445585</v>
      </c>
      <c r="AD1392" s="27">
        <f>IF(('Activity data'!AW18*EF!$H17)*kgtoGg=0,"NO",('Activity data'!AW18*EF!$H17)*kgtoGg)</f>
        <v>0.22310927152845497</v>
      </c>
      <c r="AE1392" s="27">
        <f>IF(('Activity data'!AX18*EF!$H17)*kgtoGg=0,"NO",('Activity data'!AX18*EF!$H17)*kgtoGg)</f>
        <v>0.22581066827611573</v>
      </c>
      <c r="AF1392" s="27">
        <f>IF(('Activity data'!AY18*EF!$H17)*kgtoGg=0,"NO",('Activity data'!AY18*EF!$H17)*kgtoGg)</f>
        <v>0.22897415414993735</v>
      </c>
      <c r="AG1392" s="27">
        <f>IF(('Activity data'!AZ18*EF!$H17)*kgtoGg=0,"NO",('Activity data'!AZ18*EF!$H17)*kgtoGg)</f>
        <v>0.23325725786741008</v>
      </c>
      <c r="AH1392" s="27">
        <f>IF(('Activity data'!BA18*EF!$H17)*kgtoGg=0,"NO",('Activity data'!BA18*EF!$H17)*kgtoGg)</f>
        <v>0.2355694633259906</v>
      </c>
      <c r="AI1392" s="27">
        <f>IF(('Activity data'!BB18*EF!$H17)*kgtoGg=0,"NO",('Activity data'!BB18*EF!$H17)*kgtoGg)</f>
        <v>0.23758894066379471</v>
      </c>
      <c r="AJ1392" s="27">
        <f>IF(('Activity data'!BC18*EF!$H17)*kgtoGg=0,"NO",('Activity data'!BC18*EF!$H17)*kgtoGg)</f>
        <v>0.24012684498068754</v>
      </c>
      <c r="AK1392" s="27">
        <f>IF(('Activity data'!BD18*EF!$H17)*kgtoGg=0,"NO",('Activity data'!BD18*EF!$H17)*kgtoGg)</f>
        <v>0.24233029232733053</v>
      </c>
      <c r="AL1392" s="27">
        <f>IF(('Activity data'!BE18*EF!$H17)*kgtoGg=0,"NO",('Activity data'!BE18*EF!$H17)*kgtoGg)</f>
        <v>0.24476838402109372</v>
      </c>
      <c r="AM1392" s="27">
        <f>IF(('Activity data'!BF18*EF!$H17)*kgtoGg=0,"NO",('Activity data'!BF18*EF!$H17)*kgtoGg)</f>
        <v>0.2471465510853047</v>
      </c>
      <c r="AN1392" s="27">
        <f>IF(('Activity data'!BG18*EF!$H17)*kgtoGg=0,"NO",('Activity data'!BG18*EF!$H17)*kgtoGg)</f>
        <v>0.25034836197220872</v>
      </c>
      <c r="AO1392" s="27">
        <f>IF(('Activity data'!BH18*EF!$H17)*kgtoGg=0,"NO",('Activity data'!BH18*EF!$H17)*kgtoGg)</f>
        <v>0.25312870753017624</v>
      </c>
      <c r="AP1392" s="27">
        <f>IF(('Activity data'!BI18*EF!$H17)*kgtoGg=0,"NO",('Activity data'!BI18*EF!$H17)*kgtoGg)</f>
        <v>0.25590658217149315</v>
      </c>
      <c r="AQ1392" s="27">
        <f>IF(('Activity data'!BJ18*EF!$H17)*kgtoGg=0,"NO",('Activity data'!BJ18*EF!$H17)*kgtoGg)</f>
        <v>0.25878311523218522</v>
      </c>
      <c r="AR1392" s="27">
        <f>IF(('Activity data'!BK18*EF!$H17)*kgtoGg=0,"NO",('Activity data'!BK18*EF!$H17)*kgtoGg)</f>
        <v>0.26179064174949174</v>
      </c>
      <c r="AS1392" s="27">
        <f>IF(('Activity data'!BL18*EF!$H17)*kgtoGg=0,"NO",('Activity data'!BL18*EF!$H17)*kgtoGg)</f>
        <v>0.26571004181006297</v>
      </c>
      <c r="AT1392" s="27">
        <f>IF(('Activity data'!BM18*EF!$H17)*kgtoGg=0,"NO",('Activity data'!BM18*EF!$H17)*kgtoGg)</f>
        <v>0.26692384682770609</v>
      </c>
      <c r="AU1392" s="27">
        <f>IF(('Activity data'!BN18*EF!$H17)*kgtoGg=0,"NO",('Activity data'!BN18*EF!$H17)*kgtoGg)</f>
        <v>0.26789333078695698</v>
      </c>
      <c r="AV1392" s="27">
        <f>IF(('Activity data'!BO18*EF!$H17)*kgtoGg=0,"NO",('Activity data'!BO18*EF!$H17)*kgtoGg)</f>
        <v>0.26889314963267008</v>
      </c>
      <c r="AW1392" s="27">
        <f>IF(('Activity data'!BP18*EF!$H17)*kgtoGg=0,"NO",('Activity data'!BP18*EF!$H17)*kgtoGg)</f>
        <v>0.26980819606913181</v>
      </c>
    </row>
    <row r="1393" spans="1:49" x14ac:dyDescent="0.2">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7.3924283487896005</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7.5131092090175455</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7.5825135825669046</v>
      </c>
      <c r="S1393" s="27">
        <f>IF(('Activity data'!AL5*EF!$H18)*kgtoGg=0,"NO",('Activity data'!AL5*EF!$H18)*kgtoGg)</f>
        <v>7.3749406226465846</v>
      </c>
      <c r="T1393" s="27">
        <f>IF(('Activity data'!AM5*EF!$H18)*kgtoGg=0,"NO",('Activity data'!AM5*EF!$H18)*kgtoGg)</f>
        <v>7.4596947338228921</v>
      </c>
      <c r="U1393" s="27">
        <f>IF(('Activity data'!AN5*EF!$H18)*kgtoGg=0,"NO",('Activity data'!AN5*EF!$H18)*kgtoGg)</f>
        <v>7.5261085209621994</v>
      </c>
      <c r="V1393" s="27">
        <f>IF(('Activity data'!AO5*EF!$H18)*kgtoGg=0,"NO",('Activity data'!AO5*EF!$H18)*kgtoGg)</f>
        <v>7.5890282866946253</v>
      </c>
      <c r="W1393" s="27">
        <f>IF(('Activity data'!AP5*EF!$H18)*kgtoGg=0,"NO",('Activity data'!AP5*EF!$H18)*kgtoGg)</f>
        <v>7.6625876396153867</v>
      </c>
      <c r="X1393" s="27">
        <f>IF(('Activity data'!AQ5*EF!$H18)*kgtoGg=0,"NO",('Activity data'!AQ5*EF!$H18)*kgtoGg)</f>
        <v>7.733033452737752</v>
      </c>
      <c r="Y1393" s="27">
        <f>IF(('Activity data'!AR5*EF!$H18)*kgtoGg=0,"NO",('Activity data'!AR5*EF!$H18)*kgtoGg)</f>
        <v>7.7921158726045912</v>
      </c>
      <c r="Z1393" s="27">
        <f>IF(('Activity data'!AS5*EF!$H18)*kgtoGg=0,"NO",('Activity data'!AS5*EF!$H18)*kgtoGg)</f>
        <v>7.8495573007710338</v>
      </c>
      <c r="AA1393" s="27">
        <f>IF(('Activity data'!AT5*EF!$H18)*kgtoGg=0,"NO",('Activity data'!AT5*EF!$H18)*kgtoGg)</f>
        <v>7.9040412638168576</v>
      </c>
      <c r="AB1393" s="27">
        <f>IF(('Activity data'!AU5*EF!$H18)*kgtoGg=0,"NO",('Activity data'!AU5*EF!$H18)*kgtoGg)</f>
        <v>7.9749152148387106</v>
      </c>
      <c r="AC1393" s="27">
        <f>IF(('Activity data'!AV5*EF!$H18)*kgtoGg=0,"NO",('Activity data'!AV5*EF!$H18)*kgtoGg)</f>
        <v>8.0454247210614032</v>
      </c>
      <c r="AD1393" s="27">
        <f>IF(('Activity data'!AW5*EF!$H18)*kgtoGg=0,"NO",('Activity data'!AW5*EF!$H18)*kgtoGg)</f>
        <v>8.118986526852904</v>
      </c>
      <c r="AE1393" s="27">
        <f>IF(('Activity data'!AX5*EF!$H18)*kgtoGg=0,"NO",('Activity data'!AX5*EF!$H18)*kgtoGg)</f>
        <v>8.2087302780498543</v>
      </c>
      <c r="AF1393" s="27">
        <f>IF(('Activity data'!AY5*EF!$H18)*kgtoGg=0,"NO",('Activity data'!AY5*EF!$H18)*kgtoGg)</f>
        <v>8.3068407116005449</v>
      </c>
      <c r="AG1393" s="27">
        <f>IF(('Activity data'!AZ5*EF!$H18)*kgtoGg=0,"NO",('Activity data'!AZ5*EF!$H18)*kgtoGg)</f>
        <v>8.4224927361534156</v>
      </c>
      <c r="AH1393" s="27">
        <f>IF(('Activity data'!BA5*EF!$H18)*kgtoGg=0,"NO",('Activity data'!BA5*EF!$H18)*kgtoGg)</f>
        <v>8.5140894306414712</v>
      </c>
      <c r="AI1393" s="27">
        <f>IF(('Activity data'!BB5*EF!$H18)*kgtoGg=0,"NO",('Activity data'!BB5*EF!$H18)*kgtoGg)</f>
        <v>8.5991817671771109</v>
      </c>
      <c r="AJ1393" s="27">
        <f>IF(('Activity data'!BC5*EF!$H18)*kgtoGg=0,"NO",('Activity data'!BC5*EF!$H18)*kgtoGg)</f>
        <v>8.6936031201600006</v>
      </c>
      <c r="AK1393" s="27">
        <f>IF(('Activity data'!BD5*EF!$H18)*kgtoGg=0,"NO",('Activity data'!BD5*EF!$H18)*kgtoGg)</f>
        <v>8.7854891773357977</v>
      </c>
      <c r="AL1393" s="27">
        <f>IF(('Activity data'!BE5*EF!$H18)*kgtoGg=0,"NO",('Activity data'!BE5*EF!$H18)*kgtoGg)</f>
        <v>8.8829387927935777</v>
      </c>
      <c r="AM1393" s="27">
        <f>IF(('Activity data'!BF5*EF!$H18)*kgtoGg=0,"NO",('Activity data'!BF5*EF!$H18)*kgtoGg)</f>
        <v>8.981789259815093</v>
      </c>
      <c r="AN1393" s="27">
        <f>IF(('Activity data'!BG5*EF!$H18)*kgtoGg=0,"NO",('Activity data'!BG5*EF!$H18)*kgtoGg)</f>
        <v>9.0910335877436168</v>
      </c>
      <c r="AO1393" s="27">
        <f>IF(('Activity data'!BH5*EF!$H18)*kgtoGg=0,"NO",('Activity data'!BH5*EF!$H18)*kgtoGg)</f>
        <v>9.1965466271076242</v>
      </c>
      <c r="AP1393" s="27">
        <f>IF(('Activity data'!BI5*EF!$H18)*kgtoGg=0,"NO",('Activity data'!BI5*EF!$H18)*kgtoGg)</f>
        <v>9.3045679627692603</v>
      </c>
      <c r="AQ1393" s="27">
        <f>IF(('Activity data'!BJ5*EF!$H18)*kgtoGg=0,"NO",('Activity data'!BJ5*EF!$H18)*kgtoGg)</f>
        <v>9.416735487095643</v>
      </c>
      <c r="AR1393" s="27">
        <f>IF(('Activity data'!BK5*EF!$H18)*kgtoGg=0,"NO",('Activity data'!BK5*EF!$H18)*kgtoGg)</f>
        <v>9.5336904606360946</v>
      </c>
      <c r="AS1393" s="27">
        <f>IF(('Activity data'!BL5*EF!$H18)*kgtoGg=0,"NO",('Activity data'!BL5*EF!$H18)*kgtoGg)</f>
        <v>9.6639189531179213</v>
      </c>
      <c r="AT1393" s="27">
        <f>IF(('Activity data'!BM5*EF!$H18)*kgtoGg=0,"NO",('Activity data'!BM5*EF!$H18)*kgtoGg)</f>
        <v>9.7529871408715216</v>
      </c>
      <c r="AU1393" s="27">
        <f>IF(('Activity data'!BN5*EF!$H18)*kgtoGg=0,"NO",('Activity data'!BN5*EF!$H18)*kgtoGg)</f>
        <v>9.8400068754522785</v>
      </c>
      <c r="AV1393" s="27">
        <f>IF(('Activity data'!BO5*EF!$H18)*kgtoGg=0,"NO",('Activity data'!BO5*EF!$H18)*kgtoGg)</f>
        <v>9.9294924345892497</v>
      </c>
      <c r="AW1393" s="27">
        <f>IF(('Activity data'!BP5*EF!$H18)*kgtoGg=0,"NO",('Activity data'!BP5*EF!$H18)*kgtoGg)</f>
        <v>10.019533761751701</v>
      </c>
    </row>
    <row r="1394" spans="1:49" x14ac:dyDescent="0.2">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2.1061581299686476</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2.1405410097083362</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2.1603148348588084</v>
      </c>
      <c r="S1394" s="27">
        <f>IF(('Activity data'!AL6*EF!$H19)*kgtoGg=0,"NO",('Activity data'!AL6*EF!$H19)*kgtoGg)</f>
        <v>2.1011757459869611</v>
      </c>
      <c r="T1394" s="27">
        <f>IF(('Activity data'!AM6*EF!$H19)*kgtoGg=0,"NO",('Activity data'!AM6*EF!$H19)*kgtoGg)</f>
        <v>2.1253228261993073</v>
      </c>
      <c r="U1394" s="27">
        <f>IF(('Activity data'!AN6*EF!$H19)*kgtoGg=0,"NO",('Activity data'!AN6*EF!$H19)*kgtoGg)</f>
        <v>2.1442446109127653</v>
      </c>
      <c r="V1394" s="27">
        <f>IF(('Activity data'!AO6*EF!$H19)*kgtoGg=0,"NO",('Activity data'!AO6*EF!$H19)*kgtoGg)</f>
        <v>2.162170922793051</v>
      </c>
      <c r="W1394" s="27">
        <f>IF(('Activity data'!AP6*EF!$H19)*kgtoGg=0,"NO",('Activity data'!AP6*EF!$H19)*kgtoGg)</f>
        <v>2.1831285326445773</v>
      </c>
      <c r="X1394" s="27">
        <f>IF(('Activity data'!AQ6*EF!$H19)*kgtoGg=0,"NO",('Activity data'!AQ6*EF!$H19)*kgtoGg)</f>
        <v>2.2031990717190912</v>
      </c>
      <c r="Y1394" s="27">
        <f>IF(('Activity data'!AR6*EF!$H19)*kgtoGg=0,"NO",('Activity data'!AR6*EF!$H19)*kgtoGg)</f>
        <v>2.2200320950599446</v>
      </c>
      <c r="Z1394" s="27">
        <f>IF(('Activity data'!AS6*EF!$H19)*kgtoGg=0,"NO",('Activity data'!AS6*EF!$H19)*kgtoGg)</f>
        <v>2.2363975875911741</v>
      </c>
      <c r="AA1394" s="27">
        <f>IF(('Activity data'!AT6*EF!$H19)*kgtoGg=0,"NO",('Activity data'!AT6*EF!$H19)*kgtoGg)</f>
        <v>2.2519204761884857</v>
      </c>
      <c r="AB1394" s="27">
        <f>IF(('Activity data'!AU6*EF!$H19)*kgtoGg=0,"NO",('Activity data'!AU6*EF!$H19)*kgtoGg)</f>
        <v>2.2721129949529209</v>
      </c>
      <c r="AC1394" s="27">
        <f>IF(('Activity data'!AV6*EF!$H19)*kgtoGg=0,"NO",('Activity data'!AV6*EF!$H19)*kgtoGg)</f>
        <v>2.2922016806681249</v>
      </c>
      <c r="AD1394" s="27">
        <f>IF(('Activity data'!AW6*EF!$H19)*kgtoGg=0,"NO",('Activity data'!AW6*EF!$H19)*kgtoGg)</f>
        <v>2.3131599893608721</v>
      </c>
      <c r="AE1394" s="27">
        <f>IF(('Activity data'!AX6*EF!$H19)*kgtoGg=0,"NO",('Activity data'!AX6*EF!$H19)*kgtoGg)</f>
        <v>2.3387286553362805</v>
      </c>
      <c r="AF1394" s="27">
        <f>IF(('Activity data'!AY6*EF!$H19)*kgtoGg=0,"NO",('Activity data'!AY6*EF!$H19)*kgtoGg)</f>
        <v>2.3666810516948278</v>
      </c>
      <c r="AG1394" s="27">
        <f>IF(('Activity data'!AZ6*EF!$H19)*kgtoGg=0,"NO",('Activity data'!AZ6*EF!$H19)*kgtoGg)</f>
        <v>2.3996311785363349</v>
      </c>
      <c r="AH1394" s="27">
        <f>IF(('Activity data'!BA6*EF!$H19)*kgtoGg=0,"NO",('Activity data'!BA6*EF!$H19)*kgtoGg)</f>
        <v>2.4257277619149016</v>
      </c>
      <c r="AI1394" s="27">
        <f>IF(('Activity data'!BB6*EF!$H19)*kgtoGg=0,"NO",('Activity data'!BB6*EF!$H19)*kgtoGg)</f>
        <v>2.4499712050619578</v>
      </c>
      <c r="AJ1394" s="27">
        <f>IF(('Activity data'!BC6*EF!$H19)*kgtoGg=0,"NO",('Activity data'!BC6*EF!$H19)*kgtoGg)</f>
        <v>2.4768725547733976</v>
      </c>
      <c r="AK1394" s="27">
        <f>IF(('Activity data'!BD6*EF!$H19)*kgtoGg=0,"NO",('Activity data'!BD6*EF!$H19)*kgtoGg)</f>
        <v>2.5030515797460584</v>
      </c>
      <c r="AL1394" s="27">
        <f>IF(('Activity data'!BE6*EF!$H19)*kgtoGg=0,"NO",('Activity data'!BE6*EF!$H19)*kgtoGg)</f>
        <v>2.5308157040871935</v>
      </c>
      <c r="AM1394" s="27">
        <f>IF(('Activity data'!BF6*EF!$H19)*kgtoGg=0,"NO",('Activity data'!BF6*EF!$H19)*kgtoGg)</f>
        <v>2.5589789415168327</v>
      </c>
      <c r="AN1394" s="27">
        <f>IF(('Activity data'!BG6*EF!$H19)*kgtoGg=0,"NO",('Activity data'!BG6*EF!$H19)*kgtoGg)</f>
        <v>2.5901034676621961</v>
      </c>
      <c r="AO1394" s="27">
        <f>IF(('Activity data'!BH6*EF!$H19)*kgtoGg=0,"NO",('Activity data'!BH6*EF!$H19)*kgtoGg)</f>
        <v>2.6201649217864809</v>
      </c>
      <c r="AP1394" s="27">
        <f>IF(('Activity data'!BI6*EF!$H19)*kgtoGg=0,"NO",('Activity data'!BI6*EF!$H19)*kgtoGg)</f>
        <v>2.6509410082873499</v>
      </c>
      <c r="AQ1394" s="27">
        <f>IF(('Activity data'!BJ6*EF!$H19)*kgtoGg=0,"NO",('Activity data'!BJ6*EF!$H19)*kgtoGg)</f>
        <v>2.6828983749511943</v>
      </c>
      <c r="AR1394" s="27">
        <f>IF(('Activity data'!BK6*EF!$H19)*kgtoGg=0,"NO",('Activity data'!BK6*EF!$H19)*kgtoGg)</f>
        <v>2.7162197217049746</v>
      </c>
      <c r="AS1394" s="27">
        <f>IF(('Activity data'!BL6*EF!$H19)*kgtoGg=0,"NO",('Activity data'!BL6*EF!$H19)*kgtoGg)</f>
        <v>2.7533227932875448</v>
      </c>
      <c r="AT1394" s="27">
        <f>IF(('Activity data'!BM6*EF!$H19)*kgtoGg=0,"NO",('Activity data'!BM6*EF!$H19)*kgtoGg)</f>
        <v>2.7786989861849074</v>
      </c>
      <c r="AU1394" s="27">
        <f>IF(('Activity data'!BN6*EF!$H19)*kgtoGg=0,"NO",('Activity data'!BN6*EF!$H19)*kgtoGg)</f>
        <v>2.8034915594514418</v>
      </c>
      <c r="AV1394" s="27">
        <f>IF(('Activity data'!BO6*EF!$H19)*kgtoGg=0,"NO",('Activity data'!BO6*EF!$H19)*kgtoGg)</f>
        <v>2.8289866645777546</v>
      </c>
      <c r="AW1394" s="27">
        <f>IF(('Activity data'!BP6*EF!$H19)*kgtoGg=0,"NO",('Activity data'!BP6*EF!$H19)*kgtoGg)</f>
        <v>2.854640112171523</v>
      </c>
    </row>
    <row r="1395" spans="1:49" x14ac:dyDescent="0.2">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0.43500213637199753</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0.44210351490980404</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0.44618756541973886</v>
      </c>
      <c r="S1395" s="27">
        <f>IF(('Activity data'!AL7*EF!$H20)*kgtoGg=0,"NO",('Activity data'!AL7*EF!$H20)*kgtoGg)</f>
        <v>0.43397308368814624</v>
      </c>
      <c r="T1395" s="27">
        <f>IF(('Activity data'!AM7*EF!$H20)*kgtoGg=0,"NO",('Activity data'!AM7*EF!$H20)*kgtoGg)</f>
        <v>0.43896037848337277</v>
      </c>
      <c r="U1395" s="27">
        <f>IF(('Activity data'!AN7*EF!$H20)*kgtoGg=0,"NO",('Activity data'!AN7*EF!$H20)*kgtoGg)</f>
        <v>0.4428684500840781</v>
      </c>
      <c r="V1395" s="27">
        <f>IF(('Activity data'!AO7*EF!$H20)*kgtoGg=0,"NO",('Activity data'!AO7*EF!$H20)*kgtoGg)</f>
        <v>0.44657091850477143</v>
      </c>
      <c r="W1395" s="27">
        <f>IF(('Activity data'!AP7*EF!$H20)*kgtoGg=0,"NO",('Activity data'!AP7*EF!$H20)*kgtoGg)</f>
        <v>0.45089946579138956</v>
      </c>
      <c r="X1395" s="27">
        <f>IF(('Activity data'!AQ7*EF!$H20)*kgtoGg=0,"NO",('Activity data'!AQ7*EF!$H20)*kgtoGg)</f>
        <v>0.45504479906495582</v>
      </c>
      <c r="Y1395" s="27">
        <f>IF(('Activity data'!AR7*EF!$H20)*kgtoGg=0,"NO",('Activity data'!AR7*EF!$H20)*kgtoGg)</f>
        <v>0.4585214616244665</v>
      </c>
      <c r="Z1395" s="27">
        <f>IF(('Activity data'!AS7*EF!$H20)*kgtoGg=0,"NO",('Activity data'!AS7*EF!$H20)*kgtoGg)</f>
        <v>0.46190156120605425</v>
      </c>
      <c r="AA1395" s="27">
        <f>IF(('Activity data'!AT7*EF!$H20)*kgtoGg=0,"NO",('Activity data'!AT7*EF!$H20)*kgtoGg)</f>
        <v>0.46510763087689888</v>
      </c>
      <c r="AB1395" s="27">
        <f>IF(('Activity data'!AU7*EF!$H20)*kgtoGg=0,"NO",('Activity data'!AU7*EF!$H20)*kgtoGg)</f>
        <v>0.46927815761763869</v>
      </c>
      <c r="AC1395" s="27">
        <f>IF(('Activity data'!AV7*EF!$H20)*kgtoGg=0,"NO",('Activity data'!AV7*EF!$H20)*kgtoGg)</f>
        <v>0.47342723886594434</v>
      </c>
      <c r="AD1395" s="27">
        <f>IF(('Activity data'!AW7*EF!$H20)*kgtoGg=0,"NO",('Activity data'!AW7*EF!$H20)*kgtoGg)</f>
        <v>0.4777559304899795</v>
      </c>
      <c r="AE1395" s="27">
        <f>IF(('Activity data'!AX7*EF!$H20)*kgtoGg=0,"NO",('Activity data'!AX7*EF!$H20)*kgtoGg)</f>
        <v>0.48303683706827621</v>
      </c>
      <c r="AF1395" s="27">
        <f>IF(('Activity data'!AY7*EF!$H20)*kgtoGg=0,"NO",('Activity data'!AY7*EF!$H20)*kgtoGg)</f>
        <v>0.48881007506008173</v>
      </c>
      <c r="AG1395" s="27">
        <f>IF(('Activity data'!AZ7*EF!$H20)*kgtoGg=0,"NO",('Activity data'!AZ7*EF!$H20)*kgtoGg)</f>
        <v>0.49561553537468644</v>
      </c>
      <c r="AH1395" s="27">
        <f>IF(('Activity data'!BA7*EF!$H20)*kgtoGg=0,"NO",('Activity data'!BA7*EF!$H20)*kgtoGg)</f>
        <v>0.50100547707002141</v>
      </c>
      <c r="AI1395" s="27">
        <f>IF(('Activity data'!BB7*EF!$H20)*kgtoGg=0,"NO",('Activity data'!BB7*EF!$H20)*kgtoGg)</f>
        <v>0.50601267449357823</v>
      </c>
      <c r="AJ1395" s="27">
        <f>IF(('Activity data'!BC7*EF!$H20)*kgtoGg=0,"NO",('Activity data'!BC7*EF!$H20)*kgtoGg)</f>
        <v>0.51156883118915397</v>
      </c>
      <c r="AK1395" s="27">
        <f>IF(('Activity data'!BD7*EF!$H20)*kgtoGg=0,"NO",('Activity data'!BD7*EF!$H20)*kgtoGg)</f>
        <v>0.51697580022400658</v>
      </c>
      <c r="AL1395" s="27">
        <f>IF(('Activity data'!BE7*EF!$H20)*kgtoGg=0,"NO",('Activity data'!BE7*EF!$H20)*kgtoGg)</f>
        <v>0.52271015284978539</v>
      </c>
      <c r="AM1395" s="27">
        <f>IF(('Activity data'!BF7*EF!$H20)*kgtoGg=0,"NO",('Activity data'!BF7*EF!$H20)*kgtoGg)</f>
        <v>0.52852693757963265</v>
      </c>
      <c r="AN1395" s="27">
        <f>IF(('Activity data'!BG7*EF!$H20)*kgtoGg=0,"NO",('Activity data'!BG7*EF!$H20)*kgtoGg)</f>
        <v>0.5349553415888797</v>
      </c>
      <c r="AO1395" s="27">
        <f>IF(('Activity data'!BH7*EF!$H20)*kgtoGg=0,"NO",('Activity data'!BH7*EF!$H20)*kgtoGg)</f>
        <v>0.54116418060264715</v>
      </c>
      <c r="AP1395" s="27">
        <f>IF(('Activity data'!BI7*EF!$H20)*kgtoGg=0,"NO",('Activity data'!BI7*EF!$H20)*kgtoGg)</f>
        <v>0.54752061851039679</v>
      </c>
      <c r="AQ1395" s="27">
        <f>IF(('Activity data'!BJ7*EF!$H20)*kgtoGg=0,"NO",('Activity data'!BJ7*EF!$H20)*kgtoGg)</f>
        <v>0.55412103591201056</v>
      </c>
      <c r="AR1395" s="27">
        <f>IF(('Activity data'!BK7*EF!$H20)*kgtoGg=0,"NO",('Activity data'!BK7*EF!$H20)*kgtoGg)</f>
        <v>0.56100316732391087</v>
      </c>
      <c r="AS1395" s="27">
        <f>IF(('Activity data'!BL7*EF!$H20)*kgtoGg=0,"NO",('Activity data'!BL7*EF!$H20)*kgtoGg)</f>
        <v>0.56866636942385063</v>
      </c>
      <c r="AT1395" s="27">
        <f>IF(('Activity data'!BM7*EF!$H20)*kgtoGg=0,"NO",('Activity data'!BM7*EF!$H20)*kgtoGg)</f>
        <v>0.57390752295656533</v>
      </c>
      <c r="AU1395" s="27">
        <f>IF(('Activity data'!BN7*EF!$H20)*kgtoGg=0,"NO",('Activity data'!BN7*EF!$H20)*kgtoGg)</f>
        <v>0.57902813673368103</v>
      </c>
      <c r="AV1395" s="27">
        <f>IF(('Activity data'!BO7*EF!$H20)*kgtoGg=0,"NO",('Activity data'!BO7*EF!$H20)*kgtoGg)</f>
        <v>0.58429385018566193</v>
      </c>
      <c r="AW1395" s="27">
        <f>IF(('Activity data'!BP7*EF!$H20)*kgtoGg=0,"NO",('Activity data'!BP7*EF!$H20)*kgtoGg)</f>
        <v>0.5895922674079066</v>
      </c>
    </row>
    <row r="1396" spans="1:49" x14ac:dyDescent="0.2">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9.4871637196006553E-2</v>
      </c>
      <c r="L1396" s="27">
        <f>IF(('Activity data'!AE8*EF!$H21)*kgtoGg=0,"NO",('Activity data'!AE8*EF!$H21)*kgtoGg)</f>
        <v>9.4048845784615531E-2</v>
      </c>
      <c r="M1396" s="27">
        <f>IF(('Activity data'!AF8*EF!$H21)*kgtoGg=0,"NO",('Activity data'!AF8*EF!$H21)*kgtoGg)</f>
        <v>9.3735634002294246E-2</v>
      </c>
      <c r="N1396" s="27">
        <f>IF(('Activity data'!AG8*EF!$H21)*kgtoGg=0,"NO",('Activity data'!AG8*EF!$H21)*kgtoGg)</f>
        <v>9.2483917307495084E-2</v>
      </c>
      <c r="O1396" s="27">
        <f>IF(('Activity data'!AH8*EF!$H21)*kgtoGg=0,"NO",('Activity data'!AH8*EF!$H21)*kgtoGg)</f>
        <v>9.0667019955957398E-2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7.5194221843696937E-2</v>
      </c>
      <c r="T1396" s="27">
        <f>IF(('Activity data'!AM8*EF!$H21)*kgtoGg=0,"NO",('Activity data'!AM8*EF!$H21)*kgtoGg)</f>
        <v>7.6632536915557561E-2</v>
      </c>
      <c r="U1396" s="27">
        <f>IF(('Activity data'!AN8*EF!$H21)*kgtoGg=0,"NO",('Activity data'!AN8*EF!$H21)*kgtoGg)</f>
        <v>7.7401549005272907E-2</v>
      </c>
      <c r="V1396" s="27">
        <f>IF(('Activity data'!AO8*EF!$H21)*kgtoGg=0,"NO",('Activity data'!AO8*EF!$H21)*kgtoGg)</f>
        <v>7.7993527400119084E-2</v>
      </c>
      <c r="W1396" s="27">
        <f>IF(('Activity data'!AP8*EF!$H21)*kgtoGg=0,"NO",('Activity data'!AP8*EF!$H21)*kgtoGg)</f>
        <v>7.8850028173398812E-2</v>
      </c>
      <c r="X1396" s="27">
        <f>IF(('Activity data'!AQ8*EF!$H21)*kgtoGg=0,"NO",('Activity data'!AQ8*EF!$H21)*kgtoGg)</f>
        <v>7.9545124288710786E-2</v>
      </c>
      <c r="Y1396" s="27">
        <f>IF(('Activity data'!AR8*EF!$H21)*kgtoGg=0,"NO",('Activity data'!AR8*EF!$H21)*kgtoGg)</f>
        <v>7.9993221888415164E-2</v>
      </c>
      <c r="Z1396" s="27">
        <f>IF(('Activity data'!AS8*EF!$H21)*kgtoGg=0,"NO",('Activity data'!AS8*EF!$H21)*kgtoGg)</f>
        <v>8.0342032341122221E-2</v>
      </c>
      <c r="AA1396" s="27">
        <f>IF(('Activity data'!AT8*EF!$H21)*kgtoGg=0,"NO",('Activity data'!AT8*EF!$H21)*kgtoGg)</f>
        <v>8.0558218611879576E-2</v>
      </c>
      <c r="AB1396" s="27">
        <f>IF(('Activity data'!AU8*EF!$H21)*kgtoGg=0,"NO",('Activity data'!AU8*EF!$H21)*kgtoGg)</f>
        <v>8.1198214942881639E-2</v>
      </c>
      <c r="AC1396" s="27">
        <f>IF(('Activity data'!AV8*EF!$H21)*kgtoGg=0,"NO",('Activity data'!AV8*EF!$H21)*kgtoGg)</f>
        <v>8.1774057106542911E-2</v>
      </c>
      <c r="AD1396" s="27">
        <f>IF(('Activity data'!AW8*EF!$H21)*kgtoGg=0,"NO",('Activity data'!AW8*EF!$H21)*kgtoGg)</f>
        <v>8.1803756887802739E-2</v>
      </c>
      <c r="AE1396" s="27">
        <f>IF(('Activity data'!AX8*EF!$H21)*kgtoGg=0,"NO",('Activity data'!AX8*EF!$H21)*kgtoGg)</f>
        <v>8.2189518118440233E-2</v>
      </c>
      <c r="AF1396" s="27">
        <f>IF(('Activity data'!AY8*EF!$H21)*kgtoGg=0,"NO",('Activity data'!AY8*EF!$H21)*kgtoGg)</f>
        <v>8.2699636683975147E-2</v>
      </c>
      <c r="AG1396" s="27">
        <f>IF(('Activity data'!AZ8*EF!$H21)*kgtoGg=0,"NO",('Activity data'!AZ8*EF!$H21)*kgtoGg)</f>
        <v>8.3556074547621109E-2</v>
      </c>
      <c r="AH1396" s="27">
        <f>IF(('Activity data'!BA8*EF!$H21)*kgtoGg=0,"NO",('Activity data'!BA8*EF!$H21)*kgtoGg)</f>
        <v>8.3692861347297365E-2</v>
      </c>
      <c r="AI1396" s="27">
        <f>IF(('Activity data'!BB8*EF!$H21)*kgtoGg=0,"NO",('Activity data'!BB8*EF!$H21)*kgtoGg)</f>
        <v>8.3678502694708126E-2</v>
      </c>
      <c r="AJ1396" s="27">
        <f>IF(('Activity data'!BC8*EF!$H21)*kgtoGg=0,"NO",('Activity data'!BC8*EF!$H21)*kgtoGg)</f>
        <v>8.380415826329729E-2</v>
      </c>
      <c r="AK1396" s="27">
        <f>IF(('Activity data'!BD8*EF!$H21)*kgtoGg=0,"NO",('Activity data'!BD8*EF!$H21)*kgtoGg)</f>
        <v>8.3780965761712248E-2</v>
      </c>
      <c r="AL1396" s="27">
        <f>IF(('Activity data'!BE8*EF!$H21)*kgtoGg=0,"NO",('Activity data'!BE8*EF!$H21)*kgtoGg)</f>
        <v>8.3798710851856847E-2</v>
      </c>
      <c r="AM1396" s="27">
        <f>IF(('Activity data'!BF8*EF!$H21)*kgtoGg=0,"NO",('Activity data'!BF8*EF!$H21)*kgtoGg)</f>
        <v>8.3758438816059183E-2</v>
      </c>
      <c r="AN1396" s="27">
        <f>IF(('Activity data'!BG8*EF!$H21)*kgtoGg=0,"NO",('Activity data'!BG8*EF!$H21)*kgtoGg)</f>
        <v>8.4359602001058728E-2</v>
      </c>
      <c r="AO1396" s="27">
        <f>IF(('Activity data'!BH8*EF!$H21)*kgtoGg=0,"NO",('Activity data'!BH8*EF!$H21)*kgtoGg)</f>
        <v>8.4799386999346651E-2</v>
      </c>
      <c r="AP1396" s="27">
        <f>IF(('Activity data'!BI8*EF!$H21)*kgtoGg=0,"NO",('Activity data'!BI8*EF!$H21)*kgtoGg)</f>
        <v>8.5213797519739967E-2</v>
      </c>
      <c r="AQ1396" s="27">
        <f>IF(('Activity data'!BJ8*EF!$H21)*kgtoGg=0,"NO",('Activity data'!BJ8*EF!$H21)*kgtoGg)</f>
        <v>8.5634541045958551E-2</v>
      </c>
      <c r="AR1396" s="27">
        <f>IF(('Activity data'!BK8*EF!$H21)*kgtoGg=0,"NO",('Activity data'!BK8*EF!$H21)*kgtoGg)</f>
        <v>8.6070741793779534E-2</v>
      </c>
      <c r="AS1396" s="27">
        <f>IF(('Activity data'!BL8*EF!$H21)*kgtoGg=0,"NO",('Activity data'!BL8*EF!$H21)*kgtoGg)</f>
        <v>8.6754318409979284E-2</v>
      </c>
      <c r="AT1396" s="27">
        <f>IF(('Activity data'!BM8*EF!$H21)*kgtoGg=0,"NO",('Activity data'!BM8*EF!$H21)*kgtoGg)</f>
        <v>8.6561782662480824E-2</v>
      </c>
      <c r="AU1396" s="27">
        <f>IF(('Activity data'!BN8*EF!$H21)*kgtoGg=0,"NO",('Activity data'!BN8*EF!$H21)*kgtoGg)</f>
        <v>8.6273112387571071E-2</v>
      </c>
      <c r="AV1396" s="27">
        <f>IF(('Activity data'!BO8*EF!$H21)*kgtoGg=0,"NO",('Activity data'!BO8*EF!$H21)*kgtoGg)</f>
        <v>8.5974128279328724E-2</v>
      </c>
      <c r="AW1396" s="27">
        <f>IF(('Activity data'!BP8*EF!$H21)*kgtoGg=0,"NO",('Activity data'!BP8*EF!$H21)*kgtoGg)</f>
        <v>8.5629055859458861E-2</v>
      </c>
    </row>
    <row r="1397" spans="1:49" x14ac:dyDescent="0.2">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6.9689449734106304E-2</v>
      </c>
      <c r="L1397" s="27">
        <f>IF(('Activity data'!AE9*EF!$H22)*kgtoGg=0,"NO",('Activity data'!AE9*EF!$H22)*kgtoGg)</f>
        <v>6.908505539244103E-2</v>
      </c>
      <c r="M1397" s="27">
        <f>IF(('Activity data'!AF9*EF!$H22)*kgtoGg=0,"NO",('Activity data'!AF9*EF!$H22)*kgtoGg)</f>
        <v>6.8854980763127793E-2</v>
      </c>
      <c r="N1397" s="27">
        <f>IF(('Activity data'!AG9*EF!$H22)*kgtoGg=0,"NO",('Activity data'!AG9*EF!$H22)*kgtoGg)</f>
        <v>6.7935512624264269E-2</v>
      </c>
      <c r="O1397" s="27">
        <f>IF(('Activity data'!AH9*EF!$H22)*kgtoGg=0,"NO",('Activity data'!AH9*EF!$H22)*kgtoGg)</f>
        <v>6.6600882165738284E-2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5.5235095528552075E-2</v>
      </c>
      <c r="T1397" s="27">
        <f>IF(('Activity data'!AM9*EF!$H22)*kgtoGg=0,"NO",('Activity data'!AM9*EF!$H22)*kgtoGg)</f>
        <v>5.629163243320303E-2</v>
      </c>
      <c r="U1397" s="27">
        <f>IF(('Activity data'!AN9*EF!$H22)*kgtoGg=0,"NO",('Activity data'!AN9*EF!$H22)*kgtoGg)</f>
        <v>5.6856522330279623E-2</v>
      </c>
      <c r="V1397" s="27">
        <f>IF(('Activity data'!AO9*EF!$H22)*kgtoGg=0,"NO",('Activity data'!AO9*EF!$H22)*kgtoGg)</f>
        <v>5.7291369348952612E-2</v>
      </c>
      <c r="W1397" s="27">
        <f>IF(('Activity data'!AP9*EF!$H22)*kgtoGg=0,"NO",('Activity data'!AP9*EF!$H22)*kgtoGg)</f>
        <v>5.7920525431327162E-2</v>
      </c>
      <c r="X1397" s="27">
        <f>IF(('Activity data'!AQ9*EF!$H22)*kgtoGg=0,"NO",('Activity data'!AQ9*EF!$H22)*kgtoGg)</f>
        <v>5.8431119189589487E-2</v>
      </c>
      <c r="Y1397" s="27">
        <f>IF(('Activity data'!AR9*EF!$H22)*kgtoGg=0,"NO",('Activity data'!AR9*EF!$H22)*kgtoGg)</f>
        <v>5.8760276312556113E-2</v>
      </c>
      <c r="Z1397" s="27">
        <f>IF(('Activity data'!AS9*EF!$H22)*kgtoGg=0,"NO",('Activity data'!AS9*EF!$H22)*kgtoGg)</f>
        <v>5.9016500503780274E-2</v>
      </c>
      <c r="AA1397" s="27">
        <f>IF(('Activity data'!AT9*EF!$H22)*kgtoGg=0,"NO",('Activity data'!AT9*EF!$H22)*kgtoGg)</f>
        <v>5.9175303521145986E-2</v>
      </c>
      <c r="AB1397" s="27">
        <f>IF(('Activity data'!AU9*EF!$H22)*kgtoGg=0,"NO",('Activity data'!AU9*EF!$H22)*kgtoGg)</f>
        <v>5.9645422868272187E-2</v>
      </c>
      <c r="AC1397" s="27">
        <f>IF(('Activity data'!AV9*EF!$H22)*kgtoGg=0,"NO",('Activity data'!AV9*EF!$H22)*kgtoGg)</f>
        <v>6.0068416765134525E-2</v>
      </c>
      <c r="AD1397" s="27">
        <f>IF(('Activity data'!AW9*EF!$H22)*kgtoGg=0,"NO",('Activity data'!AW9*EF!$H22)*kgtoGg)</f>
        <v>6.0090233205478502E-2</v>
      </c>
      <c r="AE1397" s="27">
        <f>IF(('Activity data'!AX9*EF!$H22)*kgtoGg=0,"NO",('Activity data'!AX9*EF!$H22)*kgtoGg)</f>
        <v>6.0373600170426478E-2</v>
      </c>
      <c r="AF1397" s="27">
        <f>IF(('Activity data'!AY9*EF!$H22)*kgtoGg=0,"NO",('Activity data'!AY9*EF!$H22)*kgtoGg)</f>
        <v>6.0748315767015518E-2</v>
      </c>
      <c r="AG1397" s="27">
        <f>IF(('Activity data'!AZ9*EF!$H22)*kgtoGg=0,"NO",('Activity data'!AZ9*EF!$H22)*kgtoGg)</f>
        <v>6.1377425638131498E-2</v>
      </c>
      <c r="AH1397" s="27">
        <f>IF(('Activity data'!BA9*EF!$H22)*kgtoGg=0,"NO",('Activity data'!BA9*EF!$H22)*kgtoGg)</f>
        <v>6.1477904528156692E-2</v>
      </c>
      <c r="AI1397" s="27">
        <f>IF(('Activity data'!BB9*EF!$H22)*kgtoGg=0,"NO",('Activity data'!BB9*EF!$H22)*kgtoGg)</f>
        <v>6.1467357154595496E-2</v>
      </c>
      <c r="AJ1397" s="27">
        <f>IF(('Activity data'!BC9*EF!$H22)*kgtoGg=0,"NO",('Activity data'!BC9*EF!$H22)*kgtoGg)</f>
        <v>6.1559659424165428E-2</v>
      </c>
      <c r="AK1397" s="27">
        <f>IF(('Activity data'!BD9*EF!$H22)*kgtoGg=0,"NO",('Activity data'!BD9*EF!$H22)*kgtoGg)</f>
        <v>6.1542623008212359E-2</v>
      </c>
      <c r="AL1397" s="27">
        <f>IF(('Activity data'!BE9*EF!$H22)*kgtoGg=0,"NO",('Activity data'!BE9*EF!$H22)*kgtoGg)</f>
        <v>6.155565794261645E-2</v>
      </c>
      <c r="AM1397" s="27">
        <f>IF(('Activity data'!BF9*EF!$H22)*kgtoGg=0,"NO",('Activity data'!BF9*EF!$H22)*kgtoGg)</f>
        <v>6.1526075486812389E-2</v>
      </c>
      <c r="AN1397" s="27">
        <f>IF(('Activity data'!BG9*EF!$H22)*kgtoGg=0,"NO",('Activity data'!BG9*EF!$H22)*kgtoGg)</f>
        <v>6.1967669337211172E-2</v>
      </c>
      <c r="AO1397" s="27">
        <f>IF(('Activity data'!BH9*EF!$H22)*kgtoGg=0,"NO",('Activity data'!BH9*EF!$H22)*kgtoGg)</f>
        <v>6.2290720308374216E-2</v>
      </c>
      <c r="AP1397" s="27">
        <f>IF(('Activity data'!BI9*EF!$H22)*kgtoGg=0,"NO",('Activity data'!BI9*EF!$H22)*kgtoGg)</f>
        <v>6.2595132058648639E-2</v>
      </c>
      <c r="AQ1397" s="27">
        <f>IF(('Activity data'!BJ9*EF!$H22)*kgtoGg=0,"NO",('Activity data'!BJ9*EF!$H22)*kgtoGg)</f>
        <v>6.2904195817723246E-2</v>
      </c>
      <c r="AR1397" s="27">
        <f>IF(('Activity data'!BK9*EF!$H22)*kgtoGg=0,"NO",('Activity data'!BK9*EF!$H22)*kgtoGg)</f>
        <v>6.3224613921465334E-2</v>
      </c>
      <c r="AS1397" s="27">
        <f>IF(('Activity data'!BL9*EF!$H22)*kgtoGg=0,"NO",('Activity data'!BL9*EF!$H22)*kgtoGg)</f>
        <v>6.3726745850902156E-2</v>
      </c>
      <c r="AT1397" s="27">
        <f>IF(('Activity data'!BM9*EF!$H22)*kgtoGg=0,"NO",('Activity data'!BM9*EF!$H22)*kgtoGg)</f>
        <v>6.3585315696496877E-2</v>
      </c>
      <c r="AU1397" s="27">
        <f>IF(('Activity data'!BN9*EF!$H22)*kgtoGg=0,"NO",('Activity data'!BN9*EF!$H22)*kgtoGg)</f>
        <v>6.3373268416533846E-2</v>
      </c>
      <c r="AV1397" s="27">
        <f>IF(('Activity data'!BO9*EF!$H22)*kgtoGg=0,"NO",('Activity data'!BO9*EF!$H22)*kgtoGg)</f>
        <v>6.3153644948461887E-2</v>
      </c>
      <c r="AW1397" s="27">
        <f>IF(('Activity data'!BP9*EF!$H22)*kgtoGg=0,"NO",('Activity data'!BP9*EF!$H22)*kgtoGg)</f>
        <v>6.2900166587911782E-2</v>
      </c>
    </row>
    <row r="1398" spans="1:49" x14ac:dyDescent="0.2">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0.48695387967725956</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0.53070826286138573</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0.51624279949509155</v>
      </c>
      <c r="T1398" s="27">
        <f>IF(('Activity data'!AM10*EF!$H23)*kgtoGg=0,"NO",('Activity data'!AM10*EF!$H23)*kgtoGg)</f>
        <v>0.53879307932677856</v>
      </c>
      <c r="U1398" s="27">
        <f>IF(('Activity data'!AN10*EF!$H23)*kgtoGg=0,"NO",('Activity data'!AN10*EF!$H23)*kgtoGg)</f>
        <v>0.55713109899852753</v>
      </c>
      <c r="V1398" s="27">
        <f>IF(('Activity data'!AO10*EF!$H23)*kgtoGg=0,"NO",('Activity data'!AO10*EF!$H23)*kgtoGg)</f>
        <v>0.57456229359809852</v>
      </c>
      <c r="W1398" s="27">
        <f>IF(('Activity data'!AP10*EF!$H23)*kgtoGg=0,"NO",('Activity data'!AP10*EF!$H23)*kgtoGg)</f>
        <v>0.59433872658918863</v>
      </c>
      <c r="X1398" s="27">
        <f>IF(('Activity data'!AQ10*EF!$H23)*kgtoGg=0,"NO",('Activity data'!AQ10*EF!$H23)*kgtoGg)</f>
        <v>0.61332693480888556</v>
      </c>
      <c r="Y1398" s="27">
        <f>IF(('Activity data'!AR10*EF!$H23)*kgtoGg=0,"NO",('Activity data'!AR10*EF!$H23)*kgtoGg)</f>
        <v>0.63078242094770143</v>
      </c>
      <c r="Z1398" s="27">
        <f>IF(('Activity data'!AS10*EF!$H23)*kgtoGg=0,"NO",('Activity data'!AS10*EF!$H23)*kgtoGg)</f>
        <v>0.64777903840881934</v>
      </c>
      <c r="AA1398" s="27">
        <f>IF(('Activity data'!AT10*EF!$H23)*kgtoGg=0,"NO",('Activity data'!AT10*EF!$H23)*kgtoGg)</f>
        <v>0.66400113500174907</v>
      </c>
      <c r="AB1398" s="27">
        <f>IF(('Activity data'!AU10*EF!$H23)*kgtoGg=0,"NO",('Activity data'!AU10*EF!$H23)*kgtoGg)</f>
        <v>0.68407603128870909</v>
      </c>
      <c r="AC1398" s="27">
        <f>IF(('Activity data'!AV10*EF!$H23)*kgtoGg=0,"NO",('Activity data'!AV10*EF!$H23)*kgtoGg)</f>
        <v>0.70404867201485544</v>
      </c>
      <c r="AD1398" s="27">
        <f>IF(('Activity data'!AW10*EF!$H23)*kgtoGg=0,"NO",('Activity data'!AW10*EF!$H23)*kgtoGg)</f>
        <v>0.72766101903000513</v>
      </c>
      <c r="AE1398" s="27">
        <f>IF(('Activity data'!AX10*EF!$H23)*kgtoGg=0,"NO",('Activity data'!AX10*EF!$H23)*kgtoGg)</f>
        <v>0.75538392864169213</v>
      </c>
      <c r="AF1398" s="27">
        <f>IF(('Activity data'!AY10*EF!$H23)*kgtoGg=0,"NO",('Activity data'!AY10*EF!$H23)*kgtoGg)</f>
        <v>0.78539118200338776</v>
      </c>
      <c r="AG1398" s="27">
        <f>IF(('Activity data'!AZ10*EF!$H23)*kgtoGg=0,"NO",('Activity data'!AZ10*EF!$H23)*kgtoGg)</f>
        <v>0.8200419216488164</v>
      </c>
      <c r="AH1398" s="27">
        <f>IF(('Activity data'!BA10*EF!$H23)*kgtoGg=0,"NO",('Activity data'!BA10*EF!$H23)*kgtoGg)</f>
        <v>0.8489366901406914</v>
      </c>
      <c r="AI1398" s="27">
        <f>IF(('Activity data'!BB10*EF!$H23)*kgtoGg=0,"NO",('Activity data'!BB10*EF!$H23)*kgtoGg)</f>
        <v>0.87738791798686844</v>
      </c>
      <c r="AJ1398" s="27">
        <f>IF(('Activity data'!BC10*EF!$H23)*kgtoGg=0,"NO",('Activity data'!BC10*EF!$H23)*kgtoGg)</f>
        <v>0.90845821020325546</v>
      </c>
      <c r="AK1398" s="27">
        <f>IF(('Activity data'!BD10*EF!$H23)*kgtoGg=0,"NO",('Activity data'!BD10*EF!$H23)*kgtoGg)</f>
        <v>0.93913064377113187</v>
      </c>
      <c r="AL1398" s="27">
        <f>IF(('Activity data'!BE10*EF!$H23)*kgtoGg=0,"NO",('Activity data'!BE10*EF!$H23)*kgtoGg)</f>
        <v>0.97151128715932467</v>
      </c>
      <c r="AM1398" s="27">
        <f>IF(('Activity data'!BF10*EF!$H23)*kgtoGg=0,"NO",('Activity data'!BF10*EF!$H23)*kgtoGg)</f>
        <v>1.0045387395175103</v>
      </c>
      <c r="AN1398" s="27">
        <f>IF(('Activity data'!BG10*EF!$H23)*kgtoGg=0,"NO",('Activity data'!BG10*EF!$H23)*kgtoGg)</f>
        <v>1.0402953867873999</v>
      </c>
      <c r="AO1398" s="27">
        <f>IF(('Activity data'!BH10*EF!$H23)*kgtoGg=0,"NO",('Activity data'!BH10*EF!$H23)*kgtoGg)</f>
        <v>1.0753258690752492</v>
      </c>
      <c r="AP1398" s="27">
        <f>IF(('Activity data'!BI10*EF!$H23)*kgtoGg=0,"NO",('Activity data'!BI10*EF!$H23)*kgtoGg)</f>
        <v>1.1112943424505797</v>
      </c>
      <c r="AQ1398" s="27">
        <f>IF(('Activity data'!BJ10*EF!$H23)*kgtoGg=0,"NO",('Activity data'!BJ10*EF!$H23)*kgtoGg)</f>
        <v>1.1486611306142331</v>
      </c>
      <c r="AR1398" s="27">
        <f>IF(('Activity data'!BK10*EF!$H23)*kgtoGg=0,"NO",('Activity data'!BK10*EF!$H23)*kgtoGg)</f>
        <v>1.1876258937828315</v>
      </c>
      <c r="AS1398" s="27">
        <f>IF(('Activity data'!BL10*EF!$H23)*kgtoGg=0,"NO",('Activity data'!BL10*EF!$H23)*kgtoGg)</f>
        <v>1.2315704356820807</v>
      </c>
      <c r="AT1398" s="27">
        <f>IF(('Activity data'!BM10*EF!$H23)*kgtoGg=0,"NO",('Activity data'!BM10*EF!$H23)*kgtoGg)</f>
        <v>1.2644650423303223</v>
      </c>
      <c r="AU1398" s="27">
        <f>IF(('Activity data'!BN10*EF!$H23)*kgtoGg=0,"NO",('Activity data'!BN10*EF!$H23)*kgtoGg)</f>
        <v>1.2970080883934705</v>
      </c>
      <c r="AV1398" s="27">
        <f>IF(('Activity data'!BO10*EF!$H23)*kgtoGg=0,"NO",('Activity data'!BO10*EF!$H23)*kgtoGg)</f>
        <v>1.3304588860507658</v>
      </c>
      <c r="AW1398" s="27">
        <f>IF(('Activity data'!BP10*EF!$H23)*kgtoGg=0,"NO",('Activity data'!BP10*EF!$H23)*kgtoGg)</f>
        <v>1.3642912097880298</v>
      </c>
    </row>
    <row r="1399" spans="1:49" x14ac:dyDescent="0.2">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3.6781380176720842E-2</v>
      </c>
      <c r="T1399" s="27">
        <f>IF(('Activity data'!AM11*EF!$H24)*kgtoGg=0,"NO",('Activity data'!AM11*EF!$H24)*kgtoGg)</f>
        <v>3.6837395233082854E-2</v>
      </c>
      <c r="U1399" s="27">
        <f>IF(('Activity data'!AN11*EF!$H24)*kgtoGg=0,"NO",('Activity data'!AN11*EF!$H24)*kgtoGg)</f>
        <v>3.6900705652170011E-2</v>
      </c>
      <c r="V1399" s="27">
        <f>IF(('Activity data'!AO11*EF!$H24)*kgtoGg=0,"NO",('Activity data'!AO11*EF!$H24)*kgtoGg)</f>
        <v>3.6972125402225033E-2</v>
      </c>
      <c r="W1399" s="27">
        <f>IF(('Activity data'!AP11*EF!$H24)*kgtoGg=0,"NO",('Activity data'!AP11*EF!$H24)*kgtoGg)</f>
        <v>3.7052467371172147E-2</v>
      </c>
      <c r="X1399" s="27">
        <f>IF(('Activity data'!AQ11*EF!$H24)*kgtoGg=0,"NO",('Activity data'!AQ11*EF!$H24)*kgtoGg)</f>
        <v>3.7140056258746688E-2</v>
      </c>
      <c r="Y1399" s="27">
        <f>IF(('Activity data'!AR11*EF!$H24)*kgtoGg=0,"NO",('Activity data'!AR11*EF!$H24)*kgtoGg)</f>
        <v>3.7193327101982677E-2</v>
      </c>
      <c r="Z1399" s="27">
        <f>IF(('Activity data'!AS11*EF!$H24)*kgtoGg=0,"NO",('Activity data'!AS11*EF!$H24)*kgtoGg)</f>
        <v>3.725282757032642E-2</v>
      </c>
      <c r="AA1399" s="27">
        <f>IF(('Activity data'!AT11*EF!$H24)*kgtoGg=0,"NO",('Activity data'!AT11*EF!$H24)*kgtoGg)</f>
        <v>3.7318121191736012E-2</v>
      </c>
      <c r="AB1399" s="27">
        <f>IF(('Activity data'!AU11*EF!$H24)*kgtoGg=0,"NO",('Activity data'!AU11*EF!$H24)*kgtoGg)</f>
        <v>3.7390686259807883E-2</v>
      </c>
      <c r="AC1399" s="27">
        <f>IF(('Activity data'!AV11*EF!$H24)*kgtoGg=0,"NO",('Activity data'!AV11*EF!$H24)*kgtoGg)</f>
        <v>3.7468739847843706E-2</v>
      </c>
      <c r="AD1399" s="27">
        <f>IF(('Activity data'!AW11*EF!$H24)*kgtoGg=0,"NO",('Activity data'!AW11*EF!$H24)*kgtoGg)</f>
        <v>3.751974247344389E-2</v>
      </c>
      <c r="AE1399" s="27">
        <f>IF(('Activity data'!AX11*EF!$H24)*kgtoGg=0,"NO",('Activity data'!AX11*EF!$H24)*kgtoGg)</f>
        <v>3.7576993148623769E-2</v>
      </c>
      <c r="AF1399" s="27">
        <f>IF(('Activity data'!AY11*EF!$H24)*kgtoGg=0,"NO",('Activity data'!AY11*EF!$H24)*kgtoGg)</f>
        <v>3.7639577283476555E-2</v>
      </c>
      <c r="AG1399" s="27">
        <f>IF(('Activity data'!AZ11*EF!$H24)*kgtoGg=0,"NO",('Activity data'!AZ11*EF!$H24)*kgtoGg)</f>
        <v>3.7708144828082185E-2</v>
      </c>
      <c r="AH1399" s="27">
        <f>IF(('Activity data'!BA11*EF!$H24)*kgtoGg=0,"NO",('Activity data'!BA11*EF!$H24)*kgtoGg)</f>
        <v>3.7778741786852331E-2</v>
      </c>
      <c r="AI1399" s="27">
        <f>IF(('Activity data'!BB11*EF!$H24)*kgtoGg=0,"NO",('Activity data'!BB11*EF!$H24)*kgtoGg)</f>
        <v>3.7822008909384815E-2</v>
      </c>
      <c r="AJ1399" s="27">
        <f>IF(('Activity data'!BC11*EF!$H24)*kgtoGg=0,"NO",('Activity data'!BC11*EF!$H24)*kgtoGg)</f>
        <v>3.7869806060801224E-2</v>
      </c>
      <c r="AK1399" s="27">
        <f>IF(('Activity data'!BD11*EF!$H24)*kgtoGg=0,"NO",('Activity data'!BD11*EF!$H24)*kgtoGg)</f>
        <v>3.7920914851450743E-2</v>
      </c>
      <c r="AL1399" s="27">
        <f>IF(('Activity data'!BE11*EF!$H24)*kgtoGg=0,"NO",('Activity data'!BE11*EF!$H24)*kgtoGg)</f>
        <v>3.7975943332366417E-2</v>
      </c>
      <c r="AM1399" s="27">
        <f>IF(('Activity data'!BF11*EF!$H24)*kgtoGg=0,"NO",('Activity data'!BF11*EF!$H24)*kgtoGg)</f>
        <v>3.8034394238678673E-2</v>
      </c>
      <c r="AN1399" s="27">
        <f>IF(('Activity data'!BG11*EF!$H24)*kgtoGg=0,"NO",('Activity data'!BG11*EF!$H24)*kgtoGg)</f>
        <v>3.8068290997096535E-2</v>
      </c>
      <c r="AO1399" s="27">
        <f>IF(('Activity data'!BH11*EF!$H24)*kgtoGg=0,"NO",('Activity data'!BH11*EF!$H24)*kgtoGg)</f>
        <v>3.8104751343434065E-2</v>
      </c>
      <c r="AP1399" s="27">
        <f>IF(('Activity data'!BI11*EF!$H24)*kgtoGg=0,"NO",('Activity data'!BI11*EF!$H24)*kgtoGg)</f>
        <v>3.8144241244256513E-2</v>
      </c>
      <c r="AQ1399" s="27">
        <f>IF(('Activity data'!BJ11*EF!$H24)*kgtoGg=0,"NO",('Activity data'!BJ11*EF!$H24)*kgtoGg)</f>
        <v>3.8186815214812375E-2</v>
      </c>
      <c r="AR1399" s="27">
        <f>IF(('Activity data'!BK11*EF!$H24)*kgtoGg=0,"NO",('Activity data'!BK11*EF!$H24)*kgtoGg)</f>
        <v>3.8232443493664919E-2</v>
      </c>
      <c r="AS1399" s="27">
        <f>IF(('Activity data'!BL11*EF!$H24)*kgtoGg=0,"NO",('Activity data'!BL11*EF!$H24)*kgtoGg)</f>
        <v>3.825284618540576E-2</v>
      </c>
      <c r="AT1399" s="27">
        <f>IF(('Activity data'!BM11*EF!$H24)*kgtoGg=0,"NO",('Activity data'!BM11*EF!$H24)*kgtoGg)</f>
        <v>3.8271836221950122E-2</v>
      </c>
      <c r="AU1399" s="27">
        <f>IF(('Activity data'!BN11*EF!$H24)*kgtoGg=0,"NO",('Activity data'!BN11*EF!$H24)*kgtoGg)</f>
        <v>3.8292888607538426E-2</v>
      </c>
      <c r="AV1399" s="27">
        <f>IF(('Activity data'!BO11*EF!$H24)*kgtoGg=0,"NO",('Activity data'!BO11*EF!$H24)*kgtoGg)</f>
        <v>3.8316340791445545E-2</v>
      </c>
      <c r="AW1399" s="27">
        <f>IF(('Activity data'!BP11*EF!$H24)*kgtoGg=0,"NO",('Activity data'!BP11*EF!$H24)*kgtoGg)</f>
        <v>3.8341951349881082E-2</v>
      </c>
    </row>
    <row r="1400" spans="1:49" x14ac:dyDescent="0.2">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4.2006089356439562E-3</v>
      </c>
      <c r="T1400" s="27">
        <f>IF(('Activity data'!AM12*EF!$H25)*kgtoGg=0,"NO",('Activity data'!AM12*EF!$H25)*kgtoGg)</f>
        <v>4.2070061220778072E-3</v>
      </c>
      <c r="U1400" s="27">
        <f>IF(('Activity data'!AN12*EF!$H25)*kgtoGg=0,"NO",('Activity data'!AN12*EF!$H25)*kgtoGg)</f>
        <v>4.2142364737084185E-3</v>
      </c>
      <c r="V1400" s="27">
        <f>IF(('Activity data'!AO12*EF!$H25)*kgtoGg=0,"NO",('Activity data'!AO12*EF!$H25)*kgtoGg)</f>
        <v>4.2223929495889085E-3</v>
      </c>
      <c r="W1400" s="27">
        <f>IF(('Activity data'!AP12*EF!$H25)*kgtoGg=0,"NO",('Activity data'!AP12*EF!$H25)*kgtoGg)</f>
        <v>4.2315683853948781E-3</v>
      </c>
      <c r="X1400" s="27">
        <f>IF(('Activity data'!AQ12*EF!$H25)*kgtoGg=0,"NO",('Activity data'!AQ12*EF!$H25)*kgtoGg)</f>
        <v>4.2415714538507386E-3</v>
      </c>
      <c r="Y1400" s="27">
        <f>IF(('Activity data'!AR12*EF!$H25)*kgtoGg=0,"NO",('Activity data'!AR12*EF!$H25)*kgtoGg)</f>
        <v>4.2476552380652311E-3</v>
      </c>
      <c r="Z1400" s="27">
        <f>IF(('Activity data'!AS12*EF!$H25)*kgtoGg=0,"NO",('Activity data'!AS12*EF!$H25)*kgtoGg)</f>
        <v>4.2544504751607076E-3</v>
      </c>
      <c r="AA1400" s="27">
        <f>IF(('Activity data'!AT12*EF!$H25)*kgtoGg=0,"NO",('Activity data'!AT12*EF!$H25)*kgtoGg)</f>
        <v>4.261907317949531E-3</v>
      </c>
      <c r="AB1400" s="27">
        <f>IF(('Activity data'!AU12*EF!$H25)*kgtoGg=0,"NO",('Activity data'!AU12*EF!$H25)*kgtoGg)</f>
        <v>4.2701945946067351E-3</v>
      </c>
      <c r="AC1400" s="27">
        <f>IF(('Activity data'!AV12*EF!$H25)*kgtoGg=0,"NO",('Activity data'!AV12*EF!$H25)*kgtoGg)</f>
        <v>4.2791086864050034E-3</v>
      </c>
      <c r="AD1400" s="27">
        <f>IF(('Activity data'!AW12*EF!$H25)*kgtoGg=0,"NO",('Activity data'!AW12*EF!$H25)*kgtoGg)</f>
        <v>4.284933429353965E-3</v>
      </c>
      <c r="AE1400" s="27">
        <f>IF(('Activity data'!AX12*EF!$H25)*kgtoGg=0,"NO",('Activity data'!AX12*EF!$H25)*kgtoGg)</f>
        <v>4.2914717293464286E-3</v>
      </c>
      <c r="AF1400" s="27">
        <f>IF(('Activity data'!AY12*EF!$H25)*kgtoGg=0,"NO",('Activity data'!AY12*EF!$H25)*kgtoGg)</f>
        <v>4.2986191358556219E-3</v>
      </c>
      <c r="AG1400" s="27">
        <f>IF(('Activity data'!AZ12*EF!$H25)*kgtoGg=0,"NO",('Activity data'!AZ12*EF!$H25)*kgtoGg)</f>
        <v>4.3064498762786759E-3</v>
      </c>
      <c r="AH1400" s="27">
        <f>IF(('Activity data'!BA12*EF!$H25)*kgtoGg=0,"NO",('Activity data'!BA12*EF!$H25)*kgtoGg)</f>
        <v>4.3145123854725761E-3</v>
      </c>
      <c r="AI1400" s="27">
        <f>IF(('Activity data'!BB12*EF!$H25)*kgtoGg=0,"NO",('Activity data'!BB12*EF!$H25)*kgtoGg)</f>
        <v>4.3194536970997174E-3</v>
      </c>
      <c r="AJ1400" s="27">
        <f>IF(('Activity data'!BC12*EF!$H25)*kgtoGg=0,"NO",('Activity data'!BC12*EF!$H25)*kgtoGg)</f>
        <v>4.3249123596179112E-3</v>
      </c>
      <c r="AK1400" s="27">
        <f>IF(('Activity data'!BD12*EF!$H25)*kgtoGg=0,"NO",('Activity data'!BD12*EF!$H25)*kgtoGg)</f>
        <v>4.3307492271215465E-3</v>
      </c>
      <c r="AL1400" s="27">
        <f>IF(('Activity data'!BE12*EF!$H25)*kgtoGg=0,"NO",('Activity data'!BE12*EF!$H25)*kgtoGg)</f>
        <v>4.3370337419368866E-3</v>
      </c>
      <c r="AM1400" s="27">
        <f>IF(('Activity data'!BF12*EF!$H25)*kgtoGg=0,"NO",('Activity data'!BF12*EF!$H25)*kgtoGg)</f>
        <v>4.3437091140456031E-3</v>
      </c>
      <c r="AN1400" s="27">
        <f>IF(('Activity data'!BG12*EF!$H25)*kgtoGg=0,"NO",('Activity data'!BG12*EF!$H25)*kgtoGg)</f>
        <v>4.3475802854267562E-3</v>
      </c>
      <c r="AO1400" s="27">
        <f>IF(('Activity data'!BH12*EF!$H25)*kgtoGg=0,"NO",('Activity data'!BH12*EF!$H25)*kgtoGg)</f>
        <v>4.3517442307677472E-3</v>
      </c>
      <c r="AP1400" s="27">
        <f>IF(('Activity data'!BI12*EF!$H25)*kgtoGg=0,"NO",('Activity data'!BI12*EF!$H25)*kgtoGg)</f>
        <v>4.3562541656713728E-3</v>
      </c>
      <c r="AQ1400" s="27">
        <f>IF(('Activity data'!BJ12*EF!$H25)*kgtoGg=0,"NO",('Activity data'!BJ12*EF!$H25)*kgtoGg)</f>
        <v>4.3611163160388556E-3</v>
      </c>
      <c r="AR1400" s="27">
        <f>IF(('Activity data'!BK12*EF!$H25)*kgtoGg=0,"NO",('Activity data'!BK12*EF!$H25)*kgtoGg)</f>
        <v>4.3663272829722651E-3</v>
      </c>
      <c r="AS1400" s="27">
        <f>IF(('Activity data'!BL12*EF!$H25)*kgtoGg=0,"NO",('Activity data'!BL12*EF!$H25)*kgtoGg)</f>
        <v>4.3686573676190608E-3</v>
      </c>
      <c r="AT1400" s="27">
        <f>IF(('Activity data'!BM12*EF!$H25)*kgtoGg=0,"NO",('Activity data'!BM12*EF!$H25)*kgtoGg)</f>
        <v>4.3708261203089602E-3</v>
      </c>
      <c r="AU1400" s="27">
        <f>IF(('Activity data'!BN12*EF!$H25)*kgtoGg=0,"NO",('Activity data'!BN12*EF!$H25)*kgtoGg)</f>
        <v>4.3732304030899213E-3</v>
      </c>
      <c r="AV1400" s="27">
        <f>IF(('Activity data'!BO12*EF!$H25)*kgtoGg=0,"NO",('Activity data'!BO12*EF!$H25)*kgtoGg)</f>
        <v>4.3759087542775948E-3</v>
      </c>
      <c r="AW1400" s="27">
        <f>IF(('Activity data'!BP12*EF!$H25)*kgtoGg=0,"NO",('Activity data'!BP12*EF!$H25)*kgtoGg)</f>
        <v>4.3788336021243655E-3</v>
      </c>
    </row>
    <row r="1401" spans="1:49" x14ac:dyDescent="0.2">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1.5789672763163298E-2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1.5956318300360574E-2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1.623065478441902E-2</v>
      </c>
      <c r="R1401" s="27">
        <f>IF(('Activity data'!AK13*EF!$H26)*kgtoGg=0,"NO",('Activity data'!AK13*EF!$H26)*kgtoGg)</f>
        <v>1.6337439810579345E-2</v>
      </c>
      <c r="S1401" s="27">
        <f>IF(('Activity data'!AL13*EF!$H26)*kgtoGg=0,"NO",('Activity data'!AL13*EF!$H26)*kgtoGg)</f>
        <v>1.643554333202487E-2</v>
      </c>
      <c r="T1401" s="27">
        <f>IF(('Activity data'!AM13*EF!$H26)*kgtoGg=0,"NO",('Activity data'!AM13*EF!$H26)*kgtoGg)</f>
        <v>1.6483301762184554E-2</v>
      </c>
      <c r="U1401" s="27">
        <f>IF(('Activity data'!AN13*EF!$H26)*kgtoGg=0,"NO",('Activity data'!AN13*EF!$H26)*kgtoGg)</f>
        <v>1.6534634024242746E-2</v>
      </c>
      <c r="V1401" s="27">
        <f>IF(('Activity data'!AO13*EF!$H26)*kgtoGg=0,"NO",('Activity data'!AO13*EF!$H26)*kgtoGg)</f>
        <v>1.6590167866284391E-2</v>
      </c>
      <c r="W1401" s="27">
        <f>IF(('Activity data'!AP13*EF!$H26)*kgtoGg=0,"NO",('Activity data'!AP13*EF!$H26)*kgtoGg)</f>
        <v>1.6650513034667372E-2</v>
      </c>
      <c r="X1401" s="27">
        <f>IF(('Activity data'!AQ13*EF!$H26)*kgtoGg=0,"NO",('Activity data'!AQ13*EF!$H26)*kgtoGg)</f>
        <v>1.6714595783630822E-2</v>
      </c>
      <c r="Y1401" s="27">
        <f>IF(('Activity data'!AR13*EF!$H26)*kgtoGg=0,"NO",('Activity data'!AR13*EF!$H26)*kgtoGg)</f>
        <v>1.675465761621437E-2</v>
      </c>
      <c r="Z1401" s="27">
        <f>IF(('Activity data'!AS13*EF!$H26)*kgtoGg=0,"NO",('Activity data'!AS13*EF!$H26)*kgtoGg)</f>
        <v>1.6797993910304499E-2</v>
      </c>
      <c r="AA1401" s="27">
        <f>IF(('Activity data'!AT13*EF!$H26)*kgtoGg=0,"NO",('Activity data'!AT13*EF!$H26)*kgtoGg)</f>
        <v>1.6844349786289844E-2</v>
      </c>
      <c r="AB1401" s="27">
        <f>IF(('Activity data'!AU13*EF!$H26)*kgtoGg=0,"NO",('Activity data'!AU13*EF!$H26)*kgtoGg)</f>
        <v>1.6894740217603017E-2</v>
      </c>
      <c r="AC1401" s="27">
        <f>IF(('Activity data'!AV13*EF!$H26)*kgtoGg=0,"NO",('Activity data'!AV13*EF!$H26)*kgtoGg)</f>
        <v>1.6948004409300596E-2</v>
      </c>
      <c r="AD1401" s="27">
        <f>IF(('Activity data'!AW13*EF!$H26)*kgtoGg=0,"NO",('Activity data'!AW13*EF!$H26)*kgtoGg)</f>
        <v>1.6982631842965532E-2</v>
      </c>
      <c r="AE1401" s="27">
        <f>IF(('Activity data'!AX13*EF!$H26)*kgtoGg=0,"NO",('Activity data'!AX13*EF!$H26)*kgtoGg)</f>
        <v>1.7020769407942386E-2</v>
      </c>
      <c r="AF1401" s="27">
        <f>IF(('Activity data'!AY13*EF!$H26)*kgtoGg=0,"NO",('Activity data'!AY13*EF!$H26)*kgtoGg)</f>
        <v>1.706182735565186E-2</v>
      </c>
      <c r="AG1401" s="27">
        <f>IF(('Activity data'!AZ13*EF!$H26)*kgtoGg=0,"NO",('Activity data'!AZ13*EF!$H26)*kgtoGg)</f>
        <v>1.7106247534338585E-2</v>
      </c>
      <c r="AH1401" s="27">
        <f>IF(('Activity data'!BA13*EF!$H26)*kgtoGg=0,"NO",('Activity data'!BA13*EF!$H26)*kgtoGg)</f>
        <v>1.7151443283113514E-2</v>
      </c>
      <c r="AI1401" s="27">
        <f>IF(('Activity data'!BB13*EF!$H26)*kgtoGg=0,"NO",('Activity data'!BB13*EF!$H26)*kgtoGg)</f>
        <v>1.7178196369350997E-2</v>
      </c>
      <c r="AJ1401" s="27">
        <f>IF(('Activity data'!BC13*EF!$H26)*kgtoGg=0,"NO",('Activity data'!BC13*EF!$H26)*kgtoGg)</f>
        <v>1.7207475551738096E-2</v>
      </c>
      <c r="AK1401" s="27">
        <f>IF(('Activity data'!BD13*EF!$H26)*kgtoGg=0,"NO",('Activity data'!BD13*EF!$H26)*kgtoGg)</f>
        <v>1.7238492794342867E-2</v>
      </c>
      <c r="AL1401" s="27">
        <f>IF(('Activity data'!BE13*EF!$H26)*kgtoGg=0,"NO",('Activity data'!BE13*EF!$H26)*kgtoGg)</f>
        <v>1.7271654863993541E-2</v>
      </c>
      <c r="AM1401" s="27">
        <f>IF(('Activity data'!BF13*EF!$H26)*kgtoGg=0,"NO",('Activity data'!BF13*EF!$H26)*kgtoGg)</f>
        <v>1.7306645282033659E-2</v>
      </c>
      <c r="AN1401" s="27">
        <f>IF(('Activity data'!BG13*EF!$H26)*kgtoGg=0,"NO",('Activity data'!BG13*EF!$H26)*kgtoGg)</f>
        <v>1.7325303131063272E-2</v>
      </c>
      <c r="AO1401" s="27">
        <f>IF(('Activity data'!BH13*EF!$H26)*kgtoGg=0,"NO",('Activity data'!BH13*EF!$H26)*kgtoGg)</f>
        <v>1.7345310027733502E-2</v>
      </c>
      <c r="AP1401" s="27">
        <f>IF(('Activity data'!BI13*EF!$H26)*kgtoGg=0,"NO",('Activity data'!BI13*EF!$H26)*kgtoGg)</f>
        <v>1.73669746106416E-2</v>
      </c>
      <c r="AQ1401" s="27">
        <f>IF(('Activity data'!BJ13*EF!$H26)*kgtoGg=0,"NO",('Activity data'!BJ13*EF!$H26)*kgtoGg)</f>
        <v>1.7390336782594662E-2</v>
      </c>
      <c r="AR1401" s="27">
        <f>IF(('Activity data'!BK13*EF!$H26)*kgtoGg=0,"NO",('Activity data'!BK13*EF!$H26)*kgtoGg)</f>
        <v>1.7415381119938025E-2</v>
      </c>
      <c r="AS1401" s="27">
        <f>IF(('Activity data'!BL13*EF!$H26)*kgtoGg=0,"NO",('Activity data'!BL13*EF!$H26)*kgtoGg)</f>
        <v>1.7423900612777786E-2</v>
      </c>
      <c r="AT1401" s="27">
        <f>IF(('Activity data'!BM13*EF!$H26)*kgtoGg=0,"NO",('Activity data'!BM13*EF!$H26)*kgtoGg)</f>
        <v>1.7431295916305947E-2</v>
      </c>
      <c r="AU1401" s="27">
        <f>IF(('Activity data'!BN13*EF!$H26)*kgtoGg=0,"NO",('Activity data'!BN13*EF!$H26)*kgtoGg)</f>
        <v>1.7439812218621446E-2</v>
      </c>
      <c r="AV1401" s="27">
        <f>IF(('Activity data'!BO13*EF!$H26)*kgtoGg=0,"NO",('Activity data'!BO13*EF!$H26)*kgtoGg)</f>
        <v>1.7449669082955088E-2</v>
      </c>
      <c r="AW1401" s="27">
        <f>IF(('Activity data'!BP13*EF!$H26)*kgtoGg=0,"NO",('Activity data'!BP13*EF!$H26)*kgtoGg)</f>
        <v>1.7460713883303017E-2</v>
      </c>
    </row>
    <row r="1402" spans="1:49" x14ac:dyDescent="0.2">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2.6592218800664796E-2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2.6872875319249701E-2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2.7334899828466049E-2</v>
      </c>
      <c r="R1402" s="27">
        <f>IF(('Activity data'!AK14*EF!$H27)*kgtoGg=0,"NO",('Activity data'!AK14*EF!$H27)*kgtoGg)</f>
        <v>2.7514742110372921E-2</v>
      </c>
      <c r="S1402" s="27">
        <f>IF(('Activity data'!AL14*EF!$H27)*kgtoGg=0,"NO",('Activity data'!AL14*EF!$H27)*kgtoGg)</f>
        <v>2.7679963413342622E-2</v>
      </c>
      <c r="T1402" s="27">
        <f>IF(('Activity data'!AM14*EF!$H27)*kgtoGg=0,"NO",('Activity data'!AM14*EF!$H27)*kgtoGg)</f>
        <v>2.7760395898767241E-2</v>
      </c>
      <c r="U1402" s="27">
        <f>IF(('Activity data'!AN14*EF!$H27)*kgtoGg=0,"NO",('Activity data'!AN14*EF!$H27)*kgtoGg)</f>
        <v>2.7846847262557959E-2</v>
      </c>
      <c r="V1402" s="27">
        <f>IF(('Activity data'!AO14*EF!$H27)*kgtoGg=0,"NO",('Activity data'!AO14*EF!$H27)*kgtoGg)</f>
        <v>2.7940374728298613E-2</v>
      </c>
      <c r="W1402" s="27">
        <f>IF(('Activity data'!AP14*EF!$H27)*kgtoGg=0,"NO",('Activity data'!AP14*EF!$H27)*kgtoGg)</f>
        <v>2.8042005201917224E-2</v>
      </c>
      <c r="X1402" s="27">
        <f>IF(('Activity data'!AQ14*EF!$H27)*kgtoGg=0,"NO",('Activity data'!AQ14*EF!$H27)*kgtoGg)</f>
        <v>2.8149930331674167E-2</v>
      </c>
      <c r="Y1402" s="27">
        <f>IF(('Activity data'!AR14*EF!$H27)*kgtoGg=0,"NO",('Activity data'!AR14*EF!$H27)*kgtoGg)</f>
        <v>2.8217400572102636E-2</v>
      </c>
      <c r="Z1402" s="27">
        <f>IF(('Activity data'!AS14*EF!$H27)*kgtoGg=0,"NO",('Activity data'!AS14*EF!$H27)*kgtoGg)</f>
        <v>2.8290385505466368E-2</v>
      </c>
      <c r="AA1402" s="27">
        <f>IF(('Activity data'!AT14*EF!$H27)*kgtoGg=0,"NO",('Activity data'!AT14*EF!$H27)*kgtoGg)</f>
        <v>2.8368455875599344E-2</v>
      </c>
      <c r="AB1402" s="27">
        <f>IF(('Activity data'!AU14*EF!$H27)*kgtoGg=0,"NO",('Activity data'!AU14*EF!$H27)*kgtoGg)</f>
        <v>2.8453321052670396E-2</v>
      </c>
      <c r="AC1402" s="27">
        <f>IF(('Activity data'!AV14*EF!$H27)*kgtoGg=0,"NO",('Activity data'!AV14*EF!$H27)*kgtoGg)</f>
        <v>2.8543026080830765E-2</v>
      </c>
      <c r="AD1402" s="27">
        <f>IF(('Activity data'!AW14*EF!$H27)*kgtoGg=0,"NO",('Activity data'!AW14*EF!$H27)*kgtoGg)</f>
        <v>2.8601343964065915E-2</v>
      </c>
      <c r="AE1402" s="27">
        <f>IF(('Activity data'!AX14*EF!$H27)*kgtoGg=0,"NO",('Activity data'!AX14*EF!$H27)*kgtoGg)</f>
        <v>2.8665573444157176E-2</v>
      </c>
      <c r="AF1402" s="27">
        <f>IF(('Activity data'!AY14*EF!$H27)*kgtoGg=0,"NO",('Activity data'!AY14*EF!$H27)*kgtoGg)</f>
        <v>2.87347212944878E-2</v>
      </c>
      <c r="AG1402" s="27">
        <f>IF(('Activity data'!AZ14*EF!$H27)*kgtoGg=0,"NO",('Activity data'!AZ14*EF!$H27)*kgtoGg)</f>
        <v>2.8809531654937933E-2</v>
      </c>
      <c r="AH1402" s="27">
        <f>IF(('Activity data'!BA14*EF!$H27)*kgtoGg=0,"NO",('Activity data'!BA14*EF!$H27)*kgtoGg)</f>
        <v>2.8885648193786462E-2</v>
      </c>
      <c r="AI1402" s="27">
        <f>IF(('Activity data'!BB14*EF!$H27)*kgtoGg=0,"NO",('Activity data'!BB14*EF!$H27)*kgtoGg)</f>
        <v>2.8930704474147112E-2</v>
      </c>
      <c r="AJ1402" s="27">
        <f>IF(('Activity data'!BC14*EF!$H27)*kgtoGg=0,"NO",('Activity data'!BC14*EF!$H27)*kgtoGg)</f>
        <v>2.8980015085964157E-2</v>
      </c>
      <c r="AK1402" s="27">
        <f>IF(('Activity data'!BD14*EF!$H27)*kgtoGg=0,"NO",('Activity data'!BD14*EF!$H27)*kgtoGg)</f>
        <v>2.9032252856455738E-2</v>
      </c>
      <c r="AL1402" s="27">
        <f>IF(('Activity data'!BE14*EF!$H27)*kgtoGg=0,"NO",('Activity data'!BE14*EF!$H27)*kgtoGg)</f>
        <v>2.9088102843042599E-2</v>
      </c>
      <c r="AM1402" s="27">
        <f>IF(('Activity data'!BF14*EF!$H27)*kgtoGg=0,"NO",('Activity data'!BF14*EF!$H27)*kgtoGg)</f>
        <v>2.914703204736533E-2</v>
      </c>
      <c r="AN1402" s="27">
        <f>IF(('Activity data'!BG14*EF!$H27)*kgtoGg=0,"NO",('Activity data'!BG14*EF!$H27)*kgtoGg)</f>
        <v>2.9178454712748408E-2</v>
      </c>
      <c r="AO1402" s="27">
        <f>IF(('Activity data'!BH14*EF!$H27)*kgtoGg=0,"NO",('Activity data'!BH14*EF!$H27)*kgtoGg)</f>
        <v>2.9212149380254012E-2</v>
      </c>
      <c r="AP1402" s="27">
        <f>IF(('Activity data'!BI14*EF!$H27)*kgtoGg=0,"NO",('Activity data'!BI14*EF!$H27)*kgtoGg)</f>
        <v>2.9248635844385265E-2</v>
      </c>
      <c r="AQ1402" s="27">
        <f>IF(('Activity data'!BJ14*EF!$H27)*kgtoGg=0,"NO",('Activity data'!BJ14*EF!$H27)*kgtoGg)</f>
        <v>2.9287981307559392E-2</v>
      </c>
      <c r="AR1402" s="27">
        <f>IF(('Activity data'!BK14*EF!$H27)*kgtoGg=0,"NO",('Activity data'!BK14*EF!$H27)*kgtoGg)</f>
        <v>2.9330159793987943E-2</v>
      </c>
      <c r="AS1402" s="27">
        <f>IF(('Activity data'!BL14*EF!$H27)*kgtoGg=0,"NO",('Activity data'!BL14*EF!$H27)*kgtoGg)</f>
        <v>2.9344507920200803E-2</v>
      </c>
      <c r="AT1402" s="27">
        <f>IF(('Activity data'!BM14*EF!$H27)*kgtoGg=0,"NO",('Activity data'!BM14*EF!$H27)*kgtoGg)</f>
        <v>2.9356962740035762E-2</v>
      </c>
      <c r="AU1402" s="27">
        <f>IF(('Activity data'!BN14*EF!$H27)*kgtoGg=0,"NO",('Activity data'!BN14*EF!$H27)*kgtoGg)</f>
        <v>2.9371305492918821E-2</v>
      </c>
      <c r="AV1402" s="27">
        <f>IF(('Activity data'!BO14*EF!$H27)*kgtoGg=0,"NO",('Activity data'!BO14*EF!$H27)*kgtoGg)</f>
        <v>2.9387905956841046E-2</v>
      </c>
      <c r="AW1402" s="27">
        <f>IF(('Activity data'!BP14*EF!$H27)*kgtoGg=0,"NO",('Activity data'!BP14*EF!$H27)*kgtoGg)</f>
        <v>2.9406507086317708E-2</v>
      </c>
    </row>
    <row r="1403" spans="1:49" x14ac:dyDescent="0.2">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4.1336182129460544E-3</v>
      </c>
      <c r="L1403" s="27">
        <f>IF(('Activity data'!AE15*EF!$H28)*kgtoGg=0,"NO",('Activity data'!AE15*EF!$H28)*kgtoGg)</f>
        <v>4.1536453250924079E-3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4.1812329246154597E-3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3.9117464794758833E-3</v>
      </c>
      <c r="T1403" s="27">
        <f>IF(('Activity data'!AM15*EF!$H28)*kgtoGg=0,"NO",('Activity data'!AM15*EF!$H28)*kgtoGg)</f>
        <v>3.9662100660725645E-3</v>
      </c>
      <c r="U1403" s="27">
        <f>IF(('Activity data'!AN15*EF!$H28)*kgtoGg=0,"NO",('Activity data'!AN15*EF!$H28)*kgtoGg)</f>
        <v>4.0029759542347092E-3</v>
      </c>
      <c r="V1403" s="27">
        <f>IF(('Activity data'!AO15*EF!$H28)*kgtoGg=0,"NO",('Activity data'!AO15*EF!$H28)*kgtoGg)</f>
        <v>4.034929903088018E-3</v>
      </c>
      <c r="W1403" s="27">
        <f>IF(('Activity data'!AP15*EF!$H28)*kgtoGg=0,"NO",('Activity data'!AP15*EF!$H28)*kgtoGg)</f>
        <v>4.0740603707179208E-3</v>
      </c>
      <c r="X1403" s="27">
        <f>IF(('Activity data'!AQ15*EF!$H28)*kgtoGg=0,"NO",('Activity data'!AQ15*EF!$H28)*kgtoGg)</f>
        <v>4.1088191524981379E-3</v>
      </c>
      <c r="Y1403" s="27">
        <f>IF(('Activity data'!AR15*EF!$H28)*kgtoGg=0,"NO",('Activity data'!AR15*EF!$H28)*kgtoGg)</f>
        <v>4.1408340108354943E-3</v>
      </c>
      <c r="Z1403" s="27">
        <f>IF(('Activity data'!AS15*EF!$H28)*kgtoGg=0,"NO",('Activity data'!AS15*EF!$H28)*kgtoGg)</f>
        <v>4.1700941792835473E-3</v>
      </c>
      <c r="AA1403" s="27">
        <f>IF(('Activity data'!AT15*EF!$H28)*kgtoGg=0,"NO",('Activity data'!AT15*EF!$H28)*kgtoGg)</f>
        <v>4.1955947055446379E-3</v>
      </c>
      <c r="AB1403" s="27">
        <f>IF(('Activity data'!AU15*EF!$H28)*kgtoGg=0,"NO",('Activity data'!AU15*EF!$H28)*kgtoGg)</f>
        <v>4.2332253987930647E-3</v>
      </c>
      <c r="AC1403" s="27">
        <f>IF(('Activity data'!AV15*EF!$H28)*kgtoGg=0,"NO",('Activity data'!AV15*EF!$H28)*kgtoGg)</f>
        <v>4.2692111275798939E-3</v>
      </c>
      <c r="AD1403" s="27">
        <f>IF(('Activity data'!AW15*EF!$H28)*kgtoGg=0,"NO",('Activity data'!AW15*EF!$H28)*kgtoGg)</f>
        <v>4.3131543062035933E-3</v>
      </c>
      <c r="AE1403" s="27">
        <f>IF(('Activity data'!AX15*EF!$H28)*kgtoGg=0,"NO",('Activity data'!AX15*EF!$H28)*kgtoGg)</f>
        <v>4.3689426306597803E-3</v>
      </c>
      <c r="AF1403" s="27">
        <f>IF(('Activity data'!AY15*EF!$H28)*kgtoGg=0,"NO",('Activity data'!AY15*EF!$H28)*kgtoGg)</f>
        <v>4.4301694396255923E-3</v>
      </c>
      <c r="AG1403" s="27">
        <f>IF(('Activity data'!AZ15*EF!$H28)*kgtoGg=0,"NO",('Activity data'!AZ15*EF!$H28)*kgtoGg)</f>
        <v>4.5040980436008553E-3</v>
      </c>
      <c r="AH1403" s="27">
        <f>IF(('Activity data'!BA15*EF!$H28)*kgtoGg=0,"NO",('Activity data'!BA15*EF!$H28)*kgtoGg)</f>
        <v>4.5574968938879535E-3</v>
      </c>
      <c r="AI1403" s="27">
        <f>IF(('Activity data'!BB15*EF!$H28)*kgtoGg=0,"NO",('Activity data'!BB15*EF!$H28)*kgtoGg)</f>
        <v>4.6111863100883922E-3</v>
      </c>
      <c r="AJ1403" s="27">
        <f>IF(('Activity data'!BC15*EF!$H28)*kgtoGg=0,"NO",('Activity data'!BC15*EF!$H28)*kgtoGg)</f>
        <v>4.6712172844787037E-3</v>
      </c>
      <c r="AK1403" s="27">
        <f>IF(('Activity data'!BD15*EF!$H28)*kgtoGg=0,"NO",('Activity data'!BD15*EF!$H28)*kgtoGg)</f>
        <v>4.7281971529271986E-3</v>
      </c>
      <c r="AL1403" s="27">
        <f>IF(('Activity data'!BE15*EF!$H28)*kgtoGg=0,"NO",('Activity data'!BE15*EF!$H28)*kgtoGg)</f>
        <v>4.7885111366995289E-3</v>
      </c>
      <c r="AM1403" s="27">
        <f>IF(('Activity data'!BF15*EF!$H28)*kgtoGg=0,"NO",('Activity data'!BF15*EF!$H28)*kgtoGg)</f>
        <v>4.8488762620845097E-3</v>
      </c>
      <c r="AN1403" s="27">
        <f>IF(('Activity data'!BG15*EF!$H28)*kgtoGg=0,"NO",('Activity data'!BG15*EF!$H28)*kgtoGg)</f>
        <v>4.9227254913748455E-3</v>
      </c>
      <c r="AO1403" s="27">
        <f>IF(('Activity data'!BH15*EF!$H28)*kgtoGg=0,"NO",('Activity data'!BH15*EF!$H28)*kgtoGg)</f>
        <v>4.9927458490609099E-3</v>
      </c>
      <c r="AP1403" s="27">
        <f>IF(('Activity data'!BI15*EF!$H28)*kgtoGg=0,"NO",('Activity data'!BI15*EF!$H28)*kgtoGg)</f>
        <v>5.0638022559314124E-3</v>
      </c>
      <c r="AQ1403" s="27">
        <f>IF(('Activity data'!BJ15*EF!$H28)*kgtoGg=0,"NO",('Activity data'!BJ15*EF!$H28)*kgtoGg)</f>
        <v>5.1371515240319849E-3</v>
      </c>
      <c r="AR1403" s="27">
        <f>IF(('Activity data'!BK15*EF!$H28)*kgtoGg=0,"NO",('Activity data'!BK15*EF!$H28)*kgtoGg)</f>
        <v>5.2132674563810976E-3</v>
      </c>
      <c r="AS1403" s="27">
        <f>IF(('Activity data'!BL15*EF!$H28)*kgtoGg=0,"NO",('Activity data'!BL15*EF!$H28)*kgtoGg)</f>
        <v>5.3054774767517902E-3</v>
      </c>
      <c r="AT1403" s="27">
        <f>IF(('Activity data'!BM15*EF!$H28)*kgtoGg=0,"NO",('Activity data'!BM15*EF!$H28)*kgtoGg)</f>
        <v>5.3653290852350754E-3</v>
      </c>
      <c r="AU1403" s="27">
        <f>IF(('Activity data'!BN15*EF!$H28)*kgtoGg=0,"NO",('Activity data'!BN15*EF!$H28)*kgtoGg)</f>
        <v>5.4229477307266892E-3</v>
      </c>
      <c r="AV1403" s="27">
        <f>IF(('Activity data'!BO15*EF!$H28)*kgtoGg=0,"NO",('Activity data'!BO15*EF!$H28)*kgtoGg)</f>
        <v>5.4817978053370176E-3</v>
      </c>
      <c r="AW1403" s="27">
        <f>IF(('Activity data'!BP15*EF!$H28)*kgtoGg=0,"NO",('Activity data'!BP15*EF!$H28)*kgtoGg)</f>
        <v>5.5404187134472614E-3</v>
      </c>
    </row>
    <row r="1404" spans="1:49" x14ac:dyDescent="0.2">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2">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23.279067868377396</v>
      </c>
      <c r="L1405" s="27">
        <f>IF(('Activity data'!AE17*EF!$H30)*kgtoGg=0,"NO",('Activity data'!AE17*EF!$H30)*kgtoGg)</f>
        <v>23.152530650802607</v>
      </c>
      <c r="M1405" s="27">
        <f>IF(('Activity data'!AF17*EF!$H30)*kgtoGg=0,"NO",('Activity data'!AF17*EF!$H30)*kgtoGg)</f>
        <v>23.162916433064311</v>
      </c>
      <c r="N1405" s="27">
        <f>IF(('Activity data'!AG17*EF!$H30)*kgtoGg=0,"NO",('Activity data'!AG17*EF!$H30)*kgtoGg)</f>
        <v>22.950263110497293</v>
      </c>
      <c r="O1405" s="27">
        <f>IF(('Activity data'!AH17*EF!$H30)*kgtoGg=0,"NO",('Activity data'!AH17*EF!$H30)*kgtoGg)</f>
        <v>22.602951186820608</v>
      </c>
      <c r="P1405" s="27">
        <f>IF(('Activity data'!AI17*EF!$H30)*kgtoGg=0,"NO",('Activity data'!AI17*EF!$H30)*kgtoGg)</f>
        <v>22.126532811374954</v>
      </c>
      <c r="Q1405" s="27">
        <f>IF(('Activity data'!AJ17*EF!$H30)*kgtoGg=0,"NO",('Activity data'!AJ17*EF!$H30)*kgtoGg)</f>
        <v>21.780600237355969</v>
      </c>
      <c r="R1405" s="27">
        <f>IF(('Activity data'!AK17*EF!$H30)*kgtoGg=0,"NO",('Activity data'!AK17*EF!$H30)*kgtoGg)</f>
        <v>21.465278056857684</v>
      </c>
      <c r="S1405" s="27">
        <f>IF(('Activity data'!AL17*EF!$H30)*kgtoGg=0,"NO",('Activity data'!AL17*EF!$H30)*kgtoGg)</f>
        <v>19.125432200749973</v>
      </c>
      <c r="T1405" s="27">
        <f>IF(('Activity data'!AM17*EF!$H30)*kgtoGg=0,"NO",('Activity data'!AM17*EF!$H30)*kgtoGg)</f>
        <v>19.424042125834905</v>
      </c>
      <c r="U1405" s="27">
        <f>IF(('Activity data'!AN17*EF!$H30)*kgtoGg=0,"NO",('Activity data'!AN17*EF!$H30)*kgtoGg)</f>
        <v>19.550864503199985</v>
      </c>
      <c r="V1405" s="27">
        <f>IF(('Activity data'!AO17*EF!$H30)*kgtoGg=0,"NO",('Activity data'!AO17*EF!$H30)*kgtoGg)</f>
        <v>19.634386542439195</v>
      </c>
      <c r="W1405" s="27">
        <f>IF(('Activity data'!AP17*EF!$H30)*kgtoGg=0,"NO",('Activity data'!AP17*EF!$H30)*kgtoGg)</f>
        <v>19.789042358153409</v>
      </c>
      <c r="X1405" s="27">
        <f>IF(('Activity data'!AQ17*EF!$H30)*kgtoGg=0,"NO",('Activity data'!AQ17*EF!$H30)*kgtoGg)</f>
        <v>19.904231049540165</v>
      </c>
      <c r="Y1405" s="27">
        <f>IF(('Activity data'!AR17*EF!$H30)*kgtoGg=0,"NO",('Activity data'!AR17*EF!$H30)*kgtoGg)</f>
        <v>19.9646517912891</v>
      </c>
      <c r="Z1405" s="27">
        <f>IF(('Activity data'!AS17*EF!$H30)*kgtoGg=0,"NO",('Activity data'!AS17*EF!$H30)*kgtoGg)</f>
        <v>20.001671240877961</v>
      </c>
      <c r="AA1405" s="27">
        <f>IF(('Activity data'!AT17*EF!$H30)*kgtoGg=0,"NO",('Activity data'!AT17*EF!$H30)*kgtoGg)</f>
        <v>20.006692976737387</v>
      </c>
      <c r="AB1405" s="27">
        <f>IF(('Activity data'!AU17*EF!$H30)*kgtoGg=0,"NO",('Activity data'!AU17*EF!$H30)*kgtoGg)</f>
        <v>20.122871452289811</v>
      </c>
      <c r="AC1405" s="27">
        <f>IF(('Activity data'!AV17*EF!$H30)*kgtoGg=0,"NO",('Activity data'!AV17*EF!$H30)*kgtoGg)</f>
        <v>20.224352633636123</v>
      </c>
      <c r="AD1405" s="27">
        <f>IF(('Activity data'!AW17*EF!$H30)*kgtoGg=0,"NO",('Activity data'!AW17*EF!$H30)*kgtoGg)</f>
        <v>20.37036557025834</v>
      </c>
      <c r="AE1405" s="27">
        <f>IF(('Activity data'!AX17*EF!$H30)*kgtoGg=0,"NO",('Activity data'!AX17*EF!$H30)*kgtoGg)</f>
        <v>20.617009015074299</v>
      </c>
      <c r="AF1405" s="27">
        <f>IF(('Activity data'!AY17*EF!$H30)*kgtoGg=0,"NO",('Activity data'!AY17*EF!$H30)*kgtoGg)</f>
        <v>20.905842210058196</v>
      </c>
      <c r="AG1405" s="27">
        <f>IF(('Activity data'!AZ17*EF!$H30)*kgtoGg=0,"NO",('Activity data'!AZ17*EF!$H30)*kgtoGg)</f>
        <v>21.296898968491135</v>
      </c>
      <c r="AH1405" s="27">
        <f>IF(('Activity data'!BA17*EF!$H30)*kgtoGg=0,"NO",('Activity data'!BA17*EF!$H30)*kgtoGg)</f>
        <v>21.508008395464572</v>
      </c>
      <c r="AI1405" s="27">
        <f>IF(('Activity data'!BB17*EF!$H30)*kgtoGg=0,"NO",('Activity data'!BB17*EF!$H30)*kgtoGg)</f>
        <v>21.692391103319341</v>
      </c>
      <c r="AJ1405" s="27">
        <f>IF(('Activity data'!BC17*EF!$H30)*kgtoGg=0,"NO",('Activity data'!BC17*EF!$H30)*kgtoGg)</f>
        <v>21.924107330813051</v>
      </c>
      <c r="AK1405" s="27">
        <f>IF(('Activity data'!BD17*EF!$H30)*kgtoGg=0,"NO",('Activity data'!BD17*EF!$H30)*kgtoGg)</f>
        <v>22.125286903757015</v>
      </c>
      <c r="AL1405" s="27">
        <f>IF(('Activity data'!BE17*EF!$H30)*kgtoGg=0,"NO",('Activity data'!BE17*EF!$H30)*kgtoGg)</f>
        <v>22.347890019958896</v>
      </c>
      <c r="AM1405" s="27">
        <f>IF(('Activity data'!BF17*EF!$H30)*kgtoGg=0,"NO",('Activity data'!BF17*EF!$H30)*kgtoGg)</f>
        <v>22.565021886121382</v>
      </c>
      <c r="AN1405" s="27">
        <f>IF(('Activity data'!BG17*EF!$H30)*kgtoGg=0,"NO",('Activity data'!BG17*EF!$H30)*kgtoGg)</f>
        <v>22.857354238812295</v>
      </c>
      <c r="AO1405" s="27">
        <f>IF(('Activity data'!BH17*EF!$H30)*kgtoGg=0,"NO",('Activity data'!BH17*EF!$H30)*kgtoGg)</f>
        <v>23.111205883073605</v>
      </c>
      <c r="AP1405" s="27">
        <f>IF(('Activity data'!BI17*EF!$H30)*kgtoGg=0,"NO",('Activity data'!BI17*EF!$H30)*kgtoGg)</f>
        <v>23.364831927228202</v>
      </c>
      <c r="AQ1405" s="27">
        <f>IF(('Activity data'!BJ17*EF!$H30)*kgtoGg=0,"NO",('Activity data'!BJ17*EF!$H30)*kgtoGg)</f>
        <v>23.627465701341702</v>
      </c>
      <c r="AR1405" s="27">
        <f>IF(('Activity data'!BK17*EF!$H30)*kgtoGg=0,"NO",('Activity data'!BK17*EF!$H30)*kgtoGg)</f>
        <v>23.902059465195961</v>
      </c>
      <c r="AS1405" s="27">
        <f>IF(('Activity data'!BL17*EF!$H30)*kgtoGg=0,"NO",('Activity data'!BL17*EF!$H30)*kgtoGg)</f>
        <v>24.259909282475949</v>
      </c>
      <c r="AT1405" s="27">
        <f>IF(('Activity data'!BM17*EF!$H30)*kgtoGg=0,"NO",('Activity data'!BM17*EF!$H30)*kgtoGg)</f>
        <v>24.370732341378943</v>
      </c>
      <c r="AU1405" s="27">
        <f>IF(('Activity data'!BN17*EF!$H30)*kgtoGg=0,"NO",('Activity data'!BN17*EF!$H30)*kgtoGg)</f>
        <v>24.459248352072496</v>
      </c>
      <c r="AV1405" s="27">
        <f>IF(('Activity data'!BO17*EF!$H30)*kgtoGg=0,"NO",('Activity data'!BO17*EF!$H30)*kgtoGg)</f>
        <v>24.550534004397402</v>
      </c>
      <c r="AW1405" s="27">
        <f>IF(('Activity data'!BP17*EF!$H30)*kgtoGg=0,"NO",('Activity data'!BP17*EF!$H30)*kgtoGg)</f>
        <v>24.634079749927345</v>
      </c>
    </row>
    <row r="1406" spans="1:49" x14ac:dyDescent="0.2">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7.7508449141861155E-2</v>
      </c>
      <c r="M1406" s="27">
        <f>IF(('Activity data'!AF18*EF!$H31)*kgtoGg=0,"NO",('Activity data'!AF18*EF!$H31)*kgtoGg)</f>
        <v>7.7543217949140625E-2</v>
      </c>
      <c r="N1406" s="27">
        <f>IF(('Activity data'!AG18*EF!$H31)*kgtoGg=0,"NO",('Activity data'!AG18*EF!$H31)*kgtoGg)</f>
        <v>7.6831311787104617E-2</v>
      </c>
      <c r="O1406" s="27">
        <f>IF(('Activity data'!AH18*EF!$H31)*kgtoGg=0,"NO",('Activity data'!AH18*EF!$H31)*kgtoGg)</f>
        <v>7.5668604825232064E-2</v>
      </c>
      <c r="P1406" s="27">
        <f>IF(('Activity data'!AI18*EF!$H31)*kgtoGg=0,"NO",('Activity data'!AI18*EF!$H31)*kgtoGg)</f>
        <v>7.4073684167079407E-2</v>
      </c>
      <c r="Q1406" s="27">
        <f>IF(('Activity data'!AJ18*EF!$H31)*kgtoGg=0,"NO",('Activity data'!AJ18*EF!$H31)*kgtoGg)</f>
        <v>7.291559489708703E-2</v>
      </c>
      <c r="R1406" s="27">
        <f>IF(('Activity data'!AK18*EF!$H31)*kgtoGg=0,"NO",('Activity data'!AK18*EF!$H31)*kgtoGg)</f>
        <v>7.1859980996426695E-2</v>
      </c>
      <c r="S1406" s="27">
        <f>IF(('Activity data'!AL18*EF!$H31)*kgtoGg=0,"NO",('Activity data'!AL18*EF!$H31)*kgtoGg)</f>
        <v>6.4026806028504468E-2</v>
      </c>
      <c r="T1406" s="27">
        <f>IF(('Activity data'!AM18*EF!$H31)*kgtoGg=0,"NO",('Activity data'!AM18*EF!$H31)*kgtoGg)</f>
        <v>6.5026471790350593E-2</v>
      </c>
      <c r="U1406" s="27">
        <f>IF(('Activity data'!AN18*EF!$H31)*kgtoGg=0,"NO",('Activity data'!AN18*EF!$H31)*kgtoGg)</f>
        <v>6.5451039019493229E-2</v>
      </c>
      <c r="V1406" s="27">
        <f>IF(('Activity data'!AO18*EF!$H31)*kgtoGg=0,"NO",('Activity data'!AO18*EF!$H31)*kgtoGg)</f>
        <v>6.5730648355864951E-2</v>
      </c>
      <c r="W1406" s="27">
        <f>IF(('Activity data'!AP18*EF!$H31)*kgtoGg=0,"NO",('Activity data'!AP18*EF!$H31)*kgtoGg)</f>
        <v>6.6248394454879955E-2</v>
      </c>
      <c r="X1406" s="27">
        <f>IF(('Activity data'!AQ18*EF!$H31)*kgtoGg=0,"NO",('Activity data'!AQ18*EF!$H31)*kgtoGg)</f>
        <v>6.6634015230540536E-2</v>
      </c>
      <c r="Y1406" s="27">
        <f>IF(('Activity data'!AR18*EF!$H31)*kgtoGg=0,"NO",('Activity data'!AR18*EF!$H31)*kgtoGg)</f>
        <v>6.6836287632620187E-2</v>
      </c>
      <c r="Z1406" s="27">
        <f>IF(('Activity data'!AS18*EF!$H31)*kgtoGg=0,"NO",('Activity data'!AS18*EF!$H31)*kgtoGg)</f>
        <v>6.696021879889287E-2</v>
      </c>
      <c r="AA1406" s="27">
        <f>IF(('Activity data'!AT18*EF!$H31)*kgtoGg=0,"NO",('Activity data'!AT18*EF!$H31)*kgtoGg)</f>
        <v>6.6977030220690986E-2</v>
      </c>
      <c r="AB1406" s="27">
        <f>IF(('Activity data'!AU18*EF!$H31)*kgtoGg=0,"NO",('Activity data'!AU18*EF!$H31)*kgtoGg)</f>
        <v>6.7365964527680941E-2</v>
      </c>
      <c r="AC1406" s="27">
        <f>IF(('Activity data'!AV18*EF!$H31)*kgtoGg=0,"NO",('Activity data'!AV18*EF!$H31)*kgtoGg)</f>
        <v>6.77056962443503E-2</v>
      </c>
      <c r="AD1406" s="27">
        <f>IF(('Activity data'!AW18*EF!$H31)*kgtoGg=0,"NO",('Activity data'!AW18*EF!$H31)*kgtoGg)</f>
        <v>6.8194508307399856E-2</v>
      </c>
      <c r="AE1406" s="27">
        <f>IF(('Activity data'!AX18*EF!$H31)*kgtoGg=0,"NO",('Activity data'!AX18*EF!$H31)*kgtoGg)</f>
        <v>6.9020204262067689E-2</v>
      </c>
      <c r="AF1406" s="27">
        <f>IF(('Activity data'!AY18*EF!$H31)*kgtoGg=0,"NO",('Activity data'!AY18*EF!$H31)*kgtoGg)</f>
        <v>6.9987140159553041E-2</v>
      </c>
      <c r="AG1406" s="27">
        <f>IF(('Activity data'!AZ18*EF!$H31)*kgtoGg=0,"NO",('Activity data'!AZ18*EF!$H31)*kgtoGg)</f>
        <v>7.1296293069432901E-2</v>
      </c>
      <c r="AH1406" s="27">
        <f>IF(('Activity data'!BA18*EF!$H31)*kgtoGg=0,"NO",('Activity data'!BA18*EF!$H31)*kgtoGg)</f>
        <v>7.2003030684025804E-2</v>
      </c>
      <c r="AI1406" s="27">
        <f>IF(('Activity data'!BB18*EF!$H31)*kgtoGg=0,"NO",('Activity data'!BB18*EF!$H31)*kgtoGg)</f>
        <v>7.262029442724019E-2</v>
      </c>
      <c r="AJ1406" s="27">
        <f>IF(('Activity data'!BC18*EF!$H31)*kgtoGg=0,"NO",('Activity data'!BC18*EF!$H31)*kgtoGg)</f>
        <v>7.339601807079868E-2</v>
      </c>
      <c r="AK1406" s="27">
        <f>IF(('Activity data'!BD18*EF!$H31)*kgtoGg=0,"NO",('Activity data'!BD18*EF!$H31)*kgtoGg)</f>
        <v>7.4069513203278647E-2</v>
      </c>
      <c r="AL1406" s="27">
        <f>IF(('Activity data'!BE18*EF!$H31)*kgtoGg=0,"NO",('Activity data'!BE18*EF!$H31)*kgtoGg)</f>
        <v>7.4814728599866626E-2</v>
      </c>
      <c r="AM1406" s="27">
        <f>IF(('Activity data'!BF18*EF!$H31)*kgtoGg=0,"NO",('Activity data'!BF18*EF!$H31)*kgtoGg)</f>
        <v>7.5541627722012866E-2</v>
      </c>
      <c r="AN1406" s="27">
        <f>IF(('Activity data'!BG18*EF!$H31)*kgtoGg=0,"NO",('Activity data'!BG18*EF!$H31)*kgtoGg)</f>
        <v>7.6520277858916103E-2</v>
      </c>
      <c r="AO1406" s="27">
        <f>IF(('Activity data'!BH18*EF!$H31)*kgtoGg=0,"NO",('Activity data'!BH18*EF!$H31)*kgtoGg)</f>
        <v>7.7370104927739061E-2</v>
      </c>
      <c r="AP1406" s="27">
        <f>IF(('Activity data'!BI18*EF!$H31)*kgtoGg=0,"NO",('Activity data'!BI18*EF!$H31)*kgtoGg)</f>
        <v>7.821917674804682E-2</v>
      </c>
      <c r="AQ1406" s="27">
        <f>IF(('Activity data'!BJ18*EF!$H31)*kgtoGg=0,"NO",('Activity data'!BJ18*EF!$H31)*kgtoGg)</f>
        <v>7.9098404026949301E-2</v>
      </c>
      <c r="AR1406" s="27">
        <f>IF(('Activity data'!BK18*EF!$H31)*kgtoGg=0,"NO",('Activity data'!BK18*EF!$H31)*kgtoGg)</f>
        <v>8.0017670136618924E-2</v>
      </c>
      <c r="AS1406" s="27">
        <f>IF(('Activity data'!BL18*EF!$H31)*kgtoGg=0,"NO",('Activity data'!BL18*EF!$H31)*kgtoGg)</f>
        <v>8.1215655133654599E-2</v>
      </c>
      <c r="AT1406" s="27">
        <f>IF(('Activity data'!BM18*EF!$H31)*kgtoGg=0,"NO",('Activity data'!BM18*EF!$H31)*kgtoGg)</f>
        <v>8.1586660945256045E-2</v>
      </c>
      <c r="AU1406" s="27">
        <f>IF(('Activity data'!BN18*EF!$H31)*kgtoGg=0,"NO",('Activity data'!BN18*EF!$H31)*kgtoGg)</f>
        <v>8.1882988755660815E-2</v>
      </c>
      <c r="AV1406" s="27">
        <f>IF(('Activity data'!BO18*EF!$H31)*kgtoGg=0,"NO",('Activity data'!BO18*EF!$H31)*kgtoGg)</f>
        <v>8.2188588581758509E-2</v>
      </c>
      <c r="AW1406" s="27">
        <f>IF(('Activity data'!BP18*EF!$H31)*kgtoGg=0,"NO",('Activity data'!BP18*EF!$H31)*kgtoGg)</f>
        <v>8.2468277280419264E-2</v>
      </c>
    </row>
    <row r="1407" spans="1:49" x14ac:dyDescent="0.2">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0.59866182774590171</v>
      </c>
      <c r="P1407" s="27">
        <f>IF(('Activity data'!AI19*EF!$H32)*kgtoGg=0,"NO",('Activity data'!AI19*EF!$H32)*kgtoGg)</f>
        <v>0.60475451589519702</v>
      </c>
      <c r="Q1407" s="27">
        <f>IF(('Activity data'!AJ19*EF!$H32)*kgtoGg=0,"NO",('Activity data'!AJ19*EF!$H32)*kgtoGg)</f>
        <v>0.61256702388185857</v>
      </c>
      <c r="R1407" s="27">
        <f>IF(('Activity data'!AK19*EF!$H32)*kgtoGg=0,"NO",('Activity data'!AK19*EF!$H32)*kgtoGg)</f>
        <v>0.6206898695388976</v>
      </c>
      <c r="S1407" s="27">
        <f>IF(('Activity data'!AL19*EF!$H32)*kgtoGg=0,"NO",('Activity data'!AL19*EF!$H32)*kgtoGg)</f>
        <v>0.59586205354866417</v>
      </c>
      <c r="T1407" s="27">
        <f>IF(('Activity data'!AM19*EF!$H32)*kgtoGg=0,"NO",('Activity data'!AM19*EF!$H32)*kgtoGg)</f>
        <v>0.61166609228342095</v>
      </c>
      <c r="U1407" s="27">
        <f>IF(('Activity data'!AN19*EF!$H32)*kgtoGg=0,"NO",('Activity data'!AN19*EF!$H32)*kgtoGg)</f>
        <v>0.62485299056124621</v>
      </c>
      <c r="V1407" s="27">
        <f>IF(('Activity data'!AO19*EF!$H32)*kgtoGg=0,"NO",('Activity data'!AO19*EF!$H32)*kgtoGg)</f>
        <v>0.63746316411560699</v>
      </c>
      <c r="W1407" s="27">
        <f>IF(('Activity data'!AP19*EF!$H32)*kgtoGg=0,"NO",('Activity data'!AP19*EF!$H32)*kgtoGg)</f>
        <v>0.65148292230650084</v>
      </c>
      <c r="X1407" s="27">
        <f>IF(('Activity data'!AQ19*EF!$H32)*kgtoGg=0,"NO",('Activity data'!AQ19*EF!$H32)*kgtoGg)</f>
        <v>0.66499795751984347</v>
      </c>
      <c r="Y1407" s="27">
        <f>IF(('Activity data'!AR19*EF!$H32)*kgtoGg=0,"NO",('Activity data'!AR19*EF!$H32)*kgtoGg)</f>
        <v>0.67713280709524293</v>
      </c>
      <c r="Z1407" s="27">
        <f>IF(('Activity data'!AS19*EF!$H32)*kgtoGg=0,"NO",('Activity data'!AS19*EF!$H32)*kgtoGg)</f>
        <v>0.68896443146114195</v>
      </c>
      <c r="AA1407" s="27">
        <f>IF(('Activity data'!AT19*EF!$H32)*kgtoGg=0,"NO",('Activity data'!AT19*EF!$H32)*kgtoGg)</f>
        <v>0.70030539755417098</v>
      </c>
      <c r="AB1407" s="27">
        <f>IF(('Activity data'!AU19*EF!$H32)*kgtoGg=0,"NO",('Activity data'!AU19*EF!$H32)*kgtoGg)</f>
        <v>0.71394199916813561</v>
      </c>
      <c r="AC1407" s="27">
        <f>IF(('Activity data'!AV19*EF!$H32)*kgtoGg=0,"NO",('Activity data'!AV19*EF!$H32)*kgtoGg)</f>
        <v>0.72748510796814947</v>
      </c>
      <c r="AD1407" s="27">
        <f>IF(('Activity data'!AW19*EF!$H32)*kgtoGg=0,"NO",('Activity data'!AW19*EF!$H32)*kgtoGg)</f>
        <v>0.7416801333370433</v>
      </c>
      <c r="AE1407" s="27">
        <f>IF(('Activity data'!AX19*EF!$H32)*kgtoGg=0,"NO",('Activity data'!AX19*EF!$H32)*kgtoGg)</f>
        <v>0.75821054657652254</v>
      </c>
      <c r="AF1407" s="27">
        <f>IF(('Activity data'!AY19*EF!$H32)*kgtoGg=0,"NO",('Activity data'!AY19*EF!$H32)*kgtoGg)</f>
        <v>0.77596254129215869</v>
      </c>
      <c r="AG1407" s="27">
        <f>IF(('Activity data'!AZ19*EF!$H32)*kgtoGg=0,"NO",('Activity data'!AZ19*EF!$H32)*kgtoGg)</f>
        <v>0.7963033454053372</v>
      </c>
      <c r="AH1407" s="27">
        <f>IF(('Activity data'!BA19*EF!$H32)*kgtoGg=0,"NO",('Activity data'!BA19*EF!$H32)*kgtoGg)</f>
        <v>0.81311713883147885</v>
      </c>
      <c r="AI1407" s="27">
        <f>IF(('Activity data'!BB19*EF!$H32)*kgtoGg=0,"NO",('Activity data'!BB19*EF!$H32)*kgtoGg)</f>
        <v>0.82920457779762036</v>
      </c>
      <c r="AJ1407" s="27">
        <f>IF(('Activity data'!BC19*EF!$H32)*kgtoGg=0,"NO",('Activity data'!BC19*EF!$H32)*kgtoGg)</f>
        <v>0.8466799763081283</v>
      </c>
      <c r="AK1407" s="27">
        <f>IF(('Activity data'!BD19*EF!$H32)*kgtoGg=0,"NO",('Activity data'!BD19*EF!$H32)*kgtoGg)</f>
        <v>0.86378648630356591</v>
      </c>
      <c r="AL1407" s="27">
        <f>IF(('Activity data'!BE19*EF!$H32)*kgtoGg=0,"NO",('Activity data'!BE19*EF!$H32)*kgtoGg)</f>
        <v>0.8817359545427027</v>
      </c>
      <c r="AM1407" s="27">
        <f>IF(('Activity data'!BF19*EF!$H32)*kgtoGg=0,"NO",('Activity data'!BF19*EF!$H32)*kgtoGg)</f>
        <v>0.89991137533731791</v>
      </c>
      <c r="AN1407" s="27">
        <f>IF(('Activity data'!BG19*EF!$H32)*kgtoGg=0,"NO",('Activity data'!BG19*EF!$H32)*kgtoGg)</f>
        <v>0.91990012979739244</v>
      </c>
      <c r="AO1407" s="27">
        <f>IF(('Activity data'!BH19*EF!$H32)*kgtoGg=0,"NO",('Activity data'!BH19*EF!$H32)*kgtoGg)</f>
        <v>0.93935460788893066</v>
      </c>
      <c r="AP1407" s="27">
        <f>IF(('Activity data'!BI19*EF!$H32)*kgtoGg=0,"NO",('Activity data'!BI19*EF!$H32)*kgtoGg)</f>
        <v>0.95921858565138518</v>
      </c>
      <c r="AQ1407" s="27">
        <f>IF(('Activity data'!BJ19*EF!$H32)*kgtoGg=0,"NO",('Activity data'!BJ19*EF!$H32)*kgtoGg)</f>
        <v>0.97974614943757377</v>
      </c>
      <c r="AR1407" s="27">
        <f>IF(('Activity data'!BK19*EF!$H32)*kgtoGg=0,"NO",('Activity data'!BK19*EF!$H32)*kgtoGg)</f>
        <v>1.0010418670441812</v>
      </c>
      <c r="AS1407" s="27">
        <f>IF(('Activity data'!BL19*EF!$H32)*kgtoGg=0,"NO",('Activity data'!BL19*EF!$H32)*kgtoGg)</f>
        <v>1.024648468705007</v>
      </c>
      <c r="AT1407" s="27">
        <f>IF(('Activity data'!BM19*EF!$H32)*kgtoGg=0,"NO",('Activity data'!BM19*EF!$H32)*kgtoGg)</f>
        <v>1.0419667302828659</v>
      </c>
      <c r="AU1407" s="27">
        <f>IF(('Activity data'!BN19*EF!$H32)*kgtoGg=0,"NO",('Activity data'!BN19*EF!$H32)*kgtoGg)</f>
        <v>1.0589838516681485</v>
      </c>
      <c r="AV1407" s="27">
        <f>IF(('Activity data'!BO19*EF!$H32)*kgtoGg=0,"NO",('Activity data'!BO19*EF!$H32)*kgtoGg)</f>
        <v>1.0763973931983826</v>
      </c>
      <c r="AW1407" s="27">
        <f>IF(('Activity data'!BP19*EF!$H32)*kgtoGg=0,"NO",('Activity data'!BP19*EF!$H32)*kgtoGg)</f>
        <v>1.093914171709288</v>
      </c>
    </row>
    <row r="1408" spans="1:49" x14ac:dyDescent="0.2">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2.2100196981344111</v>
      </c>
      <c r="L1408" s="27">
        <f>IF(('Activity data'!AE20*EF!$H33)*kgtoGg=0,"NO",('Activity data'!AE20*EF!$H33)*kgtoGg)</f>
        <v>2.239121707445149</v>
      </c>
      <c r="M1408" s="27">
        <f>IF(('Activity data'!AF20*EF!$H33)*kgtoGg=0,"NO",('Activity data'!AF20*EF!$H33)*kgtoGg)</f>
        <v>2.2858678822724823</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2.2487211059946204</v>
      </c>
      <c r="R1408" s="27">
        <f>IF(('Activity data'!AK20*EF!$H33)*kgtoGg=0,"NO",('Activity data'!AK20*EF!$H33)*kgtoGg)</f>
        <v>2.2390235702415171</v>
      </c>
      <c r="S1408" s="27">
        <f>IF(('Activity data'!AL20*EF!$H33)*kgtoGg=0,"NO",('Activity data'!AL20*EF!$H33)*kgtoGg)</f>
        <v>1.9141242898278399</v>
      </c>
      <c r="T1408" s="27">
        <f>IF(('Activity data'!AM20*EF!$H33)*kgtoGg=0,"NO",('Activity data'!AM20*EF!$H33)*kgtoGg)</f>
        <v>1.9984899724616512</v>
      </c>
      <c r="U1408" s="27">
        <f>IF(('Activity data'!AN20*EF!$H33)*kgtoGg=0,"NO",('Activity data'!AN20*EF!$H33)*kgtoGg)</f>
        <v>2.0566281324498989</v>
      </c>
      <c r="V1408" s="27">
        <f>IF(('Activity data'!AO20*EF!$H33)*kgtoGg=0,"NO",('Activity data'!AO20*EF!$H33)*kgtoGg)</f>
        <v>2.1082245232127885</v>
      </c>
      <c r="W1408" s="27">
        <f>IF(('Activity data'!AP20*EF!$H33)*kgtoGg=0,"NO",('Activity data'!AP20*EF!$H33)*kgtoGg)</f>
        <v>2.1717516772979577</v>
      </c>
      <c r="X1408" s="27">
        <f>IF(('Activity data'!AQ20*EF!$H33)*kgtoGg=0,"NO",('Activity data'!AQ20*EF!$H33)*kgtoGg)</f>
        <v>2.2294138068766221</v>
      </c>
      <c r="Y1408" s="27">
        <f>IF(('Activity data'!AR20*EF!$H33)*kgtoGg=0,"NO",('Activity data'!AR20*EF!$H33)*kgtoGg)</f>
        <v>2.2803087574477758</v>
      </c>
      <c r="Z1408" s="27">
        <f>IF(('Activity data'!AS20*EF!$H33)*kgtoGg=0,"NO",('Activity data'!AS20*EF!$H33)*kgtoGg)</f>
        <v>2.3275959555736767</v>
      </c>
      <c r="AA1408" s="27">
        <f>IF(('Activity data'!AT20*EF!$H33)*kgtoGg=0,"NO",('Activity data'!AT20*EF!$H33)*kgtoGg)</f>
        <v>2.3696866416984408</v>
      </c>
      <c r="AB1408" s="27">
        <f>IF(('Activity data'!AU20*EF!$H33)*kgtoGg=0,"NO",('Activity data'!AU20*EF!$H33)*kgtoGg)</f>
        <v>2.4313567650804138</v>
      </c>
      <c r="AC1408" s="27">
        <f>IF(('Activity data'!AV20*EF!$H33)*kgtoGg=0,"NO",('Activity data'!AV20*EF!$H33)*kgtoGg)</f>
        <v>2.4911768272254537</v>
      </c>
      <c r="AD1408" s="27">
        <f>IF(('Activity data'!AW20*EF!$H33)*kgtoGg=0,"NO",('Activity data'!AW20*EF!$H33)*kgtoGg)</f>
        <v>2.5611651092780447</v>
      </c>
      <c r="AE1408" s="27">
        <f>IF(('Activity data'!AX20*EF!$H33)*kgtoGg=0,"NO",('Activity data'!AX20*EF!$H33)*kgtoGg)</f>
        <v>2.6503466863676968</v>
      </c>
      <c r="AF1408" s="27">
        <f>IF(('Activity data'!AY20*EF!$H33)*kgtoGg=0,"NO",('Activity data'!AY20*EF!$H33)*kgtoGg)</f>
        <v>2.7487492134063758</v>
      </c>
      <c r="AG1408" s="27">
        <f>IF(('Activity data'!AZ20*EF!$H33)*kgtoGg=0,"NO",('Activity data'!AZ20*EF!$H33)*kgtoGg)</f>
        <v>2.8678706867563997</v>
      </c>
      <c r="AH1408" s="27">
        <f>IF(('Activity data'!BA20*EF!$H33)*kgtoGg=0,"NO",('Activity data'!BA20*EF!$H33)*kgtoGg)</f>
        <v>2.9554288288988109</v>
      </c>
      <c r="AI1408" s="27">
        <f>IF(('Activity data'!BB20*EF!$H33)*kgtoGg=0,"NO",('Activity data'!BB20*EF!$H33)*kgtoGg)</f>
        <v>3.0407668489306769</v>
      </c>
      <c r="AJ1408" s="27">
        <f>IF(('Activity data'!BC20*EF!$H33)*kgtoGg=0,"NO",('Activity data'!BC20*EF!$H33)*kgtoGg)</f>
        <v>3.1366479798785045</v>
      </c>
      <c r="AK1408" s="27">
        <f>IF(('Activity data'!BD20*EF!$H33)*kgtoGg=0,"NO",('Activity data'!BD20*EF!$H33)*kgtoGg)</f>
        <v>3.228263044676527</v>
      </c>
      <c r="AL1408" s="27">
        <f>IF(('Activity data'!BE20*EF!$H33)*kgtoGg=0,"NO",('Activity data'!BE20*EF!$H33)*kgtoGg)</f>
        <v>3.3257213723703618</v>
      </c>
      <c r="AM1408" s="27">
        <f>IF(('Activity data'!BF20*EF!$H33)*kgtoGg=0,"NO",('Activity data'!BF20*EF!$H33)*kgtoGg)</f>
        <v>3.4238536012880374</v>
      </c>
      <c r="AN1408" s="27">
        <f>IF(('Activity data'!BG20*EF!$H33)*kgtoGg=0,"NO",('Activity data'!BG20*EF!$H33)*kgtoGg)</f>
        <v>3.5403209104075128</v>
      </c>
      <c r="AO1408" s="27">
        <f>IF(('Activity data'!BH20*EF!$H33)*kgtoGg=0,"NO",('Activity data'!BH20*EF!$H33)*kgtoGg)</f>
        <v>3.6511369162882397</v>
      </c>
      <c r="AP1408" s="27">
        <f>IF(('Activity data'!BI20*EF!$H33)*kgtoGg=0,"NO",('Activity data'!BI20*EF!$H33)*kgtoGg)</f>
        <v>3.7640318136014432</v>
      </c>
      <c r="AQ1408" s="27">
        <f>IF(('Activity data'!BJ20*EF!$H33)*kgtoGg=0,"NO",('Activity data'!BJ20*EF!$H33)*kgtoGg)</f>
        <v>3.8810201496437728</v>
      </c>
      <c r="AR1408" s="27">
        <f>IF(('Activity data'!BK20*EF!$H33)*kgtoGg=0,"NO",('Activity data'!BK20*EF!$H33)*kgtoGg)</f>
        <v>4.0028778541582692</v>
      </c>
      <c r="AS1408" s="27">
        <f>IF(('Activity data'!BL20*EF!$H33)*kgtoGg=0,"NO",('Activity data'!BL20*EF!$H33)*kgtoGg)</f>
        <v>4.1464729012292834</v>
      </c>
      <c r="AT1408" s="27">
        <f>IF(('Activity data'!BM20*EF!$H33)*kgtoGg=0,"NO",('Activity data'!BM20*EF!$H33)*kgtoGg)</f>
        <v>4.2389508928341062</v>
      </c>
      <c r="AU1408" s="27">
        <f>IF(('Activity data'!BN20*EF!$H33)*kgtoGg=0,"NO",('Activity data'!BN20*EF!$H33)*kgtoGg)</f>
        <v>4.3281678617131494</v>
      </c>
      <c r="AV1408" s="27">
        <f>IF(('Activity data'!BO20*EF!$H33)*kgtoGg=0,"NO",('Activity data'!BO20*EF!$H33)*kgtoGg)</f>
        <v>4.4196303430169497</v>
      </c>
      <c r="AW1408" s="27">
        <f>IF(('Activity data'!BP20*EF!$H33)*kgtoGg=0,"NO",('Activity data'!BP20*EF!$H33)*kgtoGg)</f>
        <v>4.5110296667808401</v>
      </c>
    </row>
    <row r="1409" spans="1:49" x14ac:dyDescent="0.2">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2.3161053423012622E-2</v>
      </c>
      <c r="L1409" s="27">
        <f>IF(('Activity data'!AE21*EF!$H34)*kgtoGg=0,"NO",('Activity data'!AE21*EF!$H34)*kgtoGg)</f>
        <v>2.3631963555267661E-2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2.4944242822745932E-2</v>
      </c>
      <c r="P1409" s="27">
        <f>IF(('Activity data'!AI21*EF!$H34)*kgtoGg=0,"NO",('Activity data'!AI21*EF!$H34)*kgtoGg)</f>
        <v>2.5198104828966564E-2</v>
      </c>
      <c r="Q1409" s="27">
        <f>IF(('Activity data'!AJ21*EF!$H34)*kgtoGg=0,"NO",('Activity data'!AJ21*EF!$H34)*kgtoGg)</f>
        <v>2.5523625995077459E-2</v>
      </c>
      <c r="R1409" s="27">
        <f>IF(('Activity data'!AK21*EF!$H34)*kgtoGg=0,"NO",('Activity data'!AK21*EF!$H34)*kgtoGg)</f>
        <v>2.5862077897454098E-2</v>
      </c>
      <c r="S1409" s="27">
        <f>IF(('Activity data'!AL21*EF!$H34)*kgtoGg=0,"NO",('Activity data'!AL21*EF!$H34)*kgtoGg)</f>
        <v>2.4827585564527698E-2</v>
      </c>
      <c r="T1409" s="27">
        <f>IF(('Activity data'!AM21*EF!$H34)*kgtoGg=0,"NO",('Activity data'!AM21*EF!$H34)*kgtoGg)</f>
        <v>2.5486087178475895E-2</v>
      </c>
      <c r="U1409" s="27">
        <f>IF(('Activity data'!AN21*EF!$H34)*kgtoGg=0,"NO",('Activity data'!AN21*EF!$H34)*kgtoGg)</f>
        <v>2.6035541273385285E-2</v>
      </c>
      <c r="V1409" s="27">
        <f>IF(('Activity data'!AO21*EF!$H34)*kgtoGg=0,"NO",('Activity data'!AO21*EF!$H34)*kgtoGg)</f>
        <v>2.6560965171483649E-2</v>
      </c>
      <c r="W1409" s="27">
        <f>IF(('Activity data'!AP21*EF!$H34)*kgtoGg=0,"NO",('Activity data'!AP21*EF!$H34)*kgtoGg)</f>
        <v>2.7145121762770889E-2</v>
      </c>
      <c r="X1409" s="27">
        <f>IF(('Activity data'!AQ21*EF!$H34)*kgtoGg=0,"NO",('Activity data'!AQ21*EF!$H34)*kgtoGg)</f>
        <v>2.7708248229993501E-2</v>
      </c>
      <c r="Y1409" s="27">
        <f>IF(('Activity data'!AR21*EF!$H34)*kgtoGg=0,"NO",('Activity data'!AR21*EF!$H34)*kgtoGg)</f>
        <v>2.8213866962301819E-2</v>
      </c>
      <c r="Z1409" s="27">
        <f>IF(('Activity data'!AS21*EF!$H34)*kgtoGg=0,"NO",('Activity data'!AS21*EF!$H34)*kgtoGg)</f>
        <v>2.8706851310880941E-2</v>
      </c>
      <c r="AA1409" s="27">
        <f>IF(('Activity data'!AT21*EF!$H34)*kgtoGg=0,"NO",('Activity data'!AT21*EF!$H34)*kgtoGg)</f>
        <v>2.9179391564757153E-2</v>
      </c>
      <c r="AB1409" s="27">
        <f>IF(('Activity data'!AU21*EF!$H34)*kgtoGg=0,"NO",('Activity data'!AU21*EF!$H34)*kgtoGg)</f>
        <v>2.9747583298672345E-2</v>
      </c>
      <c r="AC1409" s="27">
        <f>IF(('Activity data'!AV21*EF!$H34)*kgtoGg=0,"NO",('Activity data'!AV21*EF!$H34)*kgtoGg)</f>
        <v>3.0311879498672922E-2</v>
      </c>
      <c r="AD1409" s="27">
        <f>IF(('Activity data'!AW21*EF!$H34)*kgtoGg=0,"NO",('Activity data'!AW21*EF!$H34)*kgtoGg)</f>
        <v>3.0903338889043501E-2</v>
      </c>
      <c r="AE1409" s="27">
        <f>IF(('Activity data'!AX21*EF!$H34)*kgtoGg=0,"NO",('Activity data'!AX21*EF!$H34)*kgtoGg)</f>
        <v>3.1592106107355133E-2</v>
      </c>
      <c r="AF1409" s="27">
        <f>IF(('Activity data'!AY21*EF!$H34)*kgtoGg=0,"NO",('Activity data'!AY21*EF!$H34)*kgtoGg)</f>
        <v>3.2331772553839976E-2</v>
      </c>
      <c r="AG1409" s="27">
        <f>IF(('Activity data'!AZ21*EF!$H34)*kgtoGg=0,"NO",('Activity data'!AZ21*EF!$H34)*kgtoGg)</f>
        <v>3.3179306058555749E-2</v>
      </c>
      <c r="AH1409" s="27">
        <f>IF(('Activity data'!BA21*EF!$H34)*kgtoGg=0,"NO",('Activity data'!BA21*EF!$H34)*kgtoGg)</f>
        <v>3.3879880784644982E-2</v>
      </c>
      <c r="AI1409" s="27">
        <f>IF(('Activity data'!BB21*EF!$H34)*kgtoGg=0,"NO",('Activity data'!BB21*EF!$H34)*kgtoGg)</f>
        <v>3.4550190741567552E-2</v>
      </c>
      <c r="AJ1409" s="27">
        <f>IF(('Activity data'!BC21*EF!$H34)*kgtoGg=0,"NO",('Activity data'!BC21*EF!$H34)*kgtoGg)</f>
        <v>3.5278332346172038E-2</v>
      </c>
      <c r="AK1409" s="27">
        <f>IF(('Activity data'!BD21*EF!$H34)*kgtoGg=0,"NO",('Activity data'!BD21*EF!$H34)*kgtoGg)</f>
        <v>3.5991103595981948E-2</v>
      </c>
      <c r="AL1409" s="27">
        <f>IF(('Activity data'!BE21*EF!$H34)*kgtoGg=0,"NO",('Activity data'!BE21*EF!$H34)*kgtoGg)</f>
        <v>3.6738998105945983E-2</v>
      </c>
      <c r="AM1409" s="27">
        <f>IF(('Activity data'!BF21*EF!$H34)*kgtoGg=0,"NO",('Activity data'!BF21*EF!$H34)*kgtoGg)</f>
        <v>3.7496307305721614E-2</v>
      </c>
      <c r="AN1409" s="27">
        <f>IF(('Activity data'!BG21*EF!$H34)*kgtoGg=0,"NO",('Activity data'!BG21*EF!$H34)*kgtoGg)</f>
        <v>3.8329172074891393E-2</v>
      </c>
      <c r="AO1409" s="27">
        <f>IF(('Activity data'!BH21*EF!$H34)*kgtoGg=0,"NO",('Activity data'!BH21*EF!$H34)*kgtoGg)</f>
        <v>3.9139775328705488E-2</v>
      </c>
      <c r="AP1409" s="27">
        <f>IF(('Activity data'!BI21*EF!$H34)*kgtoGg=0,"NO",('Activity data'!BI21*EF!$H34)*kgtoGg)</f>
        <v>3.9967441068807751E-2</v>
      </c>
      <c r="AQ1409" s="27">
        <f>IF(('Activity data'!BJ21*EF!$H34)*kgtoGg=0,"NO",('Activity data'!BJ21*EF!$H34)*kgtoGg)</f>
        <v>4.0822756226565615E-2</v>
      </c>
      <c r="AR1409" s="27">
        <f>IF(('Activity data'!BK21*EF!$H34)*kgtoGg=0,"NO",('Activity data'!BK21*EF!$H34)*kgtoGg)</f>
        <v>4.1710077793507598E-2</v>
      </c>
      <c r="AS1409" s="27">
        <f>IF(('Activity data'!BL21*EF!$H34)*kgtoGg=0,"NO",('Activity data'!BL21*EF!$H34)*kgtoGg)</f>
        <v>4.2693686196041997E-2</v>
      </c>
      <c r="AT1409" s="27">
        <f>IF(('Activity data'!BM21*EF!$H34)*kgtoGg=0,"NO",('Activity data'!BM21*EF!$H34)*kgtoGg)</f>
        <v>4.3415280428452788E-2</v>
      </c>
      <c r="AU1409" s="27">
        <f>IF(('Activity data'!BN21*EF!$H34)*kgtoGg=0,"NO",('Activity data'!BN21*EF!$H34)*kgtoGg)</f>
        <v>4.4124327152839558E-2</v>
      </c>
      <c r="AV1409" s="27">
        <f>IF(('Activity data'!BO21*EF!$H34)*kgtoGg=0,"NO",('Activity data'!BO21*EF!$H34)*kgtoGg)</f>
        <v>4.4849891383265984E-2</v>
      </c>
      <c r="AW1409" s="27">
        <f>IF(('Activity data'!BP21*EF!$H34)*kgtoGg=0,"NO",('Activity data'!BP21*EF!$H34)*kgtoGg)</f>
        <v>4.5579757154553702E-2</v>
      </c>
    </row>
    <row r="1410" spans="1:49" x14ac:dyDescent="0.2">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9.2084154088933862E-2</v>
      </c>
      <c r="L1410" s="27">
        <f>IF(('Activity data'!AE22*EF!$H35)*kgtoGg=0,"NO",('Activity data'!AE22*EF!$H35)*kgtoGg)</f>
        <v>9.3296737810214622E-2</v>
      </c>
      <c r="M1410" s="27">
        <f>IF(('Activity data'!AF22*EF!$H35)*kgtoGg=0,"NO",('Activity data'!AF22*EF!$H35)*kgtoGg)</f>
        <v>9.5244495094686854E-2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9.3696712749775937E-2</v>
      </c>
      <c r="R1410" s="27">
        <f>IF(('Activity data'!AK22*EF!$H35)*kgtoGg=0,"NO",('Activity data'!AK22*EF!$H35)*kgtoGg)</f>
        <v>9.3292648760063296E-2</v>
      </c>
      <c r="S1410" s="27">
        <f>IF(('Activity data'!AL22*EF!$H35)*kgtoGg=0,"NO",('Activity data'!AL22*EF!$H35)*kgtoGg)</f>
        <v>7.9755178742826727E-2</v>
      </c>
      <c r="T1410" s="27">
        <f>IF(('Activity data'!AM22*EF!$H35)*kgtoGg=0,"NO",('Activity data'!AM22*EF!$H35)*kgtoGg)</f>
        <v>8.3270415519235544E-2</v>
      </c>
      <c r="U1410" s="27">
        <f>IF(('Activity data'!AN22*EF!$H35)*kgtoGg=0,"NO",('Activity data'!AN22*EF!$H35)*kgtoGg)</f>
        <v>8.5692838852079192E-2</v>
      </c>
      <c r="V1410" s="27">
        <f>IF(('Activity data'!AO22*EF!$H35)*kgtoGg=0,"NO",('Activity data'!AO22*EF!$H35)*kgtoGg)</f>
        <v>8.7842688467199587E-2</v>
      </c>
      <c r="W1410" s="27">
        <f>IF(('Activity data'!AP22*EF!$H35)*kgtoGg=0,"NO",('Activity data'!AP22*EF!$H35)*kgtoGg)</f>
        <v>9.0489653220748326E-2</v>
      </c>
      <c r="X1410" s="27">
        <f>IF(('Activity data'!AQ22*EF!$H35)*kgtoGg=0,"NO",('Activity data'!AQ22*EF!$H35)*kgtoGg)</f>
        <v>9.289224195319265E-2</v>
      </c>
      <c r="Y1410" s="27">
        <f>IF(('Activity data'!AR22*EF!$H35)*kgtoGg=0,"NO",('Activity data'!AR22*EF!$H35)*kgtoGg)</f>
        <v>9.5012864893657414E-2</v>
      </c>
      <c r="Z1410" s="27">
        <f>IF(('Activity data'!AS22*EF!$H35)*kgtoGg=0,"NO",('Activity data'!AS22*EF!$H35)*kgtoGg)</f>
        <v>9.6983164815569928E-2</v>
      </c>
      <c r="AA1410" s="27">
        <f>IF(('Activity data'!AT22*EF!$H35)*kgtoGg=0,"NO",('Activity data'!AT22*EF!$H35)*kgtoGg)</f>
        <v>9.8736943404101787E-2</v>
      </c>
      <c r="AB1410" s="27">
        <f>IF(('Activity data'!AU22*EF!$H35)*kgtoGg=0,"NO",('Activity data'!AU22*EF!$H35)*kgtoGg)</f>
        <v>0.10130653187835065</v>
      </c>
      <c r="AC1410" s="27">
        <f>IF(('Activity data'!AV22*EF!$H35)*kgtoGg=0,"NO",('Activity data'!AV22*EF!$H35)*kgtoGg)</f>
        <v>0.10379903446772733</v>
      </c>
      <c r="AD1410" s="27">
        <f>IF(('Activity data'!AW22*EF!$H35)*kgtoGg=0,"NO",('Activity data'!AW22*EF!$H35)*kgtoGg)</f>
        <v>0.1067152128865853</v>
      </c>
      <c r="AE1410" s="27">
        <f>IF(('Activity data'!AX22*EF!$H35)*kgtoGg=0,"NO",('Activity data'!AX22*EF!$H35)*kgtoGg)</f>
        <v>0.11043111193198749</v>
      </c>
      <c r="AF1410" s="27">
        <f>IF(('Activity data'!AY22*EF!$H35)*kgtoGg=0,"NO",('Activity data'!AY22*EF!$H35)*kgtoGg)</f>
        <v>0.11453121722526576</v>
      </c>
      <c r="AG1410" s="27">
        <f>IF(('Activity data'!AZ22*EF!$H35)*kgtoGg=0,"NO",('Activity data'!AZ22*EF!$H35)*kgtoGg)</f>
        <v>0.11949461194818344</v>
      </c>
      <c r="AH1410" s="27">
        <f>IF(('Activity data'!BA22*EF!$H35)*kgtoGg=0,"NO",('Activity data'!BA22*EF!$H35)*kgtoGg)</f>
        <v>0.12314286787078389</v>
      </c>
      <c r="AI1410" s="27">
        <f>IF(('Activity data'!BB22*EF!$H35)*kgtoGg=0,"NO",('Activity data'!BB22*EF!$H35)*kgtoGg)</f>
        <v>0.12669861870544499</v>
      </c>
      <c r="AJ1410" s="27">
        <f>IF(('Activity data'!BC22*EF!$H35)*kgtoGg=0,"NO",('Activity data'!BC22*EF!$H35)*kgtoGg)</f>
        <v>0.13069366582827113</v>
      </c>
      <c r="AK1410" s="27">
        <f>IF(('Activity data'!BD22*EF!$H35)*kgtoGg=0,"NO",('Activity data'!BD22*EF!$H35)*kgtoGg)</f>
        <v>0.13451096019485542</v>
      </c>
      <c r="AL1410" s="27">
        <f>IF(('Activity data'!BE22*EF!$H35)*kgtoGg=0,"NO",('Activity data'!BE22*EF!$H35)*kgtoGg)</f>
        <v>0.13857172384876518</v>
      </c>
      <c r="AM1410" s="27">
        <f>IF(('Activity data'!BF22*EF!$H35)*kgtoGg=0,"NO",('Activity data'!BF22*EF!$H35)*kgtoGg)</f>
        <v>0.14266056672033503</v>
      </c>
      <c r="AN1410" s="27">
        <f>IF(('Activity data'!BG22*EF!$H35)*kgtoGg=0,"NO",('Activity data'!BG22*EF!$H35)*kgtoGg)</f>
        <v>0.14751337126697986</v>
      </c>
      <c r="AO1410" s="27">
        <f>IF(('Activity data'!BH22*EF!$H35)*kgtoGg=0,"NO",('Activity data'!BH22*EF!$H35)*kgtoGg)</f>
        <v>0.15213070484534344</v>
      </c>
      <c r="AP1410" s="27">
        <f>IF(('Activity data'!BI22*EF!$H35)*kgtoGg=0,"NO",('Activity data'!BI22*EF!$H35)*kgtoGg)</f>
        <v>0.15683465890006026</v>
      </c>
      <c r="AQ1410" s="27">
        <f>IF(('Activity data'!BJ22*EF!$H35)*kgtoGg=0,"NO",('Activity data'!BJ22*EF!$H35)*kgtoGg)</f>
        <v>0.16170917290182402</v>
      </c>
      <c r="AR1410" s="27">
        <f>IF(('Activity data'!BK22*EF!$H35)*kgtoGg=0,"NO",('Activity data'!BK22*EF!$H35)*kgtoGg)</f>
        <v>0.16678657725659471</v>
      </c>
      <c r="AS1410" s="27">
        <f>IF(('Activity data'!BL22*EF!$H35)*kgtoGg=0,"NO",('Activity data'!BL22*EF!$H35)*kgtoGg)</f>
        <v>0.17276970421788695</v>
      </c>
      <c r="AT1410" s="27">
        <f>IF(('Activity data'!BM22*EF!$H35)*kgtoGg=0,"NO",('Activity data'!BM22*EF!$H35)*kgtoGg)</f>
        <v>0.17662295386808796</v>
      </c>
      <c r="AU1410" s="27">
        <f>IF(('Activity data'!BN22*EF!$H35)*kgtoGg=0,"NO",('Activity data'!BN22*EF!$H35)*kgtoGg)</f>
        <v>0.18034032757138141</v>
      </c>
      <c r="AV1410" s="27">
        <f>IF(('Activity data'!BO22*EF!$H35)*kgtoGg=0,"NO",('Activity data'!BO22*EF!$H35)*kgtoGg)</f>
        <v>0.18415126429237305</v>
      </c>
      <c r="AW1410" s="27">
        <f>IF(('Activity data'!BP22*EF!$H35)*kgtoGg=0,"NO",('Activity data'!BP22*EF!$H35)*kgtoGg)</f>
        <v>0.18795956944920184</v>
      </c>
    </row>
    <row r="1411" spans="1:49" x14ac:dyDescent="0.2">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5.9806569587962537E-2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6.0782907527895308E-2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6.1344406036983767E-2</v>
      </c>
      <c r="S1411" s="27">
        <f>IF(('Activity data'!AL5*EF!$H36*EF!$H54)*NtoN2O*kgtoGg=0,"NO",('Activity data'!AL5*EF!$H36*EF!$H54)*NtoN2O*kgtoGg)</f>
        <v>5.9665089567979834E-2</v>
      </c>
      <c r="T1411" s="27">
        <f>IF(('Activity data'!AM5*EF!$H36*EF!$H54)*NtoN2O*kgtoGg=0,"NO",('Activity data'!AM5*EF!$H36*EF!$H54)*NtoN2O*kgtoGg)</f>
        <v>6.0350771242359769E-2</v>
      </c>
      <c r="U1411" s="27">
        <f>IF(('Activity data'!AN5*EF!$H36*EF!$H54)*NtoN2O*kgtoGg=0,"NO",('Activity data'!AN5*EF!$H36*EF!$H54)*NtoN2O*kgtoGg)</f>
        <v>6.0888075169397142E-2</v>
      </c>
      <c r="V1411" s="27">
        <f>IF(('Activity data'!AO5*EF!$H36*EF!$H54)*NtoN2O*kgtoGg=0,"NO",('Activity data'!AO5*EF!$H36*EF!$H54)*NtoN2O*kgtoGg)</f>
        <v>6.139711160102531E-2</v>
      </c>
      <c r="W1411" s="27">
        <f>IF(('Activity data'!AP5*EF!$H36*EF!$H54)*NtoN2O*kgtoGg=0,"NO",('Activity data'!AP5*EF!$H36*EF!$H54)*NtoN2O*kgtoGg)</f>
        <v>6.1992224918562065E-2</v>
      </c>
      <c r="X1411" s="27">
        <f>IF(('Activity data'!AQ5*EF!$H36*EF!$H54)*NtoN2O*kgtoGg=0,"NO",('Activity data'!AQ5*EF!$H36*EF!$H54)*NtoN2O*kgtoGg)</f>
        <v>6.2562148930794551E-2</v>
      </c>
      <c r="Y1411" s="27">
        <f>IF(('Activity data'!AR5*EF!$H36*EF!$H54)*NtoN2O*kgtoGg=0,"NO",('Activity data'!AR5*EF!$H36*EF!$H54)*NtoN2O*kgtoGg)</f>
        <v>6.3040140287419597E-2</v>
      </c>
      <c r="Z1411" s="27">
        <f>IF(('Activity data'!AS5*EF!$H36*EF!$H54)*NtoN2O*kgtoGg=0,"NO",('Activity data'!AS5*EF!$H36*EF!$H54)*NtoN2O*kgtoGg)</f>
        <v>6.3504855616237185E-2</v>
      </c>
      <c r="AA1411" s="27">
        <f>IF(('Activity data'!AT5*EF!$H36*EF!$H54)*NtoN2O*kgtoGg=0,"NO",('Activity data'!AT5*EF!$H36*EF!$H54)*NtoN2O*kgtoGg)</f>
        <v>6.3945644322408624E-2</v>
      </c>
      <c r="AB1411" s="27">
        <f>IF(('Activity data'!AU5*EF!$H36*EF!$H54)*NtoN2O*kgtoGg=0,"NO",('Activity data'!AU5*EF!$H36*EF!$H54)*NtoN2O*kgtoGg)</f>
        <v>6.4519032075900526E-2</v>
      </c>
      <c r="AC1411" s="27">
        <f>IF(('Activity data'!AV5*EF!$H36*EF!$H54)*NtoN2O*kgtoGg=0,"NO",('Activity data'!AV5*EF!$H36*EF!$H54)*NtoN2O*kgtoGg)</f>
        <v>6.5089471381032354E-2</v>
      </c>
      <c r="AD1411" s="27">
        <f>IF(('Activity data'!AW5*EF!$H36*EF!$H54)*NtoN2O*kgtoGg=0,"NO",('Activity data'!AW5*EF!$H36*EF!$H54)*NtoN2O*kgtoGg)</f>
        <v>6.5684604542898692E-2</v>
      </c>
      <c r="AE1411" s="27">
        <f>IF(('Activity data'!AX5*EF!$H36*EF!$H54)*NtoN2O*kgtoGg=0,"NO",('Activity data'!AX5*EF!$H36*EF!$H54)*NtoN2O*kgtoGg)</f>
        <v>6.6410653636350389E-2</v>
      </c>
      <c r="AF1411" s="27">
        <f>IF(('Activity data'!AY5*EF!$H36*EF!$H54)*NtoN2O*kgtoGg=0,"NO",('Activity data'!AY5*EF!$H36*EF!$H54)*NtoN2O*kgtoGg)</f>
        <v>6.7204391254708923E-2</v>
      </c>
      <c r="AG1411" s="27">
        <f>IF(('Activity data'!AZ5*EF!$H36*EF!$H54)*NtoN2O*kgtoGg=0,"NO",('Activity data'!AZ5*EF!$H36*EF!$H54)*NtoN2O*kgtoGg)</f>
        <v>6.8140044673053207E-2</v>
      </c>
      <c r="AH1411" s="27">
        <f>IF(('Activity data'!BA5*EF!$H36*EF!$H54)*NtoN2O*kgtoGg=0,"NO",('Activity data'!BA5*EF!$H36*EF!$H54)*NtoN2O*kgtoGg)</f>
        <v>6.888108453498494E-2</v>
      </c>
      <c r="AI1411" s="27">
        <f>IF(('Activity data'!BB5*EF!$H36*EF!$H54)*NtoN2O*kgtoGg=0,"NO",('Activity data'!BB5*EF!$H36*EF!$H54)*NtoN2O*kgtoGg)</f>
        <v>6.9569502535986497E-2</v>
      </c>
      <c r="AJ1411" s="27">
        <f>IF(('Activity data'!BC5*EF!$H36*EF!$H54)*NtoN2O*kgtoGg=0,"NO",('Activity data'!BC5*EF!$H36*EF!$H54)*NtoN2O*kgtoGg)</f>
        <v>7.0333394582188791E-2</v>
      </c>
      <c r="AK1411" s="27">
        <f>IF(('Activity data'!BD5*EF!$H36*EF!$H54)*NtoN2O*kgtoGg=0,"NO",('Activity data'!BD5*EF!$H36*EF!$H54)*NtoN2O*kgtoGg)</f>
        <v>7.1076775459671046E-2</v>
      </c>
      <c r="AL1411" s="27">
        <f>IF(('Activity data'!BE5*EF!$H36*EF!$H54)*NtoN2O*kgtoGg=0,"NO",('Activity data'!BE5*EF!$H36*EF!$H54)*NtoN2O*kgtoGg)</f>
        <v>7.1865166896586383E-2</v>
      </c>
      <c r="AM1411" s="27">
        <f>IF(('Activity data'!BF5*EF!$H36*EF!$H54)*NtoN2O*kgtoGg=0,"NO",('Activity data'!BF5*EF!$H36*EF!$H54)*NtoN2O*kgtoGg)</f>
        <v>7.2664891568343645E-2</v>
      </c>
      <c r="AN1411" s="27">
        <f>IF(('Activity data'!BG5*EF!$H36*EF!$H54)*NtoN2O*kgtoGg=0,"NO",('Activity data'!BG5*EF!$H36*EF!$H54)*NtoN2O*kgtoGg)</f>
        <v>7.3548705139755158E-2</v>
      </c>
      <c r="AO1411" s="27">
        <f>IF(('Activity data'!BH5*EF!$H36*EF!$H54)*NtoN2O*kgtoGg=0,"NO",('Activity data'!BH5*EF!$H36*EF!$H54)*NtoN2O*kgtoGg)</f>
        <v>7.4402331665901211E-2</v>
      </c>
      <c r="AP1411" s="27">
        <f>IF(('Activity data'!BI5*EF!$H36*EF!$H54)*NtoN2O*kgtoGg=0,"NO",('Activity data'!BI5*EF!$H36*EF!$H54)*NtoN2O*kgtoGg)</f>
        <v>7.5276250928073038E-2</v>
      </c>
      <c r="AQ1411" s="27">
        <f>IF(('Activity data'!BJ5*EF!$H36*EF!$H54)*NtoN2O*kgtoGg=0,"NO",('Activity data'!BJ5*EF!$H36*EF!$H54)*NtoN2O*kgtoGg)</f>
        <v>7.6183713879707002E-2</v>
      </c>
      <c r="AR1411" s="27">
        <f>IF(('Activity data'!BK5*EF!$H36*EF!$H54)*NtoN2O*kgtoGg=0,"NO",('Activity data'!BK5*EF!$H36*EF!$H54)*NtoN2O*kgtoGg)</f>
        <v>7.7129908476892481E-2</v>
      </c>
      <c r="AS1411" s="27">
        <f>IF(('Activity data'!BL5*EF!$H36*EF!$H54)*NtoN2O*kgtoGg=0,"NO",('Activity data'!BL5*EF!$H36*EF!$H54)*NtoN2O*kgtoGg)</f>
        <v>7.8183489117849933E-2</v>
      </c>
      <c r="AT1411" s="27">
        <f>IF(('Activity data'!BM5*EF!$H36*EF!$H54)*NtoN2O*kgtoGg=0,"NO",('Activity data'!BM5*EF!$H36*EF!$H54)*NtoN2O*kgtoGg)</f>
        <v>7.890407273633461E-2</v>
      </c>
      <c r="AU1411" s="27">
        <f>IF(('Activity data'!BN5*EF!$H36*EF!$H54)*NtoN2O*kgtoGg=0,"NO",('Activity data'!BN5*EF!$H36*EF!$H54)*NtoN2O*kgtoGg)</f>
        <v>7.960808386314952E-2</v>
      </c>
      <c r="AV1411" s="27">
        <f>IF(('Activity data'!BO5*EF!$H36*EF!$H54)*NtoN2O*kgtoGg=0,"NO",('Activity data'!BO5*EF!$H36*EF!$H54)*NtoN2O*kgtoGg)</f>
        <v>8.0332044119121343E-2</v>
      </c>
      <c r="AW1411" s="27">
        <f>IF(('Activity data'!BP5*EF!$H36*EF!$H54)*NtoN2O*kgtoGg=0,"NO",('Activity data'!BP5*EF!$H36*EF!$H54)*NtoN2O*kgtoGg)</f>
        <v>8.1060500675567429E-2</v>
      </c>
    </row>
    <row r="1412" spans="1:49" x14ac:dyDescent="0.2">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0.26187096745907495</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0.26614599213711054</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0.26860458755254496</v>
      </c>
      <c r="S1412" s="27">
        <f>IF(('Activity data'!AL6*EF!$H37*EF!$H55)*NtoN2O*kgtoGg=0,"NO",('Activity data'!AL6*EF!$H37*EF!$H55)*NtoN2O*kgtoGg)</f>
        <v>0.26125147849717245</v>
      </c>
      <c r="T1412" s="27">
        <f>IF(('Activity data'!AM6*EF!$H37*EF!$H55)*NtoN2O*kgtoGg=0,"NO",('Activity data'!AM6*EF!$H37*EF!$H55)*NtoN2O*kgtoGg)</f>
        <v>0.26425382631073058</v>
      </c>
      <c r="U1412" s="27">
        <f>IF(('Activity data'!AN6*EF!$H37*EF!$H55)*NtoN2O*kgtoGg=0,"NO",('Activity data'!AN6*EF!$H37*EF!$H55)*NtoN2O*kgtoGg)</f>
        <v>0.26660648255171249</v>
      </c>
      <c r="V1412" s="27">
        <f>IF(('Activity data'!AO6*EF!$H37*EF!$H55)*NtoN2O*kgtoGg=0,"NO",('Activity data'!AO6*EF!$H37*EF!$H55)*NtoN2O*kgtoGg)</f>
        <v>0.26883536582893036</v>
      </c>
      <c r="W1412" s="27">
        <f>IF(('Activity data'!AP6*EF!$H37*EF!$H55)*NtoN2O*kgtoGg=0,"NO",('Activity data'!AP6*EF!$H37*EF!$H55)*NtoN2O*kgtoGg)</f>
        <v>0.27144114812483544</v>
      </c>
      <c r="X1412" s="27">
        <f>IF(('Activity data'!AQ6*EF!$H37*EF!$H55)*NtoN2O*kgtoGg=0,"NO",('Activity data'!AQ6*EF!$H37*EF!$H55)*NtoN2O*kgtoGg)</f>
        <v>0.27393663571908672</v>
      </c>
      <c r="Y1412" s="27">
        <f>IF(('Activity data'!AR6*EF!$H37*EF!$H55)*NtoN2O*kgtoGg=0,"NO",('Activity data'!AR6*EF!$H37*EF!$H55)*NtoN2O*kgtoGg)</f>
        <v>0.27602958403327432</v>
      </c>
      <c r="Z1412" s="27">
        <f>IF(('Activity data'!AS6*EF!$H37*EF!$H55)*NtoN2O*kgtoGg=0,"NO",('Activity data'!AS6*EF!$H37*EF!$H55)*NtoN2O*kgtoGg)</f>
        <v>0.27806440150548434</v>
      </c>
      <c r="AA1412" s="27">
        <f>IF(('Activity data'!AT6*EF!$H37*EF!$H55)*NtoN2O*kgtoGg=0,"NO",('Activity data'!AT6*EF!$H37*EF!$H55)*NtoN2O*kgtoGg)</f>
        <v>0.27999445309890292</v>
      </c>
      <c r="AB1412" s="27">
        <f>IF(('Activity data'!AU6*EF!$H37*EF!$H55)*NtoN2O*kgtoGg=0,"NO",('Activity data'!AU6*EF!$H37*EF!$H55)*NtoN2O*kgtoGg)</f>
        <v>0.28250510714193849</v>
      </c>
      <c r="AC1412" s="27">
        <f>IF(('Activity data'!AV6*EF!$H37*EF!$H55)*NtoN2O*kgtoGg=0,"NO",('Activity data'!AV6*EF!$H37*EF!$H55)*NtoN2O*kgtoGg)</f>
        <v>0.2850028510142375</v>
      </c>
      <c r="AD1412" s="27">
        <f>IF(('Activity data'!AW6*EF!$H37*EF!$H55)*NtoN2O*kgtoGg=0,"NO",('Activity data'!AW6*EF!$H37*EF!$H55)*NtoN2O*kgtoGg)</f>
        <v>0.2876087202011619</v>
      </c>
      <c r="AE1412" s="27">
        <f>IF(('Activity data'!AX6*EF!$H37*EF!$H55)*NtoN2O*kgtoGg=0,"NO",('Activity data'!AX6*EF!$H37*EF!$H55)*NtoN2O*kgtoGg)</f>
        <v>0.29078782209305915</v>
      </c>
      <c r="AF1412" s="27">
        <f>IF(('Activity data'!AY6*EF!$H37*EF!$H55)*NtoN2O*kgtoGg=0,"NO",('Activity data'!AY6*EF!$H37*EF!$H55)*NtoN2O*kgtoGg)</f>
        <v>0.29426330713525839</v>
      </c>
      <c r="AG1412" s="27">
        <f>IF(('Activity data'!AZ6*EF!$H37*EF!$H55)*NtoN2O*kgtoGg=0,"NO",('Activity data'!AZ6*EF!$H37*EF!$H55)*NtoN2O*kgtoGg)</f>
        <v>0.29836018925968516</v>
      </c>
      <c r="AH1412" s="27">
        <f>IF(('Activity data'!BA6*EF!$H37*EF!$H55)*NtoN2O*kgtoGg=0,"NO",('Activity data'!BA6*EF!$H37*EF!$H55)*NtoN2O*kgtoGg)</f>
        <v>0.30160493021217166</v>
      </c>
      <c r="AI1412" s="27">
        <f>IF(('Activity data'!BB6*EF!$H37*EF!$H55)*NtoN2O*kgtoGg=0,"NO",('Activity data'!BB6*EF!$H37*EF!$H55)*NtoN2O*kgtoGg)</f>
        <v>0.30461925939340617</v>
      </c>
      <c r="AJ1412" s="27">
        <f>IF(('Activity data'!BC6*EF!$H37*EF!$H55)*NtoN2O*kgtoGg=0,"NO",('Activity data'!BC6*EF!$H37*EF!$H55)*NtoN2O*kgtoGg)</f>
        <v>0.30796406165428591</v>
      </c>
      <c r="AK1412" s="27">
        <f>IF(('Activity data'!BD6*EF!$H37*EF!$H55)*NtoN2O*kgtoGg=0,"NO",('Activity data'!BD6*EF!$H37*EF!$H55)*NtoN2O*kgtoGg)</f>
        <v>0.31121905305268976</v>
      </c>
      <c r="AL1412" s="27">
        <f>IF(('Activity data'!BE6*EF!$H37*EF!$H55)*NtoN2O*kgtoGg=0,"NO",('Activity data'!BE6*EF!$H37*EF!$H55)*NtoN2O*kgtoGg)</f>
        <v>0.31467112913302436</v>
      </c>
      <c r="AM1412" s="27">
        <f>IF(('Activity data'!BF6*EF!$H37*EF!$H55)*NtoN2O*kgtoGg=0,"NO",('Activity data'!BF6*EF!$H37*EF!$H55)*NtoN2O*kgtoGg)</f>
        <v>0.31817282927962681</v>
      </c>
      <c r="AN1412" s="27">
        <f>IF(('Activity data'!BG6*EF!$H37*EF!$H55)*NtoN2O*kgtoGg=0,"NO",('Activity data'!BG6*EF!$H37*EF!$H55)*NtoN2O*kgtoGg)</f>
        <v>0.32204272378442023</v>
      </c>
      <c r="AO1412" s="27">
        <f>IF(('Activity data'!BH6*EF!$H37*EF!$H55)*NtoN2O*kgtoGg=0,"NO",('Activity data'!BH6*EF!$H37*EF!$H55)*NtoN2O*kgtoGg)</f>
        <v>0.32578044032276504</v>
      </c>
      <c r="AP1412" s="27">
        <f>IF(('Activity data'!BI6*EF!$H37*EF!$H55)*NtoN2O*kgtoGg=0,"NO",('Activity data'!BI6*EF!$H37*EF!$H55)*NtoN2O*kgtoGg)</f>
        <v>0.32960701128717151</v>
      </c>
      <c r="AQ1412" s="27">
        <f>IF(('Activity data'!BJ6*EF!$H37*EF!$H55)*NtoN2O*kgtoGg=0,"NO",('Activity data'!BJ6*EF!$H37*EF!$H55)*NtoN2O*kgtoGg)</f>
        <v>0.33358045772817063</v>
      </c>
      <c r="AR1412" s="27">
        <f>IF(('Activity data'!BK6*EF!$H37*EF!$H55)*NtoN2O*kgtoGg=0,"NO",('Activity data'!BK6*EF!$H37*EF!$H55)*NtoN2O*kgtoGg)</f>
        <v>0.33772349579700817</v>
      </c>
      <c r="AS1412" s="27">
        <f>IF(('Activity data'!BL6*EF!$H37*EF!$H55)*NtoN2O*kgtoGg=0,"NO",('Activity data'!BL6*EF!$H37*EF!$H55)*NtoN2O*kgtoGg)</f>
        <v>0.34233673784791513</v>
      </c>
      <c r="AT1412" s="27">
        <f>IF(('Activity data'!BM6*EF!$H37*EF!$H55)*NtoN2O*kgtoGg=0,"NO",('Activity data'!BM6*EF!$H37*EF!$H55)*NtoN2O*kgtoGg)</f>
        <v>0.34549190843549077</v>
      </c>
      <c r="AU1412" s="27">
        <f>IF(('Activity data'!BN6*EF!$H37*EF!$H55)*NtoN2O*kgtoGg=0,"NO",('Activity data'!BN6*EF!$H37*EF!$H55)*NtoN2O*kgtoGg)</f>
        <v>0.34857451417849072</v>
      </c>
      <c r="AV1412" s="27">
        <f>IF(('Activity data'!BO6*EF!$H37*EF!$H55)*NtoN2O*kgtoGg=0,"NO",('Activity data'!BO6*EF!$H37*EF!$H55)*NtoN2O*kgtoGg)</f>
        <v>0.35174446981947466</v>
      </c>
      <c r="AW1412" s="27">
        <f>IF(('Activity data'!BP6*EF!$H37*EF!$H55)*NtoN2O*kgtoGg=0,"NO",('Activity data'!BP6*EF!$H37*EF!$H55)*NtoN2O*kgtoGg)</f>
        <v>0.3549341131062021</v>
      </c>
    </row>
    <row r="1413" spans="1:49" x14ac:dyDescent="0.2">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1.1651711689683767E-2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1.1841925043604104E-2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1.1951318021451857E-2</v>
      </c>
      <c r="S1413" s="27">
        <f>IF(('Activity data'!AL7*EF!$H38*EF!$H56)*NtoN2O*kgtoGg=0,"NO",('Activity data'!AL7*EF!$H38*EF!$H56)*NtoN2O*kgtoGg)</f>
        <v>1.1624148088994974E-2</v>
      </c>
      <c r="T1413" s="27">
        <f>IF(('Activity data'!AM7*EF!$H38*EF!$H56)*NtoN2O*kgtoGg=0,"NO",('Activity data'!AM7*EF!$H38*EF!$H56)*NtoN2O*kgtoGg)</f>
        <v>1.1757734837671872E-2</v>
      </c>
      <c r="U1413" s="27">
        <f>IF(('Activity data'!AN7*EF!$H38*EF!$H56)*NtoN2O*kgtoGg=0,"NO",('Activity data'!AN7*EF!$H38*EF!$H56)*NtoN2O*kgtoGg)</f>
        <v>1.1862414147833051E-2</v>
      </c>
      <c r="V1413" s="27">
        <f>IF(('Activity data'!AO7*EF!$H38*EF!$H56)*NtoN2O*kgtoGg=0,"NO",('Activity data'!AO7*EF!$H38*EF!$H56)*NtoN2O*kgtoGg)</f>
        <v>1.1961586291992786E-2</v>
      </c>
      <c r="W1413" s="27">
        <f>IF(('Activity data'!AP7*EF!$H38*EF!$H56)*NtoN2O*kgtoGg=0,"NO",('Activity data'!AP7*EF!$H38*EF!$H56)*NtoN2O*kgtoGg)</f>
        <v>1.2077528216874986E-2</v>
      </c>
      <c r="X1413" s="27">
        <f>IF(('Activity data'!AQ7*EF!$H38*EF!$H56)*NtoN2O*kgtoGg=0,"NO",('Activity data'!AQ7*EF!$H38*EF!$H56)*NtoN2O*kgtoGg)</f>
        <v>1.218856267882977E-2</v>
      </c>
      <c r="Y1413" s="27">
        <f>IF(('Activity data'!AR7*EF!$H38*EF!$H56)*NtoN2O*kgtoGg=0,"NO",('Activity data'!AR7*EF!$H38*EF!$H56)*NtoN2O*kgtoGg)</f>
        <v>1.2281686519837978E-2</v>
      </c>
      <c r="Z1413" s="27">
        <f>IF(('Activity data'!AS7*EF!$H38*EF!$H56)*NtoN2O*kgtoGg=0,"NO",('Activity data'!AS7*EF!$H38*EF!$H56)*NtoN2O*kgtoGg)</f>
        <v>1.2372223881643949E-2</v>
      </c>
      <c r="AA1413" s="27">
        <f>IF(('Activity data'!AT7*EF!$H38*EF!$H56)*NtoN2O*kgtoGg=0,"NO",('Activity data'!AT7*EF!$H38*EF!$H56)*NtoN2O*kgtoGg)</f>
        <v>1.2458099780491892E-2</v>
      </c>
      <c r="AB1413" s="27">
        <f>IF(('Activity data'!AU7*EF!$H38*EF!$H56)*NtoN2O*kgtoGg=0,"NO",('Activity data'!AU7*EF!$H38*EF!$H56)*NtoN2O*kgtoGg)</f>
        <v>1.256980905985888E-2</v>
      </c>
      <c r="AC1413" s="27">
        <f>IF(('Activity data'!AV7*EF!$H38*EF!$H56)*NtoN2O*kgtoGg=0,"NO",('Activity data'!AV7*EF!$H38*EF!$H56)*NtoN2O*kgtoGg)</f>
        <v>1.2680943912863346E-2</v>
      </c>
      <c r="AD1413" s="27">
        <f>IF(('Activity data'!AW7*EF!$H38*EF!$H56)*NtoN2O*kgtoGg=0,"NO",('Activity data'!AW7*EF!$H38*EF!$H56)*NtoN2O*kgtoGg)</f>
        <v>1.2796889703882807E-2</v>
      </c>
      <c r="AE1413" s="27">
        <f>IF(('Activity data'!AX7*EF!$H38*EF!$H56)*NtoN2O*kgtoGg=0,"NO",('Activity data'!AX7*EF!$H38*EF!$H56)*NtoN2O*kgtoGg)</f>
        <v>1.2938340965303392E-2</v>
      </c>
      <c r="AF1413" s="27">
        <f>IF(('Activity data'!AY7*EF!$H38*EF!$H56)*NtoN2O*kgtoGg=0,"NO",('Activity data'!AY7*EF!$H38*EF!$H56)*NtoN2O*kgtoGg)</f>
        <v>1.3092979526753859E-2</v>
      </c>
      <c r="AG1413" s="27">
        <f>IF(('Activity data'!AZ7*EF!$H38*EF!$H56)*NtoN2O*kgtoGg=0,"NO",('Activity data'!AZ7*EF!$H38*EF!$H56)*NtoN2O*kgtoGg)</f>
        <v>1.3275266588980031E-2</v>
      </c>
      <c r="AH1413" s="27">
        <f>IF(('Activity data'!BA7*EF!$H38*EF!$H56)*NtoN2O*kgtoGg=0,"NO",('Activity data'!BA7*EF!$H38*EF!$H56)*NtoN2O*kgtoGg)</f>
        <v>1.3419638400994631E-2</v>
      </c>
      <c r="AI1413" s="27">
        <f>IF(('Activity data'!BB7*EF!$H38*EF!$H56)*NtoN2O*kgtoGg=0,"NO",('Activity data'!BB7*EF!$H38*EF!$H56)*NtoN2O*kgtoGg)</f>
        <v>1.3553758249782499E-2</v>
      </c>
      <c r="AJ1413" s="27">
        <f>IF(('Activity data'!BC7*EF!$H38*EF!$H56)*NtoN2O*kgtoGg=0,"NO",('Activity data'!BC7*EF!$H38*EF!$H56)*NtoN2O*kgtoGg)</f>
        <v>1.3702582199153161E-2</v>
      </c>
      <c r="AK1413" s="27">
        <f>IF(('Activity data'!BD7*EF!$H38*EF!$H56)*NtoN2O*kgtoGg=0,"NO",('Activity data'!BD7*EF!$H38*EF!$H56)*NtoN2O*kgtoGg)</f>
        <v>1.3847410095481636E-2</v>
      </c>
      <c r="AL1413" s="27">
        <f>IF(('Activity data'!BE7*EF!$H38*EF!$H56)*NtoN2O*kgtoGg=0,"NO",('Activity data'!BE7*EF!$H38*EF!$H56)*NtoN2O*kgtoGg)</f>
        <v>1.4001007096360315E-2</v>
      </c>
      <c r="AM1413" s="27">
        <f>IF(('Activity data'!BF7*EF!$H38*EF!$H56)*NtoN2O*kgtoGg=0,"NO",('Activity data'!BF7*EF!$H38*EF!$H56)*NtoN2O*kgtoGg)</f>
        <v>1.4156812075155119E-2</v>
      </c>
      <c r="AN1413" s="27">
        <f>IF(('Activity data'!BG7*EF!$H38*EF!$H56)*NtoN2O*kgtoGg=0,"NO",('Activity data'!BG7*EF!$H38*EF!$H56)*NtoN2O*kgtoGg)</f>
        <v>1.432899952868179E-2</v>
      </c>
      <c r="AO1413" s="27">
        <f>IF(('Activity data'!BH7*EF!$H38*EF!$H56)*NtoN2O*kgtoGg=0,"NO",('Activity data'!BH7*EF!$H38*EF!$H56)*NtoN2O*kgtoGg)</f>
        <v>1.4495305843219548E-2</v>
      </c>
      <c r="AP1413" s="27">
        <f>IF(('Activity data'!BI7*EF!$H38*EF!$H56)*NtoN2O*kgtoGg=0,"NO",('Activity data'!BI7*EF!$H38*EF!$H56)*NtoN2O*kgtoGg)</f>
        <v>1.4665565655026861E-2</v>
      </c>
      <c r="AQ1413" s="27">
        <f>IF(('Activity data'!BJ7*EF!$H38*EF!$H56)*NtoN2O*kgtoGg=0,"NO",('Activity data'!BJ7*EF!$H38*EF!$H56)*NtoN2O*kgtoGg)</f>
        <v>1.4842360558234895E-2</v>
      </c>
      <c r="AR1413" s="27">
        <f>IF(('Activity data'!BK7*EF!$H38*EF!$H56)*NtoN2O*kgtoGg=0,"NO",('Activity data'!BK7*EF!$H38*EF!$H56)*NtoN2O*kgtoGg)</f>
        <v>1.5026701287433988E-2</v>
      </c>
      <c r="AS1413" s="27">
        <f>IF(('Activity data'!BL7*EF!$H38*EF!$H56)*NtoN2O*kgtoGg=0,"NO",('Activity data'!BL7*EF!$H38*EF!$H56)*NtoN2O*kgtoGg)</f>
        <v>1.5231963317255199E-2</v>
      </c>
      <c r="AT1413" s="27">
        <f>IF(('Activity data'!BM7*EF!$H38*EF!$H56)*NtoN2O*kgtoGg=0,"NO",('Activity data'!BM7*EF!$H38*EF!$H56)*NtoN2O*kgtoGg)</f>
        <v>1.5372349776949124E-2</v>
      </c>
      <c r="AU1413" s="27">
        <f>IF(('Activity data'!BN7*EF!$H38*EF!$H56)*NtoN2O*kgtoGg=0,"NO",('Activity data'!BN7*EF!$H38*EF!$H56)*NtoN2O*kgtoGg)</f>
        <v>1.550950752955876E-2</v>
      </c>
      <c r="AV1413" s="27">
        <f>IF(('Activity data'!BO7*EF!$H38*EF!$H56)*NtoN2O*kgtoGg=0,"NO",('Activity data'!BO7*EF!$H38*EF!$H56)*NtoN2O*kgtoGg)</f>
        <v>1.5650551836822808E-2</v>
      </c>
      <c r="AW1413" s="27">
        <f>IF(('Activity data'!BP7*EF!$H38*EF!$H56)*NtoN2O*kgtoGg=0,"NO",('Activity data'!BP7*EF!$H38*EF!$H56)*NtoN2O*kgtoGg)</f>
        <v>1.5792472128065831E-2</v>
      </c>
    </row>
    <row r="1414" spans="1:49" x14ac:dyDescent="0.2">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0.52525224947331306</v>
      </c>
      <c r="L1414" s="27">
        <f>IF(('Activity data'!AE8*EF!$H39*EF!$H57)*NtoN2O*kgtoGg=0,"NO",('Activity data'!AE8*EF!$H39*EF!$H57)*NtoN2O*kgtoGg)</f>
        <v>0.5206969044571037</v>
      </c>
      <c r="M1414" s="27">
        <f>IF(('Activity data'!AF8*EF!$H39*EF!$H57)*NtoN2O*kgtoGg=0,"NO",('Activity data'!AF8*EF!$H39*EF!$H57)*NtoN2O*kgtoGg)</f>
        <v>0.51896282251134873</v>
      </c>
      <c r="N1414" s="27">
        <f>IF(('Activity data'!AG8*EF!$H39*EF!$H57)*NtoN2O*kgtoGg=0,"NO",('Activity data'!AG8*EF!$H39*EF!$H57)*NtoN2O*kgtoGg)</f>
        <v>0.51203275332440912</v>
      </c>
      <c r="O1414" s="27">
        <f>IF(('Activity data'!AH8*EF!$H39*EF!$H57)*NtoN2O*kgtoGg=0,"NO",('Activity data'!AH8*EF!$H39*EF!$H57)*NtoN2O*kgtoGg)</f>
        <v>0.50197358865556707</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0.41630918721469751</v>
      </c>
      <c r="T1414" s="27">
        <f>IF(('Activity data'!AM8*EF!$H39*EF!$H57)*NtoN2O*kgtoGg=0,"NO",('Activity data'!AM8*EF!$H39*EF!$H57)*NtoN2O*kgtoGg)</f>
        <v>0.4242723493279994</v>
      </c>
      <c r="U1414" s="27">
        <f>IF(('Activity data'!AN8*EF!$H39*EF!$H57)*NtoN2O*kgtoGg=0,"NO",('Activity data'!AN8*EF!$H39*EF!$H57)*NtoN2O*kgtoGg)</f>
        <v>0.42852994772024217</v>
      </c>
      <c r="V1414" s="27">
        <f>IF(('Activity data'!AO8*EF!$H39*EF!$H57)*NtoN2O*kgtoGg=0,"NO",('Activity data'!AO8*EF!$H39*EF!$H57)*NtoN2O*kgtoGg)</f>
        <v>0.43180740758836011</v>
      </c>
      <c r="W1414" s="27">
        <f>IF(('Activity data'!AP8*EF!$H39*EF!$H57)*NtoN2O*kgtoGg=0,"NO",('Activity data'!AP8*EF!$H39*EF!$H57)*NtoN2O*kgtoGg)</f>
        <v>0.43654938286292333</v>
      </c>
      <c r="X1414" s="27">
        <f>IF(('Activity data'!AQ8*EF!$H39*EF!$H57)*NtoN2O*kgtoGg=0,"NO",('Activity data'!AQ8*EF!$H39*EF!$H57)*NtoN2O*kgtoGg)</f>
        <v>0.44039774902333312</v>
      </c>
      <c r="Y1414" s="27">
        <f>IF(('Activity data'!AR8*EF!$H39*EF!$H57)*NtoN2O*kgtoGg=0,"NO",('Activity data'!AR8*EF!$H39*EF!$H57)*NtoN2O*kgtoGg)</f>
        <v>0.44287861979972809</v>
      </c>
      <c r="Z1414" s="27">
        <f>IF(('Activity data'!AS8*EF!$H39*EF!$H57)*NtoN2O*kgtoGg=0,"NO",('Activity data'!AS8*EF!$H39*EF!$H57)*NtoN2O*kgtoGg)</f>
        <v>0.44480979206932508</v>
      </c>
      <c r="AA1414" s="27">
        <f>IF(('Activity data'!AT8*EF!$H39*EF!$H57)*NtoN2O*kgtoGg=0,"NO",('Activity data'!AT8*EF!$H39*EF!$H57)*NtoN2O*kgtoGg)</f>
        <v>0.44600669694391831</v>
      </c>
      <c r="AB1414" s="27">
        <f>IF(('Activity data'!AU8*EF!$H39*EF!$H57)*NtoN2O*kgtoGg=0,"NO",('Activity data'!AU8*EF!$H39*EF!$H57)*NtoN2O*kgtoGg)</f>
        <v>0.44955000580259225</v>
      </c>
      <c r="AC1414" s="27">
        <f>IF(('Activity data'!AV8*EF!$H39*EF!$H57)*NtoN2O*kgtoGg=0,"NO",('Activity data'!AV8*EF!$H39*EF!$H57)*NtoN2O*kgtoGg)</f>
        <v>0.45273812820401932</v>
      </c>
      <c r="AD1414" s="27">
        <f>IF(('Activity data'!AW8*EF!$H39*EF!$H57)*NtoN2O*kgtoGg=0,"NO",('Activity data'!AW8*EF!$H39*EF!$H57)*NtoN2O*kgtoGg)</f>
        <v>0.45290255961235854</v>
      </c>
      <c r="AE1414" s="27">
        <f>IF(('Activity data'!AX8*EF!$H39*EF!$H57)*NtoN2O*kgtoGg=0,"NO",('Activity data'!AX8*EF!$H39*EF!$H57)*NtoN2O*kgtoGg)</f>
        <v>0.45503830808408913</v>
      </c>
      <c r="AF1414" s="27">
        <f>IF(('Activity data'!AY8*EF!$H39*EF!$H57)*NtoN2O*kgtoGg=0,"NO",('Activity data'!AY8*EF!$H39*EF!$H57)*NtoN2O*kgtoGg)</f>
        <v>0.45786255495032313</v>
      </c>
      <c r="AG1414" s="27">
        <f>IF(('Activity data'!AZ8*EF!$H39*EF!$H57)*NtoN2O*kgtoGg=0,"NO",('Activity data'!AZ8*EF!$H39*EF!$H57)*NtoN2O*kgtoGg)</f>
        <v>0.46260418192872943</v>
      </c>
      <c r="AH1414" s="27">
        <f>IF(('Activity data'!BA8*EF!$H39*EF!$H57)*NtoN2O*kgtoGg=0,"NO",('Activity data'!BA8*EF!$H39*EF!$H57)*NtoN2O*kgtoGg)</f>
        <v>0.46336149545626742</v>
      </c>
      <c r="AI1414" s="27">
        <f>IF(('Activity data'!BB8*EF!$H39*EF!$H57)*NtoN2O*kgtoGg=0,"NO",('Activity data'!BB8*EF!$H39*EF!$H57)*NtoN2O*kgtoGg)</f>
        <v>0.46328199946784754</v>
      </c>
      <c r="AJ1414" s="27">
        <f>IF(('Activity data'!BC8*EF!$H39*EF!$H57)*NtoN2O*kgtoGg=0,"NO",('Activity data'!BC8*EF!$H39*EF!$H57)*NtoN2O*kgtoGg)</f>
        <v>0.46397768547065105</v>
      </c>
      <c r="AK1414" s="27">
        <f>IF(('Activity data'!BD8*EF!$H39*EF!$H57)*NtoN2O*kgtoGg=0,"NO",('Activity data'!BD8*EF!$H39*EF!$H57)*NtoN2O*kgtoGg)</f>
        <v>0.46384928130278269</v>
      </c>
      <c r="AL1414" s="27">
        <f>IF(('Activity data'!BE8*EF!$H39*EF!$H57)*NtoN2O*kgtoGg=0,"NO",('Activity data'!BE8*EF!$H39*EF!$H57)*NtoN2O*kgtoGg)</f>
        <v>0.46394752613960677</v>
      </c>
      <c r="AM1414" s="27">
        <f>IF(('Activity data'!BF8*EF!$H39*EF!$H57)*NtoN2O*kgtoGg=0,"NO",('Activity data'!BF8*EF!$H39*EF!$H57)*NtoN2O*kgtoGg)</f>
        <v>0.46372456195327277</v>
      </c>
      <c r="AN1414" s="27">
        <f>IF(('Activity data'!BG8*EF!$H39*EF!$H57)*NtoN2O*kgtoGg=0,"NO",('Activity data'!BG8*EF!$H39*EF!$H57)*NtoN2O*kgtoGg)</f>
        <v>0.46705287296965353</v>
      </c>
      <c r="AO1414" s="27">
        <f>IF(('Activity data'!BH8*EF!$H39*EF!$H57)*NtoN2O*kgtoGg=0,"NO",('Activity data'!BH8*EF!$H39*EF!$H57)*NtoN2O*kgtoGg)</f>
        <v>0.46948772142871509</v>
      </c>
      <c r="AP1414" s="27">
        <f>IF(('Activity data'!BI8*EF!$H39*EF!$H57)*NtoN2O*kgtoGg=0,"NO",('Activity data'!BI8*EF!$H39*EF!$H57)*NtoN2O*kgtoGg)</f>
        <v>0.47178208531317378</v>
      </c>
      <c r="AQ1414" s="27">
        <f>IF(('Activity data'!BJ8*EF!$H39*EF!$H57)*NtoN2O*kgtoGg=0,"NO",('Activity data'!BJ8*EF!$H39*EF!$H57)*NtoN2O*kgtoGg)</f>
        <v>0.47411151157933035</v>
      </c>
      <c r="AR1414" s="27">
        <f>IF(('Activity data'!BK8*EF!$H39*EF!$H57)*NtoN2O*kgtoGg=0,"NO",('Activity data'!BK8*EF!$H39*EF!$H57)*NtoN2O*kgtoGg)</f>
        <v>0.47652651600833112</v>
      </c>
      <c r="AS1414" s="27">
        <f>IF(('Activity data'!BL8*EF!$H39*EF!$H57)*NtoN2O*kgtoGg=0,"NO",('Activity data'!BL8*EF!$H39*EF!$H57)*NtoN2O*kgtoGg)</f>
        <v>0.48031110501678759</v>
      </c>
      <c r="AT1414" s="27">
        <f>IF(('Activity data'!BM8*EF!$H39*EF!$H57)*NtoN2O*kgtoGg=0,"NO",('Activity data'!BM8*EF!$H39*EF!$H57)*NtoN2O*kgtoGg)</f>
        <v>0.47924514012499747</v>
      </c>
      <c r="AU1414" s="27">
        <f>IF(('Activity data'!BN8*EF!$H39*EF!$H57)*NtoN2O*kgtoGg=0,"NO",('Activity data'!BN8*EF!$H39*EF!$H57)*NtoN2O*kgtoGg)</f>
        <v>0.47764693105288908</v>
      </c>
      <c r="AV1414" s="27">
        <f>IF(('Activity data'!BO8*EF!$H39*EF!$H57)*NtoN2O*kgtoGg=0,"NO",('Activity data'!BO8*EF!$H39*EF!$H57)*NtoN2O*kgtoGg)</f>
        <v>0.47599161993934092</v>
      </c>
      <c r="AW1414" s="27">
        <f>IF(('Activity data'!BP8*EF!$H39*EF!$H57)*NtoN2O*kgtoGg=0,"NO",('Activity data'!BP8*EF!$H39*EF!$H57)*NtoN2O*kgtoGg)</f>
        <v>0.4740811431084902</v>
      </c>
    </row>
    <row r="1415" spans="1:49" x14ac:dyDescent="0.2">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0.80452586370517887</v>
      </c>
      <c r="L1415" s="27">
        <f>IF(('Activity data'!AE9*EF!$H40*EF!$H58)*NtoN2O*kgtoGg=0,"NO",('Activity data'!AE9*EF!$H40*EF!$H58)*NtoN2O*kgtoGg)</f>
        <v>0.79754846782098077</v>
      </c>
      <c r="M1415" s="27">
        <f>IF(('Activity data'!AF9*EF!$H40*EF!$H58)*NtoN2O*kgtoGg=0,"NO",('Activity data'!AF9*EF!$H40*EF!$H58)*NtoN2O*kgtoGg)</f>
        <v>0.79489238443144172</v>
      </c>
      <c r="N1415" s="27">
        <f>IF(('Activity data'!AG9*EF!$H40*EF!$H58)*NtoN2O*kgtoGg=0,"NO",('Activity data'!AG9*EF!$H40*EF!$H58)*NtoN2O*kgtoGg)</f>
        <v>0.78427763712907439</v>
      </c>
      <c r="O1415" s="27">
        <f>IF(('Activity data'!AH9*EF!$H40*EF!$H58)*NtoN2O*kgtoGg=0,"NO",('Activity data'!AH9*EF!$H40*EF!$H58)*NtoN2O*kgtoGg)</f>
        <v>0.76887007218962333</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0.63765839888958464</v>
      </c>
      <c r="T1415" s="27">
        <f>IF(('Activity data'!AM9*EF!$H40*EF!$H58)*NtoN2O*kgtoGg=0,"NO",('Activity data'!AM9*EF!$H40*EF!$H58)*NtoN2O*kgtoGg)</f>
        <v>0.64985552871330754</v>
      </c>
      <c r="U1415" s="27">
        <f>IF(('Activity data'!AN9*EF!$H40*EF!$H58)*NtoN2O*kgtoGg=0,"NO",('Activity data'!AN9*EF!$H40*EF!$H58)*NtoN2O*kgtoGg)</f>
        <v>0.65637686779803062</v>
      </c>
      <c r="V1415" s="27">
        <f>IF(('Activity data'!AO9*EF!$H40*EF!$H58)*NtoN2O*kgtoGg=0,"NO",('Activity data'!AO9*EF!$H40*EF!$H58)*NtoN2O*kgtoGg)</f>
        <v>0.66139693431616664</v>
      </c>
      <c r="W1415" s="27">
        <f>IF(('Activity data'!AP9*EF!$H40*EF!$H58)*NtoN2O*kgtoGg=0,"NO",('Activity data'!AP9*EF!$H40*EF!$H58)*NtoN2O*kgtoGg)</f>
        <v>0.66866019069871818</v>
      </c>
      <c r="X1415" s="27">
        <f>IF(('Activity data'!AQ9*EF!$H40*EF!$H58)*NtoN2O*kgtoGg=0,"NO",('Activity data'!AQ9*EF!$H40*EF!$H58)*NtoN2O*kgtoGg)</f>
        <v>0.67455471111659759</v>
      </c>
      <c r="Y1415" s="27">
        <f>IF(('Activity data'!AR9*EF!$H40*EF!$H58)*NtoN2O*kgtoGg=0,"NO",('Activity data'!AR9*EF!$H40*EF!$H58)*NtoN2O*kgtoGg)</f>
        <v>0.67835464668302581</v>
      </c>
      <c r="Z1415" s="27">
        <f>IF(('Activity data'!AS9*EF!$H40*EF!$H58)*NtoN2O*kgtoGg=0,"NO",('Activity data'!AS9*EF!$H40*EF!$H58)*NtoN2O*kgtoGg)</f>
        <v>0.68131261219334738</v>
      </c>
      <c r="AA1415" s="27">
        <f>IF(('Activity data'!AT9*EF!$H40*EF!$H58)*NtoN2O*kgtoGg=0,"NO",('Activity data'!AT9*EF!$H40*EF!$H58)*NtoN2O*kgtoGg)</f>
        <v>0.68314590453806523</v>
      </c>
      <c r="AB1415" s="27">
        <f>IF(('Activity data'!AU9*EF!$H40*EF!$H58)*NtoN2O*kgtoGg=0,"NO",('Activity data'!AU9*EF!$H40*EF!$H58)*NtoN2O*kgtoGg)</f>
        <v>0.68857317043317978</v>
      </c>
      <c r="AC1415" s="27">
        <f>IF(('Activity data'!AV9*EF!$H40*EF!$H58)*NtoN2O*kgtoGg=0,"NO",('Activity data'!AV9*EF!$H40*EF!$H58)*NtoN2O*kgtoGg)</f>
        <v>0.69345639926499891</v>
      </c>
      <c r="AD1415" s="27">
        <f>IF(('Activity data'!AW9*EF!$H40*EF!$H58)*NtoN2O*kgtoGg=0,"NO",('Activity data'!AW9*EF!$H40*EF!$H58)*NtoN2O*kgtoGg)</f>
        <v>0.69370825791186275</v>
      </c>
      <c r="AE1415" s="27">
        <f>IF(('Activity data'!AX9*EF!$H40*EF!$H58)*NtoN2O*kgtoGg=0,"NO",('Activity data'!AX9*EF!$H40*EF!$H58)*NtoN2O*kgtoGg)</f>
        <v>0.69697957161989321</v>
      </c>
      <c r="AF1415" s="27">
        <f>IF(('Activity data'!AY9*EF!$H40*EF!$H58)*NtoN2O*kgtoGg=0,"NO",('Activity data'!AY9*EF!$H40*EF!$H58)*NtoN2O*kgtoGg)</f>
        <v>0.70130545437746739</v>
      </c>
      <c r="AG1415" s="27">
        <f>IF(('Activity data'!AZ9*EF!$H40*EF!$H58)*NtoN2O*kgtoGg=0,"NO",('Activity data'!AZ9*EF!$H40*EF!$H58)*NtoN2O*kgtoGg)</f>
        <v>0.70856817727678933</v>
      </c>
      <c r="AH1415" s="27">
        <f>IF(('Activity data'!BA9*EF!$H40*EF!$H58)*NtoN2O*kgtoGg=0,"NO",('Activity data'!BA9*EF!$H40*EF!$H58)*NtoN2O*kgtoGg)</f>
        <v>0.70972815007166834</v>
      </c>
      <c r="AI1415" s="27">
        <f>IF(('Activity data'!BB9*EF!$H40*EF!$H58)*NtoN2O*kgtoGg=0,"NO",('Activity data'!BB9*EF!$H40*EF!$H58)*NtoN2O*kgtoGg)</f>
        <v>0.70960638652128127</v>
      </c>
      <c r="AJ1415" s="27">
        <f>IF(('Activity data'!BC9*EF!$H40*EF!$H58)*NtoN2O*kgtoGg=0,"NO",('Activity data'!BC9*EF!$H40*EF!$H58)*NtoN2O*kgtoGg)</f>
        <v>0.71067196478931216</v>
      </c>
      <c r="AK1415" s="27">
        <f>IF(('Activity data'!BD9*EF!$H40*EF!$H58)*NtoN2O*kgtoGg=0,"NO",('Activity data'!BD9*EF!$H40*EF!$H58)*NtoN2O*kgtoGg)</f>
        <v>0.71047528886043954</v>
      </c>
      <c r="AL1415" s="27">
        <f>IF(('Activity data'!BE9*EF!$H40*EF!$H58)*NtoN2O*kgtoGg=0,"NO",('Activity data'!BE9*EF!$H40*EF!$H58)*NtoN2O*kgtoGg)</f>
        <v>0.71062576991459914</v>
      </c>
      <c r="AM1415" s="27">
        <f>IF(('Activity data'!BF9*EF!$H40*EF!$H58)*NtoN2O*kgtoGg=0,"NO",('Activity data'!BF9*EF!$H40*EF!$H58)*NtoN2O*kgtoGg)</f>
        <v>0.71028425694675268</v>
      </c>
      <c r="AN1415" s="27">
        <f>IF(('Activity data'!BG9*EF!$H40*EF!$H58)*NtoN2O*kgtoGg=0,"NO",('Activity data'!BG9*EF!$H40*EF!$H58)*NtoN2O*kgtoGg)</f>
        <v>0.71538221187758488</v>
      </c>
      <c r="AO1415" s="27">
        <f>IF(('Activity data'!BH9*EF!$H40*EF!$H58)*NtoN2O*kgtoGg=0,"NO",('Activity data'!BH9*EF!$H40*EF!$H58)*NtoN2O*kgtoGg)</f>
        <v>0.71911165532400878</v>
      </c>
      <c r="AP1415" s="27">
        <f>IF(('Activity data'!BI9*EF!$H40*EF!$H58)*NtoN2O*kgtoGg=0,"NO",('Activity data'!BI9*EF!$H40*EF!$H58)*NtoN2O*kgtoGg)</f>
        <v>0.7226259193517196</v>
      </c>
      <c r="AQ1415" s="27">
        <f>IF(('Activity data'!BJ9*EF!$H40*EF!$H58)*NtoN2O*kgtoGg=0,"NO",('Activity data'!BJ9*EF!$H40*EF!$H58)*NtoN2O*kgtoGg)</f>
        <v>0.72619388822876152</v>
      </c>
      <c r="AR1415" s="27">
        <f>IF(('Activity data'!BK9*EF!$H40*EF!$H58)*NtoN2O*kgtoGg=0,"NO",('Activity data'!BK9*EF!$H40*EF!$H58)*NtoN2O*kgtoGg)</f>
        <v>0.72989293668793909</v>
      </c>
      <c r="AS1415" s="27">
        <f>IF(('Activity data'!BL9*EF!$H40*EF!$H58)*NtoN2O*kgtoGg=0,"NO",('Activity data'!BL9*EF!$H40*EF!$H58)*NtoN2O*kgtoGg)</f>
        <v>0.73568977000726443</v>
      </c>
      <c r="AT1415" s="27">
        <f>IF(('Activity data'!BM9*EF!$H40*EF!$H58)*NtoN2O*kgtoGg=0,"NO",('Activity data'!BM9*EF!$H40*EF!$H58)*NtoN2O*kgtoGg)</f>
        <v>0.73405703768463881</v>
      </c>
      <c r="AU1415" s="27">
        <f>IF(('Activity data'!BN9*EF!$H40*EF!$H58)*NtoN2O*kgtoGg=0,"NO",('Activity data'!BN9*EF!$H40*EF!$H58)*NtoN2O*kgtoGg)</f>
        <v>0.73160906999785846</v>
      </c>
      <c r="AV1415" s="27">
        <f>IF(('Activity data'!BO9*EF!$H40*EF!$H58)*NtoN2O*kgtoGg=0,"NO",('Activity data'!BO9*EF!$H40*EF!$H58)*NtoN2O*kgtoGg)</f>
        <v>0.72907363944108583</v>
      </c>
      <c r="AW1415" s="27">
        <f>IF(('Activity data'!BP9*EF!$H40*EF!$H58)*NtoN2O*kgtoGg=0,"NO",('Activity data'!BP9*EF!$H40*EF!$H58)*NtoN2O*kgtoGg)</f>
        <v>0.72614737301582033</v>
      </c>
    </row>
    <row r="1416" spans="1:49" x14ac:dyDescent="0.2">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1.0122801448609147</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1.1032367943433716</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1.0731659766272925</v>
      </c>
      <c r="T1416" s="27">
        <f>IF(('Activity data'!AM10*EF!$H41*EF!$H59)*NtoN2O*kgtoGg=0,"NO",('Activity data'!AM10*EF!$H41*EF!$H59)*NtoN2O*kgtoGg)</f>
        <v>1.1200435177813</v>
      </c>
      <c r="U1416" s="27">
        <f>IF(('Activity data'!AN10*EF!$H41*EF!$H59)*NtoN2O*kgtoGg=0,"NO",('Activity data'!AN10*EF!$H41*EF!$H59)*NtoN2O*kgtoGg)</f>
        <v>1.1581646088835691</v>
      </c>
      <c r="V1416" s="27">
        <f>IF(('Activity data'!AO10*EF!$H41*EF!$H59)*NtoN2O*kgtoGg=0,"NO",('Activity data'!AO10*EF!$H41*EF!$H59)*NtoN2O*kgtoGg)</f>
        <v>1.1944005912440496</v>
      </c>
      <c r="W1416" s="27">
        <f>IF(('Activity data'!AP10*EF!$H41*EF!$H59)*NtoN2O*kgtoGg=0,"NO",('Activity data'!AP10*EF!$H41*EF!$H59)*NtoN2O*kgtoGg)</f>
        <v>1.2355118571945767</v>
      </c>
      <c r="X1416" s="27">
        <f>IF(('Activity data'!AQ10*EF!$H41*EF!$H59)*NtoN2O*kgtoGg=0,"NO",('Activity data'!AQ10*EF!$H41*EF!$H59)*NtoN2O*kgtoGg)</f>
        <v>1.2749845608108272</v>
      </c>
      <c r="Y1416" s="27">
        <f>IF(('Activity data'!AR10*EF!$H41*EF!$H59)*NtoN2O*kgtoGg=0,"NO",('Activity data'!AR10*EF!$H41*EF!$H59)*NtoN2O*kgtoGg)</f>
        <v>1.3112710404440306</v>
      </c>
      <c r="Z1416" s="27">
        <f>IF(('Activity data'!AS10*EF!$H41*EF!$H59)*NtoN2O*kgtoGg=0,"NO",('Activity data'!AS10*EF!$H41*EF!$H59)*NtoN2O*kgtoGg)</f>
        <v>1.3466036234744594</v>
      </c>
      <c r="AA1416" s="27">
        <f>IF(('Activity data'!AT10*EF!$H41*EF!$H59)*NtoN2O*kgtoGg=0,"NO",('Activity data'!AT10*EF!$H41*EF!$H59)*NtoN2O*kgtoGg)</f>
        <v>1.3803261318564077</v>
      </c>
      <c r="AB1416" s="27">
        <f>IF(('Activity data'!AU10*EF!$H41*EF!$H59)*NtoN2O*kgtoGg=0,"NO",('Activity data'!AU10*EF!$H41*EF!$H59)*NtoN2O*kgtoGg)</f>
        <v>1.4220578435636848</v>
      </c>
      <c r="AC1416" s="27">
        <f>IF(('Activity data'!AV10*EF!$H41*EF!$H59)*NtoN2O*kgtoGg=0,"NO",('Activity data'!AV10*EF!$H41*EF!$H59)*NtoN2O*kgtoGg)</f>
        <v>1.4635769863229917</v>
      </c>
      <c r="AD1416" s="27">
        <f>IF(('Activity data'!AW10*EF!$H41*EF!$H59)*NtoN2O*kgtoGg=0,"NO",('Activity data'!AW10*EF!$H41*EF!$H59)*NtoN2O*kgtoGg)</f>
        <v>1.5126623536535566</v>
      </c>
      <c r="AE1416" s="27">
        <f>IF(('Activity data'!AX10*EF!$H41*EF!$H59)*NtoN2O*kgtoGg=0,"NO",('Activity data'!AX10*EF!$H41*EF!$H59)*NtoN2O*kgtoGg)</f>
        <v>1.5702927620533913</v>
      </c>
      <c r="AF1416" s="27">
        <f>IF(('Activity data'!AY10*EF!$H41*EF!$H59)*NtoN2O*kgtoGg=0,"NO",('Activity data'!AY10*EF!$H41*EF!$H59)*NtoN2O*kgtoGg)</f>
        <v>1.6326718662100064</v>
      </c>
      <c r="AG1416" s="27">
        <f>IF(('Activity data'!AZ10*EF!$H41*EF!$H59)*NtoN2O*kgtoGg=0,"NO",('Activity data'!AZ10*EF!$H41*EF!$H59)*NtoN2O*kgtoGg)</f>
        <v>1.7047038536562504</v>
      </c>
      <c r="AH1416" s="27">
        <f>IF(('Activity data'!BA10*EF!$H41*EF!$H59)*NtoN2O*kgtoGg=0,"NO",('Activity data'!BA10*EF!$H41*EF!$H59)*NtoN2O*kgtoGg)</f>
        <v>1.7647703233064436</v>
      </c>
      <c r="AI1416" s="27">
        <f>IF(('Activity data'!BB10*EF!$H41*EF!$H59)*NtoN2O*kgtoGg=0,"NO",('Activity data'!BB10*EF!$H41*EF!$H59)*NtoN2O*kgtoGg)</f>
        <v>1.823914760279997</v>
      </c>
      <c r="AJ1416" s="27">
        <f>IF(('Activity data'!BC10*EF!$H41*EF!$H59)*NtoN2O*kgtoGg=0,"NO",('Activity data'!BC10*EF!$H41*EF!$H59)*NtoN2O*kgtoGg)</f>
        <v>1.8885037105241573</v>
      </c>
      <c r="AK1416" s="27">
        <f>IF(('Activity data'!BD10*EF!$H41*EF!$H59)*NtoN2O*kgtoGg=0,"NO",('Activity data'!BD10*EF!$H41*EF!$H59)*NtoN2O*kgtoGg)</f>
        <v>1.9522655918668117</v>
      </c>
      <c r="AL1416" s="27">
        <f>IF(('Activity data'!BE10*EF!$H41*EF!$H59)*NtoN2O*kgtoGg=0,"NO",('Activity data'!BE10*EF!$H41*EF!$H59)*NtoN2O*kgtoGg)</f>
        <v>2.0195785012565346</v>
      </c>
      <c r="AM1416" s="27">
        <f>IF(('Activity data'!BF10*EF!$H41*EF!$H59)*NtoN2O*kgtoGg=0,"NO",('Activity data'!BF10*EF!$H41*EF!$H59)*NtoN2O*kgtoGg)</f>
        <v>2.0882359976906724</v>
      </c>
      <c r="AN1416" s="27">
        <f>IF(('Activity data'!BG10*EF!$H41*EF!$H59)*NtoN2O*kgtoGg=0,"NO",('Activity data'!BG10*EF!$H41*EF!$H59)*NtoN2O*kgtoGg)</f>
        <v>2.1625669468600144</v>
      </c>
      <c r="AO1416" s="27">
        <f>IF(('Activity data'!BH10*EF!$H41*EF!$H59)*NtoN2O*kgtoGg=0,"NO",('Activity data'!BH10*EF!$H41*EF!$H59)*NtoN2O*kgtoGg)</f>
        <v>2.2353883436386872</v>
      </c>
      <c r="AP1416" s="27">
        <f>IF(('Activity data'!BI10*EF!$H41*EF!$H59)*NtoN2O*kgtoGg=0,"NO",('Activity data'!BI10*EF!$H41*EF!$H59)*NtoN2O*kgtoGg)</f>
        <v>2.310159637098629</v>
      </c>
      <c r="AQ1416" s="27">
        <f>IF(('Activity data'!BJ10*EF!$H41*EF!$H59)*NtoN2O*kgtoGg=0,"NO",('Activity data'!BJ10*EF!$H41*EF!$H59)*NtoN2O*kgtoGg)</f>
        <v>2.387837748545981</v>
      </c>
      <c r="AR1416" s="27">
        <f>IF(('Activity data'!BK10*EF!$H41*EF!$H59)*NtoN2O*kgtoGg=0,"NO",('Activity data'!BK10*EF!$H41*EF!$H59)*NtoN2O*kgtoGg)</f>
        <v>2.4688377318111754</v>
      </c>
      <c r="AS1416" s="27">
        <f>IF(('Activity data'!BL10*EF!$H41*EF!$H59)*NtoN2O*kgtoGg=0,"NO",('Activity data'!BL10*EF!$H41*EF!$H59)*NtoN2O*kgtoGg)</f>
        <v>2.5601896833945608</v>
      </c>
      <c r="AT1416" s="27">
        <f>IF(('Activity data'!BM10*EF!$H41*EF!$H59)*NtoN2O*kgtoGg=0,"NO",('Activity data'!BM10*EF!$H41*EF!$H59)*NtoN2O*kgtoGg)</f>
        <v>2.6285710200523447</v>
      </c>
      <c r="AU1416" s="27">
        <f>IF(('Activity data'!BN10*EF!$H41*EF!$H59)*NtoN2O*kgtoGg=0,"NO",('Activity data'!BN10*EF!$H41*EF!$H59)*NtoN2O*kgtoGg)</f>
        <v>2.6962215322627681</v>
      </c>
      <c r="AV1416" s="27">
        <f>IF(('Activity data'!BO10*EF!$H41*EF!$H59)*NtoN2O*kgtoGg=0,"NO",('Activity data'!BO10*EF!$H41*EF!$H59)*NtoN2O*kgtoGg)</f>
        <v>2.7657590792696469</v>
      </c>
      <c r="AW1416" s="27">
        <f>IF(('Activity data'!BP10*EF!$H41*EF!$H59)*NtoN2O*kgtoGg=0,"NO",('Activity data'!BP10*EF!$H41*EF!$H59)*NtoN2O*kgtoGg)</f>
        <v>2.8360897430204677</v>
      </c>
    </row>
    <row r="1417" spans="1:49" x14ac:dyDescent="0.2">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0.1195503235691774</v>
      </c>
      <c r="T1417" s="27">
        <f>IF(('Activity data'!AM11*EF!$H42*EF!$H60)*NtoN2O*kgtoGg=0,"NO",('Activity data'!AM11*EF!$H42*EF!$H60)*NtoN2O*kgtoGg)</f>
        <v>0.11973238900774033</v>
      </c>
      <c r="U1417" s="27">
        <f>IF(('Activity data'!AN11*EF!$H42*EF!$H60)*NtoN2O*kgtoGg=0,"NO",('Activity data'!AN11*EF!$H42*EF!$H60)*NtoN2O*kgtoGg)</f>
        <v>0.11993816652481025</v>
      </c>
      <c r="V1417" s="27">
        <f>IF(('Activity data'!AO11*EF!$H42*EF!$H60)*NtoN2O*kgtoGg=0,"NO",('Activity data'!AO11*EF!$H42*EF!$H60)*NtoN2O*kgtoGg)</f>
        <v>0.12017030175701968</v>
      </c>
      <c r="W1417" s="27">
        <f>IF(('Activity data'!AP11*EF!$H42*EF!$H60)*NtoN2O*kgtoGg=0,"NO",('Activity data'!AP11*EF!$H42*EF!$H60)*NtoN2O*kgtoGg)</f>
        <v>0.12043143682964785</v>
      </c>
      <c r="X1417" s="27">
        <f>IF(('Activity data'!AQ11*EF!$H42*EF!$H60)*NtoN2O*kgtoGg=0,"NO",('Activity data'!AQ11*EF!$H42*EF!$H60)*NtoN2O*kgtoGg)</f>
        <v>0.12071612652319091</v>
      </c>
      <c r="Y1417" s="27">
        <f>IF(('Activity data'!AR11*EF!$H42*EF!$H60)*NtoN2O*kgtoGg=0,"NO",('Activity data'!AR11*EF!$H42*EF!$H60)*NtoN2O*kgtoGg)</f>
        <v>0.12088927246048492</v>
      </c>
      <c r="Z1417" s="27">
        <f>IF(('Activity data'!AS11*EF!$H42*EF!$H60)*NtoN2O*kgtoGg=0,"NO",('Activity data'!AS11*EF!$H42*EF!$H60)*NtoN2O*kgtoGg)</f>
        <v>0.12108266651499933</v>
      </c>
      <c r="AA1417" s="27">
        <f>IF(('Activity data'!AT11*EF!$H42*EF!$H60)*NtoN2O*kgtoGg=0,"NO",('Activity data'!AT11*EF!$H42*EF!$H60)*NtoN2O*kgtoGg)</f>
        <v>0.12129489002398719</v>
      </c>
      <c r="AB1417" s="27">
        <f>IF(('Activity data'!AU11*EF!$H42*EF!$H60)*NtoN2O*kgtoGg=0,"NO",('Activity data'!AU11*EF!$H42*EF!$H60)*NtoN2O*kgtoGg)</f>
        <v>0.12153074787723062</v>
      </c>
      <c r="AC1417" s="27">
        <f>IF(('Activity data'!AV11*EF!$H42*EF!$H60)*NtoN2O*kgtoGg=0,"NO",('Activity data'!AV11*EF!$H42*EF!$H60)*NtoN2O*kgtoGg)</f>
        <v>0.12178444503760315</v>
      </c>
      <c r="AD1417" s="27">
        <f>IF(('Activity data'!AW11*EF!$H42*EF!$H60)*NtoN2O*kgtoGg=0,"NO",('Activity data'!AW11*EF!$H42*EF!$H60)*NtoN2O*kgtoGg)</f>
        <v>0.12195021859922818</v>
      </c>
      <c r="AE1417" s="27">
        <f>IF(('Activity data'!AX11*EF!$H42*EF!$H60)*NtoN2O*kgtoGg=0,"NO",('Activity data'!AX11*EF!$H42*EF!$H60)*NtoN2O*kgtoGg)</f>
        <v>0.12213630016303641</v>
      </c>
      <c r="AF1417" s="27">
        <f>IF(('Activity data'!AY11*EF!$H42*EF!$H60)*NtoN2O*kgtoGg=0,"NO",('Activity data'!AY11*EF!$H42*EF!$H60)*NtoN2O*kgtoGg)</f>
        <v>0.12233971704233786</v>
      </c>
      <c r="AG1417" s="27">
        <f>IF(('Activity data'!AZ11*EF!$H42*EF!$H60)*NtoN2O*kgtoGg=0,"NO",('Activity data'!AZ11*EF!$H42*EF!$H60)*NtoN2O*kgtoGg)</f>
        <v>0.12256258176640643</v>
      </c>
      <c r="AH1417" s="27">
        <f>IF(('Activity data'!BA11*EF!$H42*EF!$H60)*NtoN2O*kgtoGg=0,"NO",('Activity data'!BA11*EF!$H42*EF!$H60)*NtoN2O*kgtoGg)</f>
        <v>0.12279204268449652</v>
      </c>
      <c r="AI1417" s="27">
        <f>IF(('Activity data'!BB11*EF!$H42*EF!$H60)*NtoN2O*kgtoGg=0,"NO",('Activity data'!BB11*EF!$H42*EF!$H60)*NtoN2O*kgtoGg)</f>
        <v>0.12293267358180958</v>
      </c>
      <c r="AJ1417" s="27">
        <f>IF(('Activity data'!BC11*EF!$H42*EF!$H60)*NtoN2O*kgtoGg=0,"NO",('Activity data'!BC11*EF!$H42*EF!$H60)*NtoN2O*kgtoGg)</f>
        <v>0.1230880284078129</v>
      </c>
      <c r="AK1417" s="27">
        <f>IF(('Activity data'!BD11*EF!$H42*EF!$H60)*NtoN2O*kgtoGg=0,"NO",('Activity data'!BD11*EF!$H42*EF!$H60)*NtoN2O*kgtoGg)</f>
        <v>0.12325414703713089</v>
      </c>
      <c r="AL1417" s="27">
        <f>IF(('Activity data'!BE11*EF!$H42*EF!$H60)*NtoN2O*kgtoGg=0,"NO",('Activity data'!BE11*EF!$H42*EF!$H60)*NtoN2O*kgtoGg)</f>
        <v>0.12343300581478904</v>
      </c>
      <c r="AM1417" s="27">
        <f>IF(('Activity data'!BF11*EF!$H42*EF!$H60)*NtoN2O*kgtoGg=0,"NO",('Activity data'!BF11*EF!$H42*EF!$H60)*NtoN2O*kgtoGg)</f>
        <v>0.12362298848343736</v>
      </c>
      <c r="AN1417" s="27">
        <f>IF(('Activity data'!BG11*EF!$H42*EF!$H60)*NtoN2O*kgtoGg=0,"NO",('Activity data'!BG11*EF!$H42*EF!$H60)*NtoN2O*kgtoGg)</f>
        <v>0.12373316293630814</v>
      </c>
      <c r="AO1417" s="27">
        <f>IF(('Activity data'!BH11*EF!$H42*EF!$H60)*NtoN2O*kgtoGg=0,"NO",('Activity data'!BH11*EF!$H42*EF!$H60)*NtoN2O*kgtoGg)</f>
        <v>0.12385166980530417</v>
      </c>
      <c r="AP1417" s="27">
        <f>IF(('Activity data'!BI11*EF!$H42*EF!$H60)*NtoN2O*kgtoGg=0,"NO",('Activity data'!BI11*EF!$H42*EF!$H60)*NtoN2O*kgtoGg)</f>
        <v>0.12398002361906417</v>
      </c>
      <c r="AQ1417" s="27">
        <f>IF(('Activity data'!BJ11*EF!$H42*EF!$H60)*NtoN2O*kgtoGg=0,"NO",('Activity data'!BJ11*EF!$H42*EF!$H60)*NtoN2O*kgtoGg)</f>
        <v>0.12411840156820916</v>
      </c>
      <c r="AR1417" s="27">
        <f>IF(('Activity data'!BK11*EF!$H42*EF!$H60)*NtoN2O*kgtoGg=0,"NO",('Activity data'!BK11*EF!$H42*EF!$H60)*NtoN2O*kgtoGg)</f>
        <v>0.12426670691930036</v>
      </c>
      <c r="AS1417" s="27">
        <f>IF(('Activity data'!BL11*EF!$H42*EF!$H60)*NtoN2O*kgtoGg=0,"NO",('Activity data'!BL11*EF!$H42*EF!$H60)*NtoN2O*kgtoGg)</f>
        <v>0.12433302167931155</v>
      </c>
      <c r="AT1417" s="27">
        <f>IF(('Activity data'!BM11*EF!$H42*EF!$H60)*NtoN2O*kgtoGg=0,"NO",('Activity data'!BM11*EF!$H42*EF!$H60)*NtoN2O*kgtoGg)</f>
        <v>0.12439474489368146</v>
      </c>
      <c r="AU1417" s="27">
        <f>IF(('Activity data'!BN11*EF!$H42*EF!$H60)*NtoN2O*kgtoGg=0,"NO",('Activity data'!BN11*EF!$H42*EF!$H60)*NtoN2O*kgtoGg)</f>
        <v>0.1244631713501356</v>
      </c>
      <c r="AV1417" s="27">
        <f>IF(('Activity data'!BO11*EF!$H42*EF!$H60)*NtoN2O*kgtoGg=0,"NO",('Activity data'!BO11*EF!$H42*EF!$H60)*NtoN2O*kgtoGg)</f>
        <v>0.12453939785824997</v>
      </c>
      <c r="AW1417" s="27">
        <f>IF(('Activity data'!BP11*EF!$H42*EF!$H60)*NtoN2O*kgtoGg=0,"NO",('Activity data'!BP11*EF!$H42*EF!$H60)*NtoN2O*kgtoGg)</f>
        <v>0.12462263971956801</v>
      </c>
    </row>
    <row r="1418" spans="1:49" x14ac:dyDescent="0.2">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6.3928512589691663E-2</v>
      </c>
      <c r="T1418" s="27">
        <f>IF(('Activity data'!AM12*EF!$H43*EF!$H61)*NtoN2O*kgtoGg=0,"NO",('Activity data'!AM12*EF!$H43*EF!$H61)*NtoN2O*kgtoGg)</f>
        <v>6.4025870525110232E-2</v>
      </c>
      <c r="U1418" s="27">
        <f>IF(('Activity data'!AN12*EF!$H43*EF!$H61)*NtoN2O*kgtoGg=0,"NO",('Activity data'!AN12*EF!$H43*EF!$H61)*NtoN2O*kgtoGg)</f>
        <v>6.4135908291616708E-2</v>
      </c>
      <c r="V1418" s="27">
        <f>IF(('Activity data'!AO12*EF!$H43*EF!$H61)*NtoN2O*kgtoGg=0,"NO",('Activity data'!AO12*EF!$H43*EF!$H61)*NtoN2O*kgtoGg)</f>
        <v>6.4260040620762821E-2</v>
      </c>
      <c r="W1418" s="27">
        <f>IF(('Activity data'!AP12*EF!$H43*EF!$H61)*NtoN2O*kgtoGg=0,"NO",('Activity data'!AP12*EF!$H43*EF!$H61)*NtoN2O*kgtoGg)</f>
        <v>6.4399680366434092E-2</v>
      </c>
      <c r="X1418" s="27">
        <f>IF(('Activity data'!AQ12*EF!$H43*EF!$H61)*NtoN2O*kgtoGg=0,"NO",('Activity data'!AQ12*EF!$H43*EF!$H61)*NtoN2O*kgtoGg)</f>
        <v>6.4551915744093219E-2</v>
      </c>
      <c r="Y1418" s="27">
        <f>IF(('Activity data'!AR12*EF!$H43*EF!$H61)*NtoN2O*kgtoGg=0,"NO",('Activity data'!AR12*EF!$H43*EF!$H61)*NtoN2O*kgtoGg)</f>
        <v>6.4644504052528431E-2</v>
      </c>
      <c r="Z1418" s="27">
        <f>IF(('Activity data'!AS12*EF!$H43*EF!$H61)*NtoN2O*kgtoGg=0,"NO",('Activity data'!AS12*EF!$H43*EF!$H61)*NtoN2O*kgtoGg)</f>
        <v>6.4747919868393122E-2</v>
      </c>
      <c r="AA1418" s="27">
        <f>IF(('Activity data'!AT12*EF!$H43*EF!$H61)*NtoN2O*kgtoGg=0,"NO",('Activity data'!AT12*EF!$H43*EF!$H61)*NtoN2O*kgtoGg)</f>
        <v>6.4861404573922254E-2</v>
      </c>
      <c r="AB1418" s="27">
        <f>IF(('Activity data'!AU12*EF!$H43*EF!$H61)*NtoN2O*kgtoGg=0,"NO",('Activity data'!AU12*EF!$H43*EF!$H61)*NtoN2O*kgtoGg)</f>
        <v>6.4987527542813464E-2</v>
      </c>
      <c r="AC1418" s="27">
        <f>IF(('Activity data'!AV12*EF!$H43*EF!$H61)*NtoN2O*kgtoGg=0,"NO",('Activity data'!AV12*EF!$H43*EF!$H61)*NtoN2O*kgtoGg)</f>
        <v>6.5123189928548972E-2</v>
      </c>
      <c r="AD1418" s="27">
        <f>IF(('Activity data'!AW12*EF!$H43*EF!$H61)*NtoN2O*kgtoGg=0,"NO",('Activity data'!AW12*EF!$H43*EF!$H61)*NtoN2O*kgtoGg)</f>
        <v>6.5211835922177344E-2</v>
      </c>
      <c r="AE1418" s="27">
        <f>IF(('Activity data'!AX12*EF!$H43*EF!$H61)*NtoN2O*kgtoGg=0,"NO",('Activity data'!AX12*EF!$H43*EF!$H61)*NtoN2O*kgtoGg)</f>
        <v>6.5311341446206636E-2</v>
      </c>
      <c r="AF1418" s="27">
        <f>IF(('Activity data'!AY12*EF!$H43*EF!$H61)*NtoN2O*kgtoGg=0,"NO",('Activity data'!AY12*EF!$H43*EF!$H61)*NtoN2O*kgtoGg)</f>
        <v>6.5420116881865359E-2</v>
      </c>
      <c r="AG1418" s="27">
        <f>IF(('Activity data'!AZ12*EF!$H43*EF!$H61)*NtoN2O*kgtoGg=0,"NO",('Activity data'!AZ12*EF!$H43*EF!$H61)*NtoN2O*kgtoGg)</f>
        <v>6.5539291886106743E-2</v>
      </c>
      <c r="AH1418" s="27">
        <f>IF(('Activity data'!BA12*EF!$H43*EF!$H61)*NtoN2O*kgtoGg=0,"NO",('Activity data'!BA12*EF!$H43*EF!$H61)*NtoN2O*kgtoGg)</f>
        <v>6.5661994148660446E-2</v>
      </c>
      <c r="AI1418" s="27">
        <f>IF(('Activity data'!BB12*EF!$H43*EF!$H61)*NtoN2O*kgtoGg=0,"NO",('Activity data'!BB12*EF!$H43*EF!$H61)*NtoN2O*kgtoGg)</f>
        <v>6.5737195317682587E-2</v>
      </c>
      <c r="AJ1418" s="27">
        <f>IF(('Activity data'!BC12*EF!$H43*EF!$H61)*NtoN2O*kgtoGg=0,"NO",('Activity data'!BC12*EF!$H43*EF!$H61)*NtoN2O*kgtoGg)</f>
        <v>6.5820269981585744E-2</v>
      </c>
      <c r="AK1418" s="27">
        <f>IF(('Activity data'!BD12*EF!$H43*EF!$H61)*NtoN2O*kgtoGg=0,"NO",('Activity data'!BD12*EF!$H43*EF!$H61)*NtoN2O*kgtoGg)</f>
        <v>6.5909100497210327E-2</v>
      </c>
      <c r="AL1418" s="27">
        <f>IF(('Activity data'!BE12*EF!$H43*EF!$H61)*NtoN2O*kgtoGg=0,"NO",('Activity data'!BE12*EF!$H43*EF!$H61)*NtoN2O*kgtoGg)</f>
        <v>6.6004743698148058E-2</v>
      </c>
      <c r="AM1418" s="27">
        <f>IF(('Activity data'!BF12*EF!$H43*EF!$H61)*NtoN2O*kgtoGg=0,"NO",('Activity data'!BF12*EF!$H43*EF!$H61)*NtoN2O*kgtoGg)</f>
        <v>6.6106335304610589E-2</v>
      </c>
      <c r="AN1418" s="27">
        <f>IF(('Activity data'!BG12*EF!$H43*EF!$H61)*NtoN2O*kgtoGg=0,"NO",('Activity data'!BG12*EF!$H43*EF!$H61)*NtoN2O*kgtoGg)</f>
        <v>6.6165250150569468E-2</v>
      </c>
      <c r="AO1418" s="27">
        <f>IF(('Activity data'!BH12*EF!$H43*EF!$H61)*NtoN2O*kgtoGg=0,"NO",('Activity data'!BH12*EF!$H43*EF!$H61)*NtoN2O*kgtoGg)</f>
        <v>6.6228620684754519E-2</v>
      </c>
      <c r="AP1418" s="27">
        <f>IF(('Activity data'!BI12*EF!$H43*EF!$H61)*NtoN2O*kgtoGg=0,"NO",('Activity data'!BI12*EF!$H43*EF!$H61)*NtoN2O*kgtoGg)</f>
        <v>6.6297256788396222E-2</v>
      </c>
      <c r="AQ1418" s="27">
        <f>IF(('Activity data'!BJ12*EF!$H43*EF!$H61)*NtoN2O*kgtoGg=0,"NO",('Activity data'!BJ12*EF!$H43*EF!$H61)*NtoN2O*kgtoGg)</f>
        <v>6.6371253212662962E-2</v>
      </c>
      <c r="AR1418" s="27">
        <f>IF(('Activity data'!BK12*EF!$H43*EF!$H61)*NtoN2O*kgtoGg=0,"NO",('Activity data'!BK12*EF!$H43*EF!$H61)*NtoN2O*kgtoGg)</f>
        <v>6.6450558230176079E-2</v>
      </c>
      <c r="AS1418" s="27">
        <f>IF(('Activity data'!BL12*EF!$H43*EF!$H61)*NtoN2O*kgtoGg=0,"NO",('Activity data'!BL12*EF!$H43*EF!$H61)*NtoN2O*kgtoGg)</f>
        <v>6.6486019480666153E-2</v>
      </c>
      <c r="AT1418" s="27">
        <f>IF(('Activity data'!BM12*EF!$H43*EF!$H61)*NtoN2O*kgtoGg=0,"NO",('Activity data'!BM12*EF!$H43*EF!$H61)*NtoN2O*kgtoGg)</f>
        <v>6.6519025441412388E-2</v>
      </c>
      <c r="AU1418" s="27">
        <f>IF(('Activity data'!BN12*EF!$H43*EF!$H61)*NtoN2O*kgtoGg=0,"NO",('Activity data'!BN12*EF!$H43*EF!$H61)*NtoN2O*kgtoGg)</f>
        <v>6.6555615903506504E-2</v>
      </c>
      <c r="AV1418" s="27">
        <f>IF(('Activity data'!BO12*EF!$H43*EF!$H61)*NtoN2O*kgtoGg=0,"NO",('Activity data'!BO12*EF!$H43*EF!$H61)*NtoN2O*kgtoGg)</f>
        <v>6.6596377376484356E-2</v>
      </c>
      <c r="AW1418" s="27">
        <f>IF(('Activity data'!BP12*EF!$H43*EF!$H61)*NtoN2O*kgtoGg=0,"NO",('Activity data'!BP12*EF!$H43*EF!$H61)*NtoN2O*kgtoGg)</f>
        <v>6.6640890249560589E-2</v>
      </c>
    </row>
    <row r="1419" spans="1:49" x14ac:dyDescent="0.2">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1.4486129996083083E-2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1.4639017833045652E-2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1.4890706011157254E-2</v>
      </c>
      <c r="R1419" s="27">
        <f>IF(('Activity data'!AK13*EF!$H44*EF!$H62)*NtoN2O*kgtoGg=0,"NO",('Activity data'!AK13*EF!$H44*EF!$H62)*NtoN2O*kgtoGg)</f>
        <v>1.4988675221399694E-2</v>
      </c>
      <c r="S1419" s="27">
        <f>IF(('Activity data'!AL13*EF!$H44*EF!$H62)*NtoN2O*kgtoGg=0,"NO",('Activity data'!AL13*EF!$H44*EF!$H62)*NtoN2O*kgtoGg)</f>
        <v>1.5078679643027025E-2</v>
      </c>
      <c r="T1419" s="27">
        <f>IF(('Activity data'!AM13*EF!$H44*EF!$H62)*NtoN2O*kgtoGg=0,"NO",('Activity data'!AM13*EF!$H44*EF!$H62)*NtoN2O*kgtoGg)</f>
        <v>1.5122495296339114E-2</v>
      </c>
      <c r="U1419" s="27">
        <f>IF(('Activity data'!AN13*EF!$H44*EF!$H62)*NtoN2O*kgtoGg=0,"NO",('Activity data'!AN13*EF!$H44*EF!$H62)*NtoN2O*kgtoGg)</f>
        <v>1.516958973789732E-2</v>
      </c>
      <c r="V1419" s="27">
        <f>IF(('Activity data'!AO13*EF!$H44*EF!$H62)*NtoN2O*kgtoGg=0,"NO",('Activity data'!AO13*EF!$H44*EF!$H62)*NtoN2O*kgtoGg)</f>
        <v>1.5220538890996555E-2</v>
      </c>
      <c r="W1419" s="27">
        <f>IF(('Activity data'!AP13*EF!$H44*EF!$H62)*NtoN2O*kgtoGg=0,"NO",('Activity data'!AP13*EF!$H44*EF!$H62)*NtoN2O*kgtoGg)</f>
        <v>1.5275902163367263E-2</v>
      </c>
      <c r="X1419" s="27">
        <f>IF(('Activity data'!AQ13*EF!$H44*EF!$H62)*NtoN2O*kgtoGg=0,"NO",('Activity data'!AQ13*EF!$H44*EF!$H62)*NtoN2O*kgtoGg)</f>
        <v>1.5334694454120529E-2</v>
      </c>
      <c r="Y1419" s="27">
        <f>IF(('Activity data'!AR13*EF!$H44*EF!$H62)*NtoN2O*kgtoGg=0,"NO",('Activity data'!AR13*EF!$H44*EF!$H62)*NtoN2O*kgtoGg)</f>
        <v>1.5371448915304845E-2</v>
      </c>
      <c r="Z1419" s="27">
        <f>IF(('Activity data'!AS13*EF!$H44*EF!$H62)*NtoN2O*kgtoGg=0,"NO",('Activity data'!AS13*EF!$H44*EF!$H62)*NtoN2O*kgtoGg)</f>
        <v>1.5411207509365298E-2</v>
      </c>
      <c r="AA1419" s="27">
        <f>IF(('Activity data'!AT13*EF!$H44*EF!$H62)*NtoN2O*kgtoGg=0,"NO",('Activity data'!AT13*EF!$H44*EF!$H62)*NtoN2O*kgtoGg)</f>
        <v>1.545373639870192E-2</v>
      </c>
      <c r="AB1419" s="27">
        <f>IF(('Activity data'!AU13*EF!$H44*EF!$H62)*NtoN2O*kgtoGg=0,"NO",('Activity data'!AU13*EF!$H44*EF!$H62)*NtoN2O*kgtoGg)</f>
        <v>1.5499966763922934E-2</v>
      </c>
      <c r="AC1419" s="27">
        <f>IF(('Activity data'!AV13*EF!$H44*EF!$H62)*NtoN2O*kgtoGg=0,"NO",('Activity data'!AV13*EF!$H44*EF!$H62)*NtoN2O*kgtoGg)</f>
        <v>1.5548833641447303E-2</v>
      </c>
      <c r="AD1419" s="27">
        <f>IF(('Activity data'!AW13*EF!$H44*EF!$H62)*NtoN2O*kgtoGg=0,"NO",('Activity data'!AW13*EF!$H44*EF!$H62)*NtoN2O*kgtoGg)</f>
        <v>1.5580602349578561E-2</v>
      </c>
      <c r="AE1419" s="27">
        <f>IF(('Activity data'!AX13*EF!$H44*EF!$H62)*NtoN2O*kgtoGg=0,"NO",('Activity data'!AX13*EF!$H44*EF!$H62)*NtoN2O*kgtoGg)</f>
        <v>1.5615591404277505E-2</v>
      </c>
      <c r="AF1419" s="27">
        <f>IF(('Activity data'!AY13*EF!$H44*EF!$H62)*NtoN2O*kgtoGg=0,"NO",('Activity data'!AY13*EF!$H44*EF!$H62)*NtoN2O*kgtoGg)</f>
        <v>1.5653259744642323E-2</v>
      </c>
      <c r="AG1419" s="27">
        <f>IF(('Activity data'!AZ13*EF!$H44*EF!$H62)*NtoN2O*kgtoGg=0,"NO",('Activity data'!AZ13*EF!$H44*EF!$H62)*NtoN2O*kgtoGg)</f>
        <v>1.5694012741398929E-2</v>
      </c>
      <c r="AH1419" s="27">
        <f>IF(('Activity data'!BA13*EF!$H44*EF!$H62)*NtoN2O*kgtoGg=0,"NO",('Activity data'!BA13*EF!$H44*EF!$H62)*NtoN2O*kgtoGg)</f>
        <v>1.5735477279761712E-2</v>
      </c>
      <c r="AI1419" s="27">
        <f>IF(('Activity data'!BB13*EF!$H44*EF!$H62)*NtoN2O*kgtoGg=0,"NO",('Activity data'!BB13*EF!$H44*EF!$H62)*NtoN2O*kgtoGg)</f>
        <v>1.5760021720349279E-2</v>
      </c>
      <c r="AJ1419" s="27">
        <f>IF(('Activity data'!BC13*EF!$H44*EF!$H62)*NtoN2O*kgtoGg=0,"NO",('Activity data'!BC13*EF!$H44*EF!$H62)*NtoN2O*kgtoGg)</f>
        <v>1.5786883711006117E-2</v>
      </c>
      <c r="AK1419" s="27">
        <f>IF(('Activity data'!BD13*EF!$H44*EF!$H62)*NtoN2O*kgtoGg=0,"NO",('Activity data'!BD13*EF!$H44*EF!$H62)*NtoN2O*kgtoGg)</f>
        <v>1.5815340273420818E-2</v>
      </c>
      <c r="AL1419" s="27">
        <f>IF(('Activity data'!BE13*EF!$H44*EF!$H62)*NtoN2O*kgtoGg=0,"NO",('Activity data'!BE13*EF!$H44*EF!$H62)*NtoN2O*kgtoGg)</f>
        <v>1.5845764593107773E-2</v>
      </c>
      <c r="AM1419" s="27">
        <f>IF(('Activity data'!BF13*EF!$H44*EF!$H62)*NtoN2O*kgtoGg=0,"NO",('Activity data'!BF13*EF!$H44*EF!$H62)*NtoN2O*kgtoGg)</f>
        <v>1.5877866318833773E-2</v>
      </c>
      <c r="AN1419" s="27">
        <f>IF(('Activity data'!BG13*EF!$H44*EF!$H62)*NtoN2O*kgtoGg=0,"NO",('Activity data'!BG13*EF!$H44*EF!$H62)*NtoN2O*kgtoGg)</f>
        <v>1.5894983838021428E-2</v>
      </c>
      <c r="AO1419" s="27">
        <f>IF(('Activity data'!BH13*EF!$H44*EF!$H62)*NtoN2O*kgtoGg=0,"NO",('Activity data'!BH13*EF!$H44*EF!$H62)*NtoN2O*kgtoGg)</f>
        <v>1.5913339031971951E-2</v>
      </c>
      <c r="AP1419" s="27">
        <f>IF(('Activity data'!BI13*EF!$H44*EF!$H62)*NtoN2O*kgtoGg=0,"NO",('Activity data'!BI13*EF!$H44*EF!$H62)*NtoN2O*kgtoGg)</f>
        <v>1.593321505910849E-2</v>
      </c>
      <c r="AQ1419" s="27">
        <f>IF(('Activity data'!BJ13*EF!$H44*EF!$H62)*NtoN2O*kgtoGg=0,"NO",('Activity data'!BJ13*EF!$H44*EF!$H62)*NtoN2O*kgtoGg)</f>
        <v>1.5954648527995344E-2</v>
      </c>
      <c r="AR1419" s="27">
        <f>IF(('Activity data'!BK13*EF!$H44*EF!$H62)*NtoN2O*kgtoGg=0,"NO",('Activity data'!BK13*EF!$H44*EF!$H62)*NtoN2O*kgtoGg)</f>
        <v>1.597762528830339E-2</v>
      </c>
      <c r="AS1419" s="27">
        <f>IF(('Activity data'!BL13*EF!$H44*EF!$H62)*NtoN2O*kgtoGg=0,"NO",('Activity data'!BL13*EF!$H44*EF!$H62)*NtoN2O*kgtoGg)</f>
        <v>1.598544144020398E-2</v>
      </c>
      <c r="AT1419" s="27">
        <f>IF(('Activity data'!BM13*EF!$H44*EF!$H62)*NtoN2O*kgtoGg=0,"NO",('Activity data'!BM13*EF!$H44*EF!$H62)*NtoN2O*kgtoGg)</f>
        <v>1.5992226212116378E-2</v>
      </c>
      <c r="AU1419" s="27">
        <f>IF(('Activity data'!BN13*EF!$H44*EF!$H62)*NtoN2O*kgtoGg=0,"NO",('Activity data'!BN13*EF!$H44*EF!$H62)*NtoN2O*kgtoGg)</f>
        <v>1.600003943689176E-2</v>
      </c>
      <c r="AV1419" s="27">
        <f>IF(('Activity data'!BO13*EF!$H44*EF!$H62)*NtoN2O*kgtoGg=0,"NO",('Activity data'!BO13*EF!$H44*EF!$H62)*NtoN2O*kgtoGg)</f>
        <v>1.6009082551352239E-2</v>
      </c>
      <c r="AW1419" s="27">
        <f>IF(('Activity data'!BP13*EF!$H44*EF!$H62)*NtoN2O*kgtoGg=0,"NO",('Activity data'!BP13*EF!$H44*EF!$H62)*NtoN2O*kgtoGg)</f>
        <v>1.6019215529788255E-2</v>
      </c>
    </row>
    <row r="1420" spans="1:49" x14ac:dyDescent="0.2">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0.11605647283191661</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0.11805182815822723</v>
      </c>
      <c r="R1420" s="27">
        <f>IF(('Activity data'!AK14*EF!$H45*EF!$H63)*NtoN2O*kgtoGg=0,"NO",('Activity data'!AK14*EF!$H45*EF!$H63)*NtoN2O*kgtoGg)</f>
        <v>0.11882851694408277</v>
      </c>
      <c r="S1420" s="27">
        <f>IF(('Activity data'!AL14*EF!$H45*EF!$H63)*NtoN2O*kgtoGg=0,"NO",('Activity data'!AL14*EF!$H45*EF!$H63)*NtoN2O*kgtoGg)</f>
        <v>0.11954206178926803</v>
      </c>
      <c r="T1420" s="27">
        <f>IF(('Activity data'!AM14*EF!$H45*EF!$H63)*NtoN2O*kgtoGg=0,"NO",('Activity data'!AM14*EF!$H45*EF!$H63)*NtoN2O*kgtoGg)</f>
        <v>0.11988942731858297</v>
      </c>
      <c r="U1420" s="27">
        <f>IF(('Activity data'!AN14*EF!$H45*EF!$H63)*NtoN2O*kgtoGg=0,"NO",('Activity data'!AN14*EF!$H45*EF!$H63)*NtoN2O*kgtoGg)</f>
        <v>0.12026278670919023</v>
      </c>
      <c r="V1420" s="27">
        <f>IF(('Activity data'!AO14*EF!$H45*EF!$H63)*NtoN2O*kgtoGg=0,"NO",('Activity data'!AO14*EF!$H45*EF!$H63)*NtoN2O*kgtoGg)</f>
        <v>0.12066670581564304</v>
      </c>
      <c r="W1420" s="27">
        <f>IF(('Activity data'!AP14*EF!$H45*EF!$H63)*NtoN2O*kgtoGg=0,"NO",('Activity data'!AP14*EF!$H45*EF!$H63)*NtoN2O*kgtoGg)</f>
        <v>0.12110561955897305</v>
      </c>
      <c r="X1420" s="27">
        <f>IF(('Activity data'!AQ14*EF!$H45*EF!$H63)*NtoN2O*kgtoGg=0,"NO",('Activity data'!AQ14*EF!$H45*EF!$H63)*NtoN2O*kgtoGg)</f>
        <v>0.121571718171076</v>
      </c>
      <c r="Y1420" s="27">
        <f>IF(('Activity data'!AR14*EF!$H45*EF!$H63)*NtoN2O*kgtoGg=0,"NO",('Activity data'!AR14*EF!$H45*EF!$H63)*NtoN2O*kgtoGg)</f>
        <v>0.12186310337017453</v>
      </c>
      <c r="Z1420" s="27">
        <f>IF(('Activity data'!AS14*EF!$H45*EF!$H63)*NtoN2O*kgtoGg=0,"NO",('Activity data'!AS14*EF!$H45*EF!$H63)*NtoN2O*kgtoGg)</f>
        <v>0.12217830499394715</v>
      </c>
      <c r="AA1420" s="27">
        <f>IF(('Activity data'!AT14*EF!$H45*EF!$H63)*NtoN2O*kgtoGg=0,"NO",('Activity data'!AT14*EF!$H45*EF!$H63)*NtoN2O*kgtoGg)</f>
        <v>0.12251546920442616</v>
      </c>
      <c r="AB1420" s="27">
        <f>IF(('Activity data'!AU14*EF!$H45*EF!$H63)*NtoN2O*kgtoGg=0,"NO",('Activity data'!AU14*EF!$H45*EF!$H63)*NtoN2O*kgtoGg)</f>
        <v>0.12288197829584693</v>
      </c>
      <c r="AC1420" s="27">
        <f>IF(('Activity data'!AV14*EF!$H45*EF!$H63)*NtoN2O*kgtoGg=0,"NO",('Activity data'!AV14*EF!$H45*EF!$H63)*NtoN2O*kgtoGg)</f>
        <v>0.12326938935774111</v>
      </c>
      <c r="AD1420" s="27">
        <f>IF(('Activity data'!AW14*EF!$H45*EF!$H63)*NtoN2O*kgtoGg=0,"NO",('Activity data'!AW14*EF!$H45*EF!$H63)*NtoN2O*kgtoGg)</f>
        <v>0.12352124807218419</v>
      </c>
      <c r="AE1420" s="27">
        <f>IF(('Activity data'!AX14*EF!$H45*EF!$H63)*NtoN2O*kgtoGg=0,"NO",('Activity data'!AX14*EF!$H45*EF!$H63)*NtoN2O*kgtoGg)</f>
        <v>0.12379863732892218</v>
      </c>
      <c r="AF1420" s="27">
        <f>IF(('Activity data'!AY14*EF!$H45*EF!$H63)*NtoN2O*kgtoGg=0,"NO",('Activity data'!AY14*EF!$H45*EF!$H63)*NtoN2O*kgtoGg)</f>
        <v>0.12409726765849963</v>
      </c>
      <c r="AG1420" s="27">
        <f>IF(('Activity data'!AZ14*EF!$H45*EF!$H63)*NtoN2O*kgtoGg=0,"NO",('Activity data'!AZ14*EF!$H45*EF!$H63)*NtoN2O*kgtoGg)</f>
        <v>0.12442035279404921</v>
      </c>
      <c r="AH1420" s="27">
        <f>IF(('Activity data'!BA14*EF!$H45*EF!$H63)*NtoN2O*kgtoGg=0,"NO",('Activity data'!BA14*EF!$H45*EF!$H63)*NtoN2O*kgtoGg)</f>
        <v>0.12474907895074024</v>
      </c>
      <c r="AI1420" s="27">
        <f>IF(('Activity data'!BB14*EF!$H45*EF!$H63)*NtoN2O*kgtoGg=0,"NO",('Activity data'!BB14*EF!$H45*EF!$H63)*NtoN2O*kgtoGg)</f>
        <v>0.12494366449156763</v>
      </c>
      <c r="AJ1420" s="27">
        <f>IF(('Activity data'!BC14*EF!$H45*EF!$H63)*NtoN2O*kgtoGg=0,"NO",('Activity data'!BC14*EF!$H45*EF!$H63)*NtoN2O*kgtoGg)</f>
        <v>0.12515662330645747</v>
      </c>
      <c r="AK1420" s="27">
        <f>IF(('Activity data'!BD14*EF!$H45*EF!$H63)*NtoN2O*kgtoGg=0,"NO",('Activity data'!BD14*EF!$H45*EF!$H63)*NtoN2O*kgtoGg)</f>
        <v>0.12538222370536653</v>
      </c>
      <c r="AL1420" s="27">
        <f>IF(('Activity data'!BE14*EF!$H45*EF!$H63)*NtoN2O*kgtoGg=0,"NO",('Activity data'!BE14*EF!$H45*EF!$H63)*NtoN2O*kgtoGg)</f>
        <v>0.12562342426072123</v>
      </c>
      <c r="AM1420" s="27">
        <f>IF(('Activity data'!BF14*EF!$H45*EF!$H63)*NtoN2O*kgtoGg=0,"NO",('Activity data'!BF14*EF!$H45*EF!$H63)*NtoN2O*kgtoGg)</f>
        <v>0.12587792310088028</v>
      </c>
      <c r="AN1420" s="27">
        <f>IF(('Activity data'!BG14*EF!$H45*EF!$H63)*NtoN2O*kgtoGg=0,"NO",('Activity data'!BG14*EF!$H45*EF!$H63)*NtoN2O*kgtoGg)</f>
        <v>0.12601362885130757</v>
      </c>
      <c r="AO1420" s="27">
        <f>IF(('Activity data'!BH14*EF!$H45*EF!$H63)*NtoN2O*kgtoGg=0,"NO",('Activity data'!BH14*EF!$H45*EF!$H63)*NtoN2O*kgtoGg)</f>
        <v>0.12615914674686166</v>
      </c>
      <c r="AP1420" s="27">
        <f>IF(('Activity data'!BI14*EF!$H45*EF!$H63)*NtoN2O*kgtoGg=0,"NO",('Activity data'!BI14*EF!$H45*EF!$H63)*NtoN2O*kgtoGg)</f>
        <v>0.1263167216354017</v>
      </c>
      <c r="AQ1420" s="27">
        <f>IF(('Activity data'!BJ14*EF!$H45*EF!$H63)*NtoN2O*kgtoGg=0,"NO",('Activity data'!BJ14*EF!$H45*EF!$H63)*NtoN2O*kgtoGg)</f>
        <v>0.12648664374547289</v>
      </c>
      <c r="AR1420" s="27">
        <f>IF(('Activity data'!BK14*EF!$H45*EF!$H63)*NtoN2O*kgtoGg=0,"NO",('Activity data'!BK14*EF!$H45*EF!$H63)*NtoN2O*kgtoGg)</f>
        <v>0.12666880089487106</v>
      </c>
      <c r="AS1420" s="27">
        <f>IF(('Activity data'!BL14*EF!$H45*EF!$H63)*NtoN2O*kgtoGg=0,"NO",('Activity data'!BL14*EF!$H45*EF!$H63)*NtoN2O*kgtoGg)</f>
        <v>0.12673076646052897</v>
      </c>
      <c r="AT1420" s="27">
        <f>IF(('Activity data'!BM14*EF!$H45*EF!$H63)*NtoN2O*kgtoGg=0,"NO",('Activity data'!BM14*EF!$H45*EF!$H63)*NtoN2O*kgtoGg)</f>
        <v>0.12678455536263306</v>
      </c>
      <c r="AU1420" s="27">
        <f>IF(('Activity data'!BN14*EF!$H45*EF!$H63)*NtoN2O*kgtoGg=0,"NO",('Activity data'!BN14*EF!$H45*EF!$H63)*NtoN2O*kgtoGg)</f>
        <v>0.1268464977223743</v>
      </c>
      <c r="AV1420" s="27">
        <f>IF(('Activity data'!BO14*EF!$H45*EF!$H63)*NtoN2O*kgtoGg=0,"NO",('Activity data'!BO14*EF!$H45*EF!$H63)*NtoN2O*kgtoGg)</f>
        <v>0.12691819050802894</v>
      </c>
      <c r="AW1420" s="27">
        <f>IF(('Activity data'!BP14*EF!$H45*EF!$H63)*NtoN2O*kgtoGg=0,"NO",('Activity data'!BP14*EF!$H45*EF!$H63)*NtoN2O*kgtoGg)</f>
        <v>0.12699852361165501</v>
      </c>
    </row>
    <row r="1421" spans="1:49" x14ac:dyDescent="0.2">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2">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2">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9.6937181363551561E-2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9.4636150647850539E-2</v>
      </c>
      <c r="P1423" s="27">
        <f>IF(('Activity data'!AI17*EF!$H48*EF!$H66)*NtoN2O*kgtoGg=0,"NO",('Activity data'!AI17*EF!$H48*EF!$H66)*NtoN2O*kgtoGg)</f>
        <v>9.2641437622218353E-2</v>
      </c>
      <c r="Q1423" s="27">
        <f>IF(('Activity data'!AJ17*EF!$H48*EF!$H66)*NtoN2O*kgtoGg=0,"NO",('Activity data'!AJ17*EF!$H48*EF!$H66)*NtoN2O*kgtoGg)</f>
        <v>9.1193054757597203E-2</v>
      </c>
      <c r="R1423" s="27">
        <f>IF(('Activity data'!AK17*EF!$H48*EF!$H66)*NtoN2O*kgtoGg=0,"NO",('Activity data'!AK17*EF!$H48*EF!$H66)*NtoN2O*kgtoGg)</f>
        <v>8.9872834352323586E-2</v>
      </c>
      <c r="S1423" s="27">
        <f>IF(('Activity data'!AL17*EF!$H48*EF!$H66)*NtoN2O*kgtoGg=0,"NO",('Activity data'!AL17*EF!$H48*EF!$H66)*NtoN2O*kgtoGg)</f>
        <v>8.007614881771638E-2</v>
      </c>
      <c r="T1423" s="27">
        <f>IF(('Activity data'!AM17*EF!$H48*EF!$H66)*NtoN2O*kgtoGg=0,"NO",('Activity data'!AM17*EF!$H48*EF!$H66)*NtoN2O*kgtoGg)</f>
        <v>8.1326396788510474E-2</v>
      </c>
      <c r="U1423" s="27">
        <f>IF(('Activity data'!AN17*EF!$H48*EF!$H66)*NtoN2O*kgtoGg=0,"NO",('Activity data'!AN17*EF!$H48*EF!$H66)*NtoN2O*kgtoGg)</f>
        <v>8.1857388582928847E-2</v>
      </c>
      <c r="V1423" s="27">
        <f>IF(('Activity data'!AO17*EF!$H48*EF!$H66)*NtoN2O*kgtoGg=0,"NO",('Activity data'!AO17*EF!$H48*EF!$H66)*NtoN2O*kgtoGg)</f>
        <v>8.2207086470719101E-2</v>
      </c>
      <c r="W1423" s="27">
        <f>IF(('Activity data'!AP17*EF!$H48*EF!$H66)*NtoN2O*kgtoGg=0,"NO",('Activity data'!AP17*EF!$H48*EF!$H66)*NtoN2O*kgtoGg)</f>
        <v>8.285461390877466E-2</v>
      </c>
      <c r="X1423" s="27">
        <f>IF(('Activity data'!AQ17*EF!$H48*EF!$H66)*NtoN2O*kgtoGg=0,"NO",('Activity data'!AQ17*EF!$H48*EF!$H66)*NtoN2O*kgtoGg)</f>
        <v>8.333689669834958E-2</v>
      </c>
      <c r="Y1423" s="27">
        <f>IF(('Activity data'!AR17*EF!$H48*EF!$H66)*NtoN2O*kgtoGg=0,"NO",('Activity data'!AR17*EF!$H48*EF!$H66)*NtoN2O*kgtoGg)</f>
        <v>8.3589871912565908E-2</v>
      </c>
      <c r="Z1423" s="27">
        <f>IF(('Activity data'!AS17*EF!$H48*EF!$H66)*NtoN2O*kgtoGg=0,"NO",('Activity data'!AS17*EF!$H48*EF!$H66)*NtoN2O*kgtoGg)</f>
        <v>8.3744868407458789E-2</v>
      </c>
      <c r="AA1423" s="27">
        <f>IF(('Activity data'!AT17*EF!$H48*EF!$H66)*NtoN2O*kgtoGg=0,"NO",('Activity data'!AT17*EF!$H48*EF!$H66)*NtoN2O*kgtoGg)</f>
        <v>8.3765893880963477E-2</v>
      </c>
      <c r="AB1423" s="27">
        <f>IF(('Activity data'!AU17*EF!$H48*EF!$H66)*NtoN2O*kgtoGg=0,"NO",('Activity data'!AU17*EF!$H48*EF!$H66)*NtoN2O*kgtoGg)</f>
        <v>8.4252320791482468E-2</v>
      </c>
      <c r="AC1423" s="27">
        <f>IF(('Activity data'!AV17*EF!$H48*EF!$H66)*NtoN2O*kgtoGg=0,"NO",('Activity data'!AV17*EF!$H48*EF!$H66)*NtoN2O*kgtoGg)</f>
        <v>8.467721169561411E-2</v>
      </c>
      <c r="AD1423" s="27">
        <f>IF(('Activity data'!AW17*EF!$H48*EF!$H66)*NtoN2O*kgtoGg=0,"NO",('Activity data'!AW17*EF!$H48*EF!$H66)*NtoN2O*kgtoGg)</f>
        <v>8.5288552318902811E-2</v>
      </c>
      <c r="AE1423" s="27">
        <f>IF(('Activity data'!AX17*EF!$H48*EF!$H66)*NtoN2O*kgtoGg=0,"NO",('Activity data'!AX17*EF!$H48*EF!$H66)*NtoN2O*kgtoGg)</f>
        <v>8.6321222168383255E-2</v>
      </c>
      <c r="AF1423" s="27">
        <f>IF(('Activity data'!AY17*EF!$H48*EF!$H66)*NtoN2O*kgtoGg=0,"NO",('Activity data'!AY17*EF!$H48*EF!$H66)*NtoN2O*kgtoGg)</f>
        <v>8.7530536010928472E-2</v>
      </c>
      <c r="AG1423" s="27">
        <f>IF(('Activity data'!AZ17*EF!$H48*EF!$H66)*NtoN2O*kgtoGg=0,"NO",('Activity data'!AZ17*EF!$H48*EF!$H66)*NtoN2O*kgtoGg)</f>
        <v>8.9167849032446608E-2</v>
      </c>
      <c r="AH1423" s="27">
        <f>IF(('Activity data'!BA17*EF!$H48*EF!$H66)*NtoN2O*kgtoGg=0,"NO",('Activity data'!BA17*EF!$H48*EF!$H66)*NtoN2O*kgtoGg)</f>
        <v>9.0051741731639295E-2</v>
      </c>
      <c r="AI1423" s="27">
        <f>IF(('Activity data'!BB17*EF!$H48*EF!$H66)*NtoN2O*kgtoGg=0,"NO",('Activity data'!BB17*EF!$H48*EF!$H66)*NtoN2O*kgtoGg)</f>
        <v>9.0823732502808008E-2</v>
      </c>
      <c r="AJ1423" s="27">
        <f>IF(('Activity data'!BC17*EF!$H48*EF!$H66)*NtoN2O*kgtoGg=0,"NO",('Activity data'!BC17*EF!$H48*EF!$H66)*NtoN2O*kgtoGg)</f>
        <v>9.1793903682288E-2</v>
      </c>
      <c r="AK1423" s="27">
        <f>IF(('Activity data'!BD17*EF!$H48*EF!$H66)*NtoN2O*kgtoGg=0,"NO",('Activity data'!BD17*EF!$H48*EF!$H66)*NtoN2O*kgtoGg)</f>
        <v>9.2636221139642705E-2</v>
      </c>
      <c r="AL1423" s="27">
        <f>IF(('Activity data'!BE17*EF!$H48*EF!$H66)*NtoN2O*kgtoGg=0,"NO",('Activity data'!BE17*EF!$H48*EF!$H66)*NtoN2O*kgtoGg)</f>
        <v>9.3568236692189041E-2</v>
      </c>
      <c r="AM1423" s="27">
        <f>IF(('Activity data'!BF17*EF!$H48*EF!$H66)*NtoN2O*kgtoGg=0,"NO",('Activity data'!BF17*EF!$H48*EF!$H66)*NtoN2O*kgtoGg)</f>
        <v>9.4477344703207677E-2</v>
      </c>
      <c r="AN1423" s="27">
        <f>IF(('Activity data'!BG17*EF!$H48*EF!$H66)*NtoN2O*kgtoGg=0,"NO",('Activity data'!BG17*EF!$H48*EF!$H66)*NtoN2O*kgtoGg)</f>
        <v>9.5701309146604296E-2</v>
      </c>
      <c r="AO1423" s="27">
        <f>IF(('Activity data'!BH17*EF!$H48*EF!$H66)*NtoN2O*kgtoGg=0,"NO",('Activity data'!BH17*EF!$H48*EF!$H66)*NtoN2O*kgtoGg)</f>
        <v>9.6764158959885563E-2</v>
      </c>
      <c r="AP1423" s="27">
        <f>IF(('Activity data'!BI17*EF!$H48*EF!$H66)*NtoN2O*kgtoGg=0,"NO",('Activity data'!BI17*EF!$H48*EF!$H66)*NtoN2O*kgtoGg)</f>
        <v>9.7826064209534019E-2</v>
      </c>
      <c r="AQ1423" s="27">
        <f>IF(('Activity data'!BJ17*EF!$H48*EF!$H66)*NtoN2O*kgtoGg=0,"NO",('Activity data'!BJ17*EF!$H48*EF!$H66)*NtoN2O*kgtoGg)</f>
        <v>9.8925683865692504E-2</v>
      </c>
      <c r="AR1423" s="27">
        <f>IF(('Activity data'!BK17*EF!$H48*EF!$H66)*NtoN2O*kgtoGg=0,"NO",('Activity data'!BK17*EF!$H48*EF!$H66)*NtoN2O*kgtoGg)</f>
        <v>0.1000753787258143</v>
      </c>
      <c r="AS1423" s="27">
        <f>IF(('Activity data'!BL17*EF!$H48*EF!$H66)*NtoN2O*kgtoGg=0,"NO",('Activity data'!BL17*EF!$H48*EF!$H66)*NtoN2O*kgtoGg)</f>
        <v>0.10157365781943821</v>
      </c>
      <c r="AT1423" s="27">
        <f>IF(('Activity data'!BM17*EF!$H48*EF!$H66)*NtoN2O*kgtoGg=0,"NO",('Activity data'!BM17*EF!$H48*EF!$H66)*NtoN2O*kgtoGg)</f>
        <v>0.10203766217050345</v>
      </c>
      <c r="AU1423" s="27">
        <f>IF(('Activity data'!BN17*EF!$H48*EF!$H66)*NtoN2O*kgtoGg=0,"NO",('Activity data'!BN17*EF!$H48*EF!$H66)*NtoN2O*kgtoGg)</f>
        <v>0.10240826928518969</v>
      </c>
      <c r="AV1423" s="27">
        <f>IF(('Activity data'!BO17*EF!$H48*EF!$H66)*NtoN2O*kgtoGg=0,"NO",('Activity data'!BO17*EF!$H48*EF!$H66)*NtoN2O*kgtoGg)</f>
        <v>0.10279047259457187</v>
      </c>
      <c r="AW1423" s="27">
        <f>IF(('Activity data'!BP17*EF!$H48*EF!$H66)*NtoN2O*kgtoGg=0,"NO",('Activity data'!BP17*EF!$H48*EF!$H66)*NtoN2O*kgtoGg)</f>
        <v>0.10314026973807801</v>
      </c>
    </row>
    <row r="1424" spans="1:49" x14ac:dyDescent="0.2">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3.7923788015899976E-2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3.7023578211438583E-2</v>
      </c>
      <c r="P1424" s="27">
        <f>IF(('Activity data'!AI18*EF!$H49*EF!$H67)*NtoN2O*kgtoGg=0,"NO",('Activity data'!AI18*EF!$H49*EF!$H67)*NtoN2O*kgtoGg)</f>
        <v>3.6243206089281214E-2</v>
      </c>
      <c r="Q1424" s="27">
        <f>IF(('Activity data'!AJ18*EF!$H49*EF!$H67)*NtoN2O*kgtoGg=0,"NO",('Activity data'!AJ18*EF!$H49*EF!$H67)*NtoN2O*kgtoGg)</f>
        <v>3.5676569387541844E-2</v>
      </c>
      <c r="R1424" s="27">
        <f>IF(('Activity data'!AK18*EF!$H49*EF!$H67)*NtoN2O*kgtoGg=0,"NO",('Activity data'!AK18*EF!$H49*EF!$H67)*NtoN2O*kgtoGg)</f>
        <v>3.5160072434777256E-2</v>
      </c>
      <c r="S1424" s="27">
        <f>IF(('Activity data'!AL18*EF!$H49*EF!$H67)*NtoN2O*kgtoGg=0,"NO",('Activity data'!AL18*EF!$H49*EF!$H67)*NtoN2O*kgtoGg)</f>
        <v>3.132741070223205E-2</v>
      </c>
      <c r="T1424" s="27">
        <f>IF(('Activity data'!AM18*EF!$H49*EF!$H67)*NtoN2O*kgtoGg=0,"NO",('Activity data'!AM18*EF!$H49*EF!$H67)*NtoN2O*kgtoGg)</f>
        <v>3.1816533021911265E-2</v>
      </c>
      <c r="U1424" s="27">
        <f>IF(('Activity data'!AN18*EF!$H49*EF!$H67)*NtoN2O*kgtoGg=0,"NO",('Activity data'!AN18*EF!$H49*EF!$H67)*NtoN2O*kgtoGg)</f>
        <v>3.2024267762765575E-2</v>
      </c>
      <c r="V1424" s="27">
        <f>IF(('Activity data'!AO18*EF!$H49*EF!$H67)*NtoN2O*kgtoGg=0,"NO",('Activity data'!AO18*EF!$H49*EF!$H67)*NtoN2O*kgtoGg)</f>
        <v>3.2161076656727829E-2</v>
      </c>
      <c r="W1424" s="27">
        <f>IF(('Activity data'!AP18*EF!$H49*EF!$H67)*NtoN2O*kgtoGg=0,"NO",('Activity data'!AP18*EF!$H49*EF!$H67)*NtoN2O*kgtoGg)</f>
        <v>3.2414402500845374E-2</v>
      </c>
      <c r="X1424" s="27">
        <f>IF(('Activity data'!AQ18*EF!$H49*EF!$H67)*NtoN2O*kgtoGg=0,"NO",('Activity data'!AQ18*EF!$H49*EF!$H67)*NtoN2O*kgtoGg)</f>
        <v>3.2603081292804072E-2</v>
      </c>
      <c r="Y1424" s="27">
        <f>IF(('Activity data'!AR18*EF!$H49*EF!$H67)*NtoN2O*kgtoGg=0,"NO",('Activity data'!AR18*EF!$H49*EF!$H67)*NtoN2O*kgtoGg)</f>
        <v>3.2702050318540822E-2</v>
      </c>
      <c r="Z1424" s="27">
        <f>IF(('Activity data'!AS18*EF!$H49*EF!$H67)*NtoN2O*kgtoGg=0,"NO",('Activity data'!AS18*EF!$H49*EF!$H67)*NtoN2O*kgtoGg)</f>
        <v>3.2762688085523954E-2</v>
      </c>
      <c r="AA1424" s="27">
        <f>IF(('Activity data'!AT18*EF!$H49*EF!$H67)*NtoN2O*kgtoGg=0,"NO",('Activity data'!AT18*EF!$H49*EF!$H67)*NtoN2O*kgtoGg)</f>
        <v>3.2770913676457285E-2</v>
      </c>
      <c r="AB1424" s="27">
        <f>IF(('Activity data'!AU18*EF!$H49*EF!$H67)*NtoN2O*kgtoGg=0,"NO",('Activity data'!AU18*EF!$H49*EF!$H67)*NtoN2O*kgtoGg)</f>
        <v>3.2961213732434436E-2</v>
      </c>
      <c r="AC1424" s="27">
        <f>IF(('Activity data'!AV18*EF!$H49*EF!$H67)*NtoN2O*kgtoGg=0,"NO",('Activity data'!AV18*EF!$H49*EF!$H67)*NtoN2O*kgtoGg)</f>
        <v>3.3127439656806437E-2</v>
      </c>
      <c r="AD1424" s="27">
        <f>IF(('Activity data'!AW18*EF!$H49*EF!$H67)*NtoN2O*kgtoGg=0,"NO",('Activity data'!AW18*EF!$H49*EF!$H67)*NtoN2O*kgtoGg)</f>
        <v>3.3366608486320448E-2</v>
      </c>
      <c r="AE1424" s="27">
        <f>IF(('Activity data'!AX18*EF!$H49*EF!$H67)*NtoN2O*kgtoGg=0,"NO",('Activity data'!AX18*EF!$H49*EF!$H67)*NtoN2O*kgtoGg)</f>
        <v>3.377060983968385E-2</v>
      </c>
      <c r="AF1424" s="27">
        <f>IF(('Activity data'!AY18*EF!$H49*EF!$H67)*NtoN2O*kgtoGg=0,"NO",('Activity data'!AY18*EF!$H49*EF!$H67)*NtoN2O*kgtoGg)</f>
        <v>3.4243717899607513E-2</v>
      </c>
      <c r="AG1424" s="27">
        <f>IF(('Activity data'!AZ18*EF!$H49*EF!$H67)*NtoN2O*kgtoGg=0,"NO",('Activity data'!AZ18*EF!$H49*EF!$H67)*NtoN2O*kgtoGg)</f>
        <v>3.4884267903953659E-2</v>
      </c>
      <c r="AH1424" s="27">
        <f>IF(('Activity data'!BA18*EF!$H49*EF!$H67)*NtoN2O*kgtoGg=0,"NO",('Activity data'!BA18*EF!$H49*EF!$H67)*NtoN2O*kgtoGg)</f>
        <v>3.523006462386518E-2</v>
      </c>
      <c r="AI1424" s="27">
        <f>IF(('Activity data'!BB18*EF!$H49*EF!$H67)*NtoN2O*kgtoGg=0,"NO",('Activity data'!BB18*EF!$H49*EF!$H67)*NtoN2O*kgtoGg)</f>
        <v>3.5532083043879219E-2</v>
      </c>
      <c r="AJ1424" s="27">
        <f>IF(('Activity data'!BC18*EF!$H49*EF!$H67)*NtoN2O*kgtoGg=0,"NO",('Activity data'!BC18*EF!$H49*EF!$H67)*NtoN2O*kgtoGg)</f>
        <v>3.5911633652141173E-2</v>
      </c>
      <c r="AK1424" s="27">
        <f>IF(('Activity data'!BD18*EF!$H49*EF!$H67)*NtoN2O*kgtoGg=0,"NO",('Activity data'!BD18*EF!$H49*EF!$H67)*NtoN2O*kgtoGg)</f>
        <v>3.6241165295680604E-2</v>
      </c>
      <c r="AL1424" s="27">
        <f>IF(('Activity data'!BE18*EF!$H49*EF!$H67)*NtoN2O*kgtoGg=0,"NO",('Activity data'!BE18*EF!$H49*EF!$H67)*NtoN2O*kgtoGg)</f>
        <v>3.6605788650157255E-2</v>
      </c>
      <c r="AM1424" s="27">
        <f>IF(('Activity data'!BF18*EF!$H49*EF!$H67)*NtoN2O*kgtoGg=0,"NO",('Activity data'!BF18*EF!$H49*EF!$H67)*NtoN2O*kgtoGg)</f>
        <v>3.6961450110584139E-2</v>
      </c>
      <c r="AN1424" s="27">
        <f>IF(('Activity data'!BG18*EF!$H49*EF!$H67)*NtoN2O*kgtoGg=0,"NO",('Activity data'!BG18*EF!$H49*EF!$H67)*NtoN2O*kgtoGg)</f>
        <v>3.7440289782188468E-2</v>
      </c>
      <c r="AO1424" s="27">
        <f>IF(('Activity data'!BH18*EF!$H49*EF!$H67)*NtoN2O*kgtoGg=0,"NO",('Activity data'!BH18*EF!$H49*EF!$H67)*NtoN2O*kgtoGg)</f>
        <v>3.7856098148438051E-2</v>
      </c>
      <c r="AP1424" s="27">
        <f>IF(('Activity data'!BI18*EF!$H49*EF!$H67)*NtoN2O*kgtoGg=0,"NO",('Activity data'!BI18*EF!$H49*EF!$H67)*NtoN2O*kgtoGg)</f>
        <v>3.82715369822701E-2</v>
      </c>
      <c r="AQ1424" s="27">
        <f>IF(('Activity data'!BJ18*EF!$H49*EF!$H67)*NtoN2O*kgtoGg=0,"NO",('Activity data'!BJ18*EF!$H49*EF!$H67)*NtoN2O*kgtoGg)</f>
        <v>3.8701730455524434E-2</v>
      </c>
      <c r="AR1424" s="27">
        <f>IF(('Activity data'!BK18*EF!$H49*EF!$H67)*NtoN2O*kgtoGg=0,"NO",('Activity data'!BK18*EF!$H49*EF!$H67)*NtoN2O*kgtoGg)</f>
        <v>3.9151514362431208E-2</v>
      </c>
      <c r="AS1424" s="27">
        <f>IF(('Activity data'!BL18*EF!$H49*EF!$H67)*NtoN2O*kgtoGg=0,"NO",('Activity data'!BL18*EF!$H49*EF!$H67)*NtoN2O*kgtoGg)</f>
        <v>3.973767147919479E-2</v>
      </c>
      <c r="AT1424" s="27">
        <f>IF(('Activity data'!BM18*EF!$H49*EF!$H67)*NtoN2O*kgtoGg=0,"NO",('Activity data'!BM18*EF!$H49*EF!$H67)*NtoN2O*kgtoGg)</f>
        <v>3.9919199375928846E-2</v>
      </c>
      <c r="AU1424" s="27">
        <f>IF(('Activity data'!BN18*EF!$H49*EF!$H67)*NtoN2O*kgtoGg=0,"NO",('Activity data'!BN18*EF!$H49*EF!$H67)*NtoN2O*kgtoGg)</f>
        <v>4.0064188382797468E-2</v>
      </c>
      <c r="AV1424" s="27">
        <f>IF(('Activity data'!BO18*EF!$H49*EF!$H67)*NtoN2O*kgtoGg=0,"NO",('Activity data'!BO18*EF!$H49*EF!$H67)*NtoN2O*kgtoGg)</f>
        <v>4.0213714055816842E-2</v>
      </c>
      <c r="AW1424" s="27">
        <f>IF(('Activity data'!BP18*EF!$H49*EF!$H67)*NtoN2O*kgtoGg=0,"NO",('Activity data'!BP18*EF!$H49*EF!$H67)*NtoN2O*kgtoGg)</f>
        <v>4.0350561780624759E-2</v>
      </c>
    </row>
    <row r="1425" spans="1:49" x14ac:dyDescent="0.2">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0.32784224726088984</v>
      </c>
      <c r="L1425" s="27">
        <f>IF(('Activity data'!AE19*EF!$H50*EF!$H68)*NtoN2O*kgtoGg=0,"NO",('Activity data'!AE19*EF!$H50*EF!$H68)*NtoN2O*kgtoGg)</f>
        <v>0.33450793008613738</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0.35308310351311484</v>
      </c>
      <c r="P1425" s="27">
        <f>IF(('Activity data'!AI19*EF!$H50*EF!$H68)*NtoN2O*kgtoGg=0,"NO",('Activity data'!AI19*EF!$H50*EF!$H68)*NtoN2O*kgtoGg)</f>
        <v>0.35667649320457151</v>
      </c>
      <c r="Q1425" s="27">
        <f>IF(('Activity data'!AJ19*EF!$H50*EF!$H68)*NtoN2O*kgtoGg=0,"NO",('Activity data'!AJ19*EF!$H50*EF!$H68)*NtoN2O*kgtoGg)</f>
        <v>0.36128421068096001</v>
      </c>
      <c r="R1425" s="27">
        <f>IF(('Activity data'!AK19*EF!$H50*EF!$H68)*NtoN2O*kgtoGg=0,"NO",('Activity data'!AK19*EF!$H50*EF!$H68)*NtoN2O*kgtoGg)</f>
        <v>0.36607496135357964</v>
      </c>
      <c r="S1425" s="27">
        <f>IF(('Activity data'!AL19*EF!$H50*EF!$H68)*NtoN2O*kgtoGg=0,"NO",('Activity data'!AL19*EF!$H50*EF!$H68)*NtoN2O*kgtoGg)</f>
        <v>0.35143183243338239</v>
      </c>
      <c r="T1425" s="27">
        <f>IF(('Activity data'!AM19*EF!$H50*EF!$H68)*NtoN2O*kgtoGg=0,"NO",('Activity data'!AM19*EF!$H50*EF!$H68)*NtoN2O*kgtoGg)</f>
        <v>0.36075285272545593</v>
      </c>
      <c r="U1425" s="27">
        <f>IF(('Activity data'!AN19*EF!$H50*EF!$H68)*NtoN2O*kgtoGg=0,"NO",('Activity data'!AN19*EF!$H50*EF!$H68)*NtoN2O*kgtoGg)</f>
        <v>0.36853031698633509</v>
      </c>
      <c r="V1425" s="27">
        <f>IF(('Activity data'!AO19*EF!$H50*EF!$H68)*NtoN2O*kgtoGg=0,"NO",('Activity data'!AO19*EF!$H50*EF!$H68)*NtoN2O*kgtoGg)</f>
        <v>0.37596763636775804</v>
      </c>
      <c r="W1425" s="27">
        <f>IF(('Activity data'!AP19*EF!$H50*EF!$H68)*NtoN2O*kgtoGg=0,"NO",('Activity data'!AP19*EF!$H50*EF!$H68)*NtoN2O*kgtoGg)</f>
        <v>0.38423631077311071</v>
      </c>
      <c r="X1425" s="27">
        <f>IF(('Activity data'!AQ19*EF!$H50*EF!$H68)*NtoN2O*kgtoGg=0,"NO",('Activity data'!AQ19*EF!$H50*EF!$H68)*NtoN2O*kgtoGg)</f>
        <v>0.39220730600957571</v>
      </c>
      <c r="Y1425" s="27">
        <f>IF(('Activity data'!AR19*EF!$H50*EF!$H68)*NtoN2O*kgtoGg=0,"NO",('Activity data'!AR19*EF!$H50*EF!$H68)*NtoN2O*kgtoGg)</f>
        <v>0.39936428537617313</v>
      </c>
      <c r="Z1425" s="27">
        <f>IF(('Activity data'!AS19*EF!$H50*EF!$H68)*NtoN2O*kgtoGg=0,"NO",('Activity data'!AS19*EF!$H50*EF!$H68)*NtoN2O*kgtoGg)</f>
        <v>0.40634242638516721</v>
      </c>
      <c r="AA1425" s="27">
        <f>IF(('Activity data'!AT19*EF!$H50*EF!$H68)*NtoN2O*kgtoGg=0,"NO",('Activity data'!AT19*EF!$H50*EF!$H68)*NtoN2O*kgtoGg)</f>
        <v>0.41303118340854511</v>
      </c>
      <c r="AB1425" s="27">
        <f>IF(('Activity data'!AU19*EF!$H50*EF!$H68)*NtoN2O*kgtoGg=0,"NO",('Activity data'!AU19*EF!$H50*EF!$H68)*NtoN2O*kgtoGg)</f>
        <v>0.42107387695618559</v>
      </c>
      <c r="AC1425" s="27">
        <f>IF(('Activity data'!AV19*EF!$H50*EF!$H68)*NtoN2O*kgtoGg=0,"NO",('Activity data'!AV19*EF!$H50*EF!$H68)*NtoN2O*kgtoGg)</f>
        <v>0.42906142963568294</v>
      </c>
      <c r="AD1425" s="27">
        <f>IF(('Activity data'!AW19*EF!$H50*EF!$H68)*NtoN2O*kgtoGg=0,"NO",('Activity data'!AW19*EF!$H50*EF!$H68)*NtoN2O*kgtoGg)</f>
        <v>0.43743347438516689</v>
      </c>
      <c r="AE1425" s="27">
        <f>IF(('Activity data'!AX19*EF!$H50*EF!$H68)*NtoN2O*kgtoGg=0,"NO",('Activity data'!AX19*EF!$H50*EF!$H68)*NtoN2O*kgtoGg)</f>
        <v>0.44718290108725961</v>
      </c>
      <c r="AF1425" s="27">
        <f>IF(('Activity data'!AY19*EF!$H50*EF!$H68)*NtoN2O*kgtoGg=0,"NO",('Activity data'!AY19*EF!$H50*EF!$H68)*NtoN2O*kgtoGg)</f>
        <v>0.45765280094933275</v>
      </c>
      <c r="AG1425" s="27">
        <f>IF(('Activity data'!AZ19*EF!$H50*EF!$H68)*NtoN2O*kgtoGg=0,"NO",('Activity data'!AZ19*EF!$H50*EF!$H68)*NtoN2O*kgtoGg)</f>
        <v>0.46964954754544574</v>
      </c>
      <c r="AH1425" s="27">
        <f>IF(('Activity data'!BA19*EF!$H50*EF!$H68)*NtoN2O*kgtoGg=0,"NO",('Activity data'!BA19*EF!$H50*EF!$H68)*NtoN2O*kgtoGg)</f>
        <v>0.47956610826401264</v>
      </c>
      <c r="AI1425" s="27">
        <f>IF(('Activity data'!BB19*EF!$H50*EF!$H68)*NtoN2O*kgtoGg=0,"NO",('Activity data'!BB19*EF!$H50*EF!$H68)*NtoN2O*kgtoGg)</f>
        <v>0.48905427439468169</v>
      </c>
      <c r="AJ1425" s="27">
        <f>IF(('Activity data'!BC19*EF!$H50*EF!$H68)*NtoN2O*kgtoGg=0,"NO",('Activity data'!BC19*EF!$H50*EF!$H68)*NtoN2O*kgtoGg)</f>
        <v>0.49936104134598547</v>
      </c>
      <c r="AK1425" s="27">
        <f>IF(('Activity data'!BD19*EF!$H50*EF!$H68)*NtoN2O*kgtoGg=0,"NO",('Activity data'!BD19*EF!$H50*EF!$H68)*NtoN2O*kgtoGg)</f>
        <v>0.5094502425603159</v>
      </c>
      <c r="AL1425" s="27">
        <f>IF(('Activity data'!BE19*EF!$H50*EF!$H68)*NtoN2O*kgtoGg=0,"NO",('Activity data'!BE19*EF!$H50*EF!$H68)*NtoN2O*kgtoGg)</f>
        <v>0.52003660978561117</v>
      </c>
      <c r="AM1425" s="27">
        <f>IF(('Activity data'!BF19*EF!$H50*EF!$H68)*NtoN2O*kgtoGg=0,"NO",('Activity data'!BF19*EF!$H50*EF!$H68)*NtoN2O*kgtoGg)</f>
        <v>0.53075624094362661</v>
      </c>
      <c r="AN1425" s="27">
        <f>IF(('Activity data'!BG19*EF!$H50*EF!$H68)*NtoN2O*kgtoGg=0,"NO",('Activity data'!BG19*EF!$H50*EF!$H68)*NtoN2O*kgtoGg)</f>
        <v>0.54254535314858965</v>
      </c>
      <c r="AO1425" s="27">
        <f>IF(('Activity data'!BH19*EF!$H50*EF!$H68)*NtoN2O*kgtoGg=0,"NO",('Activity data'!BH19*EF!$H50*EF!$H68)*NtoN2O*kgtoGg)</f>
        <v>0.55401935597193963</v>
      </c>
      <c r="AP1425" s="27">
        <f>IF(('Activity data'!BI19*EF!$H50*EF!$H68)*NtoN2O*kgtoGg=0,"NO",('Activity data'!BI19*EF!$H50*EF!$H68)*NtoN2O*kgtoGg)</f>
        <v>0.56573487647354037</v>
      </c>
      <c r="AQ1425" s="27">
        <f>IF(('Activity data'!BJ19*EF!$H50*EF!$H68)*NtoN2O*kgtoGg=0,"NO",('Activity data'!BJ19*EF!$H50*EF!$H68)*NtoN2O*kgtoGg)</f>
        <v>0.57784177154062866</v>
      </c>
      <c r="AR1425" s="27">
        <f>IF(('Activity data'!BK19*EF!$H50*EF!$H68)*NtoN2O*kgtoGg=0,"NO",('Activity data'!BK19*EF!$H50*EF!$H68)*NtoN2O*kgtoGg)</f>
        <v>0.59040171392478091</v>
      </c>
      <c r="AS1425" s="27">
        <f>IF(('Activity data'!BL19*EF!$H50*EF!$H68)*NtoN2O*kgtoGg=0,"NO",('Activity data'!BL19*EF!$H50*EF!$H68)*NtoN2O*kgtoGg)</f>
        <v>0.60432458622346374</v>
      </c>
      <c r="AT1425" s="27">
        <f>IF(('Activity data'!BM19*EF!$H50*EF!$H68)*NtoN2O*kgtoGg=0,"NO",('Activity data'!BM19*EF!$H50*EF!$H68)*NtoN2O*kgtoGg)</f>
        <v>0.61453867581789445</v>
      </c>
      <c r="AU1425" s="27">
        <f>IF(('Activity data'!BN19*EF!$H50*EF!$H68)*NtoN2O*kgtoGg=0,"NO",('Activity data'!BN19*EF!$H50*EF!$H68)*NtoN2O*kgtoGg)</f>
        <v>0.62457515677108666</v>
      </c>
      <c r="AV1425" s="27">
        <f>IF(('Activity data'!BO19*EF!$H50*EF!$H68)*NtoN2O*kgtoGg=0,"NO",('Activity data'!BO19*EF!$H50*EF!$H68)*NtoN2O*kgtoGg)</f>
        <v>0.63484544126508857</v>
      </c>
      <c r="AW1425" s="27">
        <f>IF(('Activity data'!BP19*EF!$H50*EF!$H68)*NtoN2O*kgtoGg=0,"NO",('Activity data'!BP19*EF!$H50*EF!$H68)*NtoN2O*kgtoGg)</f>
        <v>0.64517661361237144</v>
      </c>
    </row>
    <row r="1426" spans="1:49" x14ac:dyDescent="0.2">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1.7017151675634961</v>
      </c>
      <c r="L1426" s="27">
        <f>IF(('Activity data'!AE20*EF!$H51*EF!$H69)*NtoN2O*kgtoGg=0,"NO",('Activity data'!AE20*EF!$H51*EF!$H69)*NtoN2O*kgtoGg)</f>
        <v>1.7241237147327644</v>
      </c>
      <c r="M1426" s="27">
        <f>IF(('Activity data'!AF20*EF!$H51*EF!$H69)*NtoN2O*kgtoGg=0,"NO",('Activity data'!AF20*EF!$H51*EF!$H69)*NtoN2O*kgtoGg)</f>
        <v>1.7601182693498112</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1.7315152516158574</v>
      </c>
      <c r="R1426" s="27">
        <f>IF(('Activity data'!AK20*EF!$H51*EF!$H69)*NtoN2O*kgtoGg=0,"NO",('Activity data'!AK20*EF!$H51*EF!$H69)*NtoN2O*kgtoGg)</f>
        <v>1.7240481490859678</v>
      </c>
      <c r="S1426" s="27">
        <f>IF(('Activity data'!AL20*EF!$H51*EF!$H69)*NtoN2O*kgtoGg=0,"NO",('Activity data'!AL20*EF!$H51*EF!$H69)*NtoN2O*kgtoGg)</f>
        <v>1.4738757031674365</v>
      </c>
      <c r="T1426" s="27">
        <f>IF(('Activity data'!AM20*EF!$H51*EF!$H69)*NtoN2O*kgtoGg=0,"NO",('Activity data'!AM20*EF!$H51*EF!$H69)*NtoN2O*kgtoGg)</f>
        <v>1.5388372787954712</v>
      </c>
      <c r="U1426" s="27">
        <f>IF(('Activity data'!AN20*EF!$H51*EF!$H69)*NtoN2O*kgtoGg=0,"NO",('Activity data'!AN20*EF!$H51*EF!$H69)*NtoN2O*kgtoGg)</f>
        <v>1.5836036619864218</v>
      </c>
      <c r="V1426" s="27">
        <f>IF(('Activity data'!AO20*EF!$H51*EF!$H69)*NtoN2O*kgtoGg=0,"NO",('Activity data'!AO20*EF!$H51*EF!$H69)*NtoN2O*kgtoGg)</f>
        <v>1.6233328828738469</v>
      </c>
      <c r="W1426" s="27">
        <f>IF(('Activity data'!AP20*EF!$H51*EF!$H69)*NtoN2O*kgtoGg=0,"NO",('Activity data'!AP20*EF!$H51*EF!$H69)*NtoN2O*kgtoGg)</f>
        <v>1.6722487915194271</v>
      </c>
      <c r="X1426" s="27">
        <f>IF(('Activity data'!AQ20*EF!$H51*EF!$H69)*NtoN2O*kgtoGg=0,"NO",('Activity data'!AQ20*EF!$H51*EF!$H69)*NtoN2O*kgtoGg)</f>
        <v>1.7166486312949987</v>
      </c>
      <c r="Y1426" s="27">
        <f>IF(('Activity data'!AR20*EF!$H51*EF!$H69)*NtoN2O*kgtoGg=0,"NO",('Activity data'!AR20*EF!$H51*EF!$H69)*NtoN2O*kgtoGg)</f>
        <v>1.7558377432347874</v>
      </c>
      <c r="Z1426" s="27">
        <f>IF(('Activity data'!AS20*EF!$H51*EF!$H69)*NtoN2O*kgtoGg=0,"NO",('Activity data'!AS20*EF!$H51*EF!$H69)*NtoN2O*kgtoGg)</f>
        <v>1.7922488857917309</v>
      </c>
      <c r="AA1426" s="27">
        <f>IF(('Activity data'!AT20*EF!$H51*EF!$H69)*NtoN2O*kgtoGg=0,"NO",('Activity data'!AT20*EF!$H51*EF!$H69)*NtoN2O*kgtoGg)</f>
        <v>1.8246587141077992</v>
      </c>
      <c r="AB1426" s="27">
        <f>IF(('Activity data'!AU20*EF!$H51*EF!$H69)*NtoN2O*kgtoGg=0,"NO",('Activity data'!AU20*EF!$H51*EF!$H69)*NtoN2O*kgtoGg)</f>
        <v>1.8721447091119181</v>
      </c>
      <c r="AC1426" s="27">
        <f>IF(('Activity data'!AV20*EF!$H51*EF!$H69)*NtoN2O*kgtoGg=0,"NO",('Activity data'!AV20*EF!$H51*EF!$H69)*NtoN2O*kgtoGg)</f>
        <v>1.9182061569635991</v>
      </c>
      <c r="AD1426" s="27">
        <f>IF(('Activity data'!AW20*EF!$H51*EF!$H69)*NtoN2O*kgtoGg=0,"NO",('Activity data'!AW20*EF!$H51*EF!$H69)*NtoN2O*kgtoGg)</f>
        <v>1.9720971341440943</v>
      </c>
      <c r="AE1426" s="27">
        <f>IF(('Activity data'!AX20*EF!$H51*EF!$H69)*NtoN2O*kgtoGg=0,"NO",('Activity data'!AX20*EF!$H51*EF!$H69)*NtoN2O*kgtoGg)</f>
        <v>2.0407669485031263</v>
      </c>
      <c r="AF1426" s="27">
        <f>IF(('Activity data'!AY20*EF!$H51*EF!$H69)*NtoN2O*kgtoGg=0,"NO",('Activity data'!AY20*EF!$H51*EF!$H69)*NtoN2O*kgtoGg)</f>
        <v>2.1165368943229095</v>
      </c>
      <c r="AG1426" s="27">
        <f>IF(('Activity data'!AZ20*EF!$H51*EF!$H69)*NtoN2O*kgtoGg=0,"NO",('Activity data'!AZ20*EF!$H51*EF!$H69)*NtoN2O*kgtoGg)</f>
        <v>2.2082604288024275</v>
      </c>
      <c r="AH1426" s="27">
        <f>IF(('Activity data'!BA20*EF!$H51*EF!$H69)*NtoN2O*kgtoGg=0,"NO",('Activity data'!BA20*EF!$H51*EF!$H69)*NtoN2O*kgtoGg)</f>
        <v>2.275680198252084</v>
      </c>
      <c r="AI1426" s="27">
        <f>IF(('Activity data'!BB20*EF!$H51*EF!$H69)*NtoN2O*kgtoGg=0,"NO",('Activity data'!BB20*EF!$H51*EF!$H69)*NtoN2O*kgtoGg)</f>
        <v>2.3413904736766207</v>
      </c>
      <c r="AJ1426" s="27">
        <f>IF(('Activity data'!BC20*EF!$H51*EF!$H69)*NtoN2O*kgtoGg=0,"NO",('Activity data'!BC20*EF!$H51*EF!$H69)*NtoN2O*kgtoGg)</f>
        <v>2.415218944506448</v>
      </c>
      <c r="AK1426" s="27">
        <f>IF(('Activity data'!BD20*EF!$H51*EF!$H69)*NtoN2O*kgtoGg=0,"NO",('Activity data'!BD20*EF!$H51*EF!$H69)*NtoN2O*kgtoGg)</f>
        <v>2.4857625444009255</v>
      </c>
      <c r="AL1426" s="27">
        <f>IF(('Activity data'!BE20*EF!$H51*EF!$H69)*NtoN2O*kgtoGg=0,"NO",('Activity data'!BE20*EF!$H51*EF!$H69)*NtoN2O*kgtoGg)</f>
        <v>2.5608054567251783</v>
      </c>
      <c r="AM1426" s="27">
        <f>IF(('Activity data'!BF20*EF!$H51*EF!$H69)*NtoN2O*kgtoGg=0,"NO",('Activity data'!BF20*EF!$H51*EF!$H69)*NtoN2O*kgtoGg)</f>
        <v>2.6363672729917886</v>
      </c>
      <c r="AN1426" s="27">
        <f>IF(('Activity data'!BG20*EF!$H51*EF!$H69)*NtoN2O*kgtoGg=0,"NO",('Activity data'!BG20*EF!$H51*EF!$H69)*NtoN2O*kgtoGg)</f>
        <v>2.7260471010137848</v>
      </c>
      <c r="AO1426" s="27">
        <f>IF(('Activity data'!BH20*EF!$H51*EF!$H69)*NtoN2O*kgtoGg=0,"NO",('Activity data'!BH20*EF!$H51*EF!$H69)*NtoN2O*kgtoGg)</f>
        <v>2.8113754255419443</v>
      </c>
      <c r="AP1426" s="27">
        <f>IF(('Activity data'!BI20*EF!$H51*EF!$H69)*NtoN2O*kgtoGg=0,"NO",('Activity data'!BI20*EF!$H51*EF!$H69)*NtoN2O*kgtoGg)</f>
        <v>2.8983044964731111</v>
      </c>
      <c r="AQ1426" s="27">
        <f>IF(('Activity data'!BJ20*EF!$H51*EF!$H69)*NtoN2O*kgtoGg=0,"NO",('Activity data'!BJ20*EF!$H51*EF!$H69)*NtoN2O*kgtoGg)</f>
        <v>2.9883855152257053</v>
      </c>
      <c r="AR1426" s="27">
        <f>IF(('Activity data'!BK20*EF!$H51*EF!$H69)*NtoN2O*kgtoGg=0,"NO",('Activity data'!BK20*EF!$H51*EF!$H69)*NtoN2O*kgtoGg)</f>
        <v>3.0822159477018669</v>
      </c>
      <c r="AS1426" s="27">
        <f>IF(('Activity data'!BL20*EF!$H51*EF!$H69)*NtoN2O*kgtoGg=0,"NO",('Activity data'!BL20*EF!$H51*EF!$H69)*NtoN2O*kgtoGg)</f>
        <v>3.1927841339465477</v>
      </c>
      <c r="AT1426" s="27">
        <f>IF(('Activity data'!BM20*EF!$H51*EF!$H69)*NtoN2O*kgtoGg=0,"NO",('Activity data'!BM20*EF!$H51*EF!$H69)*NtoN2O*kgtoGg)</f>
        <v>3.2639921874822613</v>
      </c>
      <c r="AU1426" s="27">
        <f>IF(('Activity data'!BN20*EF!$H51*EF!$H69)*NtoN2O*kgtoGg=0,"NO",('Activity data'!BN20*EF!$H51*EF!$H69)*NtoN2O*kgtoGg)</f>
        <v>3.3326892535191242</v>
      </c>
      <c r="AV1426" s="27">
        <f>IF(('Activity data'!BO20*EF!$H51*EF!$H69)*NtoN2O*kgtoGg=0,"NO",('Activity data'!BO20*EF!$H51*EF!$H69)*NtoN2O*kgtoGg)</f>
        <v>3.4031153641230509</v>
      </c>
      <c r="AW1426" s="27">
        <f>IF(('Activity data'!BP20*EF!$H51*EF!$H69)*NtoN2O*kgtoGg=0,"NO",('Activity data'!BP20*EF!$H51*EF!$H69)*NtoN2O*kgtoGg)</f>
        <v>3.4734928434212469</v>
      </c>
    </row>
    <row r="1427" spans="1:49" x14ac:dyDescent="0.2">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1.3660093635870424E-2</v>
      </c>
      <c r="L1427" s="27">
        <f>IF(('Activity data'!AE21*EF!$H52*EF!$H70)*NtoN2O*kgtoGg=0,"NO",('Activity data'!AE21*EF!$H52*EF!$H70)*NtoN2O*kgtoGg)</f>
        <v>1.3937830420255738E-2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1.4711795979713135E-2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1.5253123389732504E-2</v>
      </c>
      <c r="S1427" s="27">
        <f>IF(('Activity data'!AL21*EF!$H52*EF!$H70)*NtoN2O*kgtoGg=0,"NO",('Activity data'!AL21*EF!$H52*EF!$H70)*NtoN2O*kgtoGg)</f>
        <v>1.4642993018057613E-2</v>
      </c>
      <c r="T1427" s="27">
        <f>IF(('Activity data'!AM21*EF!$H52*EF!$H70)*NtoN2O*kgtoGg=0,"NO",('Activity data'!AM21*EF!$H52*EF!$H70)*NtoN2O*kgtoGg)</f>
        <v>1.5031368863560678E-2</v>
      </c>
      <c r="U1427" s="27">
        <f>IF(('Activity data'!AN21*EF!$H52*EF!$H70)*NtoN2O*kgtoGg=0,"NO",('Activity data'!AN21*EF!$H52*EF!$H70)*NtoN2O*kgtoGg)</f>
        <v>1.5355429874430639E-2</v>
      </c>
      <c r="V1427" s="27">
        <f>IF(('Activity data'!AO21*EF!$H52*EF!$H70)*NtoN2O*kgtoGg=0,"NO",('Activity data'!AO21*EF!$H52*EF!$H70)*NtoN2O*kgtoGg)</f>
        <v>1.5665318181989931E-2</v>
      </c>
      <c r="W1427" s="27">
        <f>IF(('Activity data'!AP21*EF!$H52*EF!$H70)*NtoN2O*kgtoGg=0,"NO",('Activity data'!AP21*EF!$H52*EF!$H70)*NtoN2O*kgtoGg)</f>
        <v>1.6009846282212959E-2</v>
      </c>
      <c r="X1427" s="27">
        <f>IF(('Activity data'!AQ21*EF!$H52*EF!$H70)*NtoN2O*kgtoGg=0,"NO",('Activity data'!AQ21*EF!$H52*EF!$H70)*NtoN2O*kgtoGg)</f>
        <v>1.6341971083732341E-2</v>
      </c>
      <c r="Y1427" s="27">
        <f>IF(('Activity data'!AR21*EF!$H52*EF!$H70)*NtoN2O*kgtoGg=0,"NO",('Activity data'!AR21*EF!$H52*EF!$H70)*NtoN2O*kgtoGg)</f>
        <v>1.6640178557340561E-2</v>
      </c>
      <c r="Z1427" s="27">
        <f>IF(('Activity data'!AS21*EF!$H52*EF!$H70)*NtoN2O*kgtoGg=0,"NO",('Activity data'!AS21*EF!$H52*EF!$H70)*NtoN2O*kgtoGg)</f>
        <v>1.693093443271531E-2</v>
      </c>
      <c r="AA1427" s="27">
        <f>IF(('Activity data'!AT21*EF!$H52*EF!$H70)*NtoN2O*kgtoGg=0,"NO",('Activity data'!AT21*EF!$H52*EF!$H70)*NtoN2O*kgtoGg)</f>
        <v>1.7209632642022729E-2</v>
      </c>
      <c r="AB1427" s="27">
        <f>IF(('Activity data'!AU21*EF!$H52*EF!$H70)*NtoN2O*kgtoGg=0,"NO",('Activity data'!AU21*EF!$H52*EF!$H70)*NtoN2O*kgtoGg)</f>
        <v>1.7544744873174416E-2</v>
      </c>
      <c r="AC1427" s="27">
        <f>IF(('Activity data'!AV21*EF!$H52*EF!$H70)*NtoN2O*kgtoGg=0,"NO",('Activity data'!AV21*EF!$H52*EF!$H70)*NtoN2O*kgtoGg)</f>
        <v>1.7877559568153477E-2</v>
      </c>
      <c r="AD1427" s="27">
        <f>IF(('Activity data'!AW21*EF!$H52*EF!$H70)*NtoN2O*kgtoGg=0,"NO",('Activity data'!AW21*EF!$H52*EF!$H70)*NtoN2O*kgtoGg)</f>
        <v>1.8226394766048638E-2</v>
      </c>
      <c r="AE1427" s="27">
        <f>IF(('Activity data'!AX21*EF!$H52*EF!$H70)*NtoN2O*kgtoGg=0,"NO",('Activity data'!AX21*EF!$H52*EF!$H70)*NtoN2O*kgtoGg)</f>
        <v>1.8632620878635837E-2</v>
      </c>
      <c r="AF1427" s="27">
        <f>IF(('Activity data'!AY21*EF!$H52*EF!$H70)*NtoN2O*kgtoGg=0,"NO",('Activity data'!AY21*EF!$H52*EF!$H70)*NtoN2O*kgtoGg)</f>
        <v>1.906886670622222E-2</v>
      </c>
      <c r="AG1427" s="27">
        <f>IF(('Activity data'!AZ21*EF!$H52*EF!$H70)*NtoN2O*kgtoGg=0,"NO",('Activity data'!AZ21*EF!$H52*EF!$H70)*NtoN2O*kgtoGg)</f>
        <v>1.9568731147726923E-2</v>
      </c>
      <c r="AH1427" s="27">
        <f>IF(('Activity data'!BA21*EF!$H52*EF!$H70)*NtoN2O*kgtoGg=0,"NO",('Activity data'!BA21*EF!$H52*EF!$H70)*NtoN2O*kgtoGg)</f>
        <v>1.9981921177667211E-2</v>
      </c>
      <c r="AI1427" s="27">
        <f>IF(('Activity data'!BB21*EF!$H52*EF!$H70)*NtoN2O*kgtoGg=0,"NO",('Activity data'!BB21*EF!$H52*EF!$H70)*NtoN2O*kgtoGg)</f>
        <v>2.0377261433111755E-2</v>
      </c>
      <c r="AJ1427" s="27">
        <f>IF(('Activity data'!BC21*EF!$H52*EF!$H70)*NtoN2O*kgtoGg=0,"NO",('Activity data'!BC21*EF!$H52*EF!$H70)*NtoN2O*kgtoGg)</f>
        <v>2.0806710056082745E-2</v>
      </c>
      <c r="AK1427" s="27">
        <f>IF(('Activity data'!BD21*EF!$H52*EF!$H70)*NtoN2O*kgtoGg=0,"NO",('Activity data'!BD21*EF!$H52*EF!$H70)*NtoN2O*kgtoGg)</f>
        <v>2.1227093440013181E-2</v>
      </c>
      <c r="AL1427" s="27">
        <f>IF(('Activity data'!BE21*EF!$H52*EF!$H70)*NtoN2O*kgtoGg=0,"NO",('Activity data'!BE21*EF!$H52*EF!$H70)*NtoN2O*kgtoGg)</f>
        <v>2.1668192074400485E-2</v>
      </c>
      <c r="AM1427" s="27">
        <f>IF(('Activity data'!BF21*EF!$H52*EF!$H70)*NtoN2O*kgtoGg=0,"NO",('Activity data'!BF21*EF!$H52*EF!$H70)*NtoN2O*kgtoGg)</f>
        <v>2.2114843372651131E-2</v>
      </c>
      <c r="AN1427" s="27">
        <f>IF(('Activity data'!BG21*EF!$H52*EF!$H70)*NtoN2O*kgtoGg=0,"NO",('Activity data'!BG21*EF!$H52*EF!$H70)*NtoN2O*kgtoGg)</f>
        <v>2.2606056381191265E-2</v>
      </c>
      <c r="AO1427" s="27">
        <f>IF(('Activity data'!BH21*EF!$H52*EF!$H70)*NtoN2O*kgtoGg=0,"NO",('Activity data'!BH21*EF!$H52*EF!$H70)*NtoN2O*kgtoGg)</f>
        <v>2.3084139832164171E-2</v>
      </c>
      <c r="AP1427" s="27">
        <f>IF(('Activity data'!BI21*EF!$H52*EF!$H70)*NtoN2O*kgtoGg=0,"NO",('Activity data'!BI21*EF!$H52*EF!$H70)*NtoN2O*kgtoGg)</f>
        <v>2.3572286519730874E-2</v>
      </c>
      <c r="AQ1427" s="27">
        <f>IF(('Activity data'!BJ21*EF!$H52*EF!$H70)*NtoN2O*kgtoGg=0,"NO",('Activity data'!BJ21*EF!$H52*EF!$H70)*NtoN2O*kgtoGg)</f>
        <v>2.4076740480859553E-2</v>
      </c>
      <c r="AR1427" s="27">
        <f>IF(('Activity data'!BK21*EF!$H52*EF!$H70)*NtoN2O*kgtoGg=0,"NO",('Activity data'!BK21*EF!$H52*EF!$H70)*NtoN2O*kgtoGg)</f>
        <v>2.4600071413532563E-2</v>
      </c>
      <c r="AS1427" s="27">
        <f>IF(('Activity data'!BL21*EF!$H52*EF!$H70)*NtoN2O*kgtoGg=0,"NO",('Activity data'!BL21*EF!$H52*EF!$H70)*NtoN2O*kgtoGg)</f>
        <v>2.5180191092644345E-2</v>
      </c>
      <c r="AT1427" s="27">
        <f>IF(('Activity data'!BM21*EF!$H52*EF!$H70)*NtoN2O*kgtoGg=0,"NO",('Activity data'!BM21*EF!$H52*EF!$H70)*NtoN2O*kgtoGg)</f>
        <v>2.5605778159078961E-2</v>
      </c>
      <c r="AU1427" s="27">
        <f>IF(('Activity data'!BN21*EF!$H52*EF!$H70)*NtoN2O*kgtoGg=0,"NO",('Activity data'!BN21*EF!$H52*EF!$H70)*NtoN2O*kgtoGg)</f>
        <v>2.6023964865461973E-2</v>
      </c>
      <c r="AV1427" s="27">
        <f>IF(('Activity data'!BO21*EF!$H52*EF!$H70)*NtoN2O*kgtoGg=0,"NO",('Activity data'!BO21*EF!$H52*EF!$H70)*NtoN2O*kgtoGg)</f>
        <v>2.6451893386045391E-2</v>
      </c>
      <c r="AW1427" s="27">
        <f>IF(('Activity data'!BP21*EF!$H52*EF!$H70)*NtoN2O*kgtoGg=0,"NO",('Activity data'!BP21*EF!$H52*EF!$H70)*NtoN2O*kgtoGg)</f>
        <v>2.6882358900515501E-2</v>
      </c>
    </row>
    <row r="1428" spans="1:49" x14ac:dyDescent="0.2">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7.0904798648479067E-2</v>
      </c>
      <c r="L1428" s="27">
        <f>IF(('Activity data'!AE22*EF!$H53*EF!$H71)*NtoN2O*kgtoGg=0,"NO",('Activity data'!AE22*EF!$H53*EF!$H71)*NtoN2O*kgtoGg)</f>
        <v>7.1838488113865256E-2</v>
      </c>
      <c r="M1428" s="27">
        <f>IF(('Activity data'!AF22*EF!$H53*EF!$H71)*NtoN2O*kgtoGg=0,"NO",('Activity data'!AF22*EF!$H53*EF!$H71)*NtoN2O*kgtoGg)</f>
        <v>7.333826122290886E-2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7.2146468817327461E-2</v>
      </c>
      <c r="R1428" s="27">
        <f>IF(('Activity data'!AK22*EF!$H53*EF!$H71)*NtoN2O*kgtoGg=0,"NO",('Activity data'!AK22*EF!$H53*EF!$H71)*NtoN2O*kgtoGg)</f>
        <v>7.1835339545248733E-2</v>
      </c>
      <c r="S1428" s="27">
        <f>IF(('Activity data'!AL22*EF!$H53*EF!$H71)*NtoN2O*kgtoGg=0,"NO",('Activity data'!AL22*EF!$H53*EF!$H71)*NtoN2O*kgtoGg)</f>
        <v>6.1411487631976583E-2</v>
      </c>
      <c r="T1428" s="27">
        <f>IF(('Activity data'!AM22*EF!$H53*EF!$H71)*NtoN2O*kgtoGg=0,"NO",('Activity data'!AM22*EF!$H53*EF!$H71)*NtoN2O*kgtoGg)</f>
        <v>6.4118219949811373E-2</v>
      </c>
      <c r="U1428" s="27">
        <f>IF(('Activity data'!AN22*EF!$H53*EF!$H71)*NtoN2O*kgtoGg=0,"NO",('Activity data'!AN22*EF!$H53*EF!$H71)*NtoN2O*kgtoGg)</f>
        <v>6.5983485916100967E-2</v>
      </c>
      <c r="V1428" s="27">
        <f>IF(('Activity data'!AO22*EF!$H53*EF!$H71)*NtoN2O*kgtoGg=0,"NO",('Activity data'!AO22*EF!$H53*EF!$H71)*NtoN2O*kgtoGg)</f>
        <v>6.7638870119743691E-2</v>
      </c>
      <c r="W1428" s="27">
        <f>IF(('Activity data'!AP22*EF!$H53*EF!$H71)*NtoN2O*kgtoGg=0,"NO",('Activity data'!AP22*EF!$H53*EF!$H71)*NtoN2O*kgtoGg)</f>
        <v>6.9677032979976197E-2</v>
      </c>
      <c r="X1428" s="27">
        <f>IF(('Activity data'!AQ22*EF!$H53*EF!$H71)*NtoN2O*kgtoGg=0,"NO",('Activity data'!AQ22*EF!$H53*EF!$H71)*NtoN2O*kgtoGg)</f>
        <v>7.1527026303958338E-2</v>
      </c>
      <c r="Y1428" s="27">
        <f>IF(('Activity data'!AR22*EF!$H53*EF!$H71)*NtoN2O*kgtoGg=0,"NO",('Activity data'!AR22*EF!$H53*EF!$H71)*NtoN2O*kgtoGg)</f>
        <v>7.3159905968116196E-2</v>
      </c>
      <c r="Z1428" s="27">
        <f>IF(('Activity data'!AS22*EF!$H53*EF!$H71)*NtoN2O*kgtoGg=0,"NO",('Activity data'!AS22*EF!$H53*EF!$H71)*NtoN2O*kgtoGg)</f>
        <v>7.4677036907988839E-2</v>
      </c>
      <c r="AA1428" s="27">
        <f>IF(('Activity data'!AT22*EF!$H53*EF!$H71)*NtoN2O*kgtoGg=0,"NO",('Activity data'!AT22*EF!$H53*EF!$H71)*NtoN2O*kgtoGg)</f>
        <v>7.6027446421158371E-2</v>
      </c>
      <c r="AB1428" s="27">
        <f>IF(('Activity data'!AU22*EF!$H53*EF!$H71)*NtoN2O*kgtoGg=0,"NO",('Activity data'!AU22*EF!$H53*EF!$H71)*NtoN2O*kgtoGg)</f>
        <v>7.8006029546329986E-2</v>
      </c>
      <c r="AC1428" s="27">
        <f>IF(('Activity data'!AV22*EF!$H53*EF!$H71)*NtoN2O*kgtoGg=0,"NO",('Activity data'!AV22*EF!$H53*EF!$H71)*NtoN2O*kgtoGg)</f>
        <v>7.9925256540150022E-2</v>
      </c>
      <c r="AD1428" s="27">
        <f>IF(('Activity data'!AW22*EF!$H53*EF!$H71)*NtoN2O*kgtoGg=0,"NO",('Activity data'!AW22*EF!$H53*EF!$H71)*NtoN2O*kgtoGg)</f>
        <v>8.2170713922670655E-2</v>
      </c>
      <c r="AE1428" s="27">
        <f>IF(('Activity data'!AX22*EF!$H53*EF!$H71)*NtoN2O*kgtoGg=0,"NO",('Activity data'!AX22*EF!$H53*EF!$H71)*NtoN2O*kgtoGg)</f>
        <v>8.5031956187630361E-2</v>
      </c>
      <c r="AF1428" s="27">
        <f>IF(('Activity data'!AY22*EF!$H53*EF!$H71)*NtoN2O*kgtoGg=0,"NO",('Activity data'!AY22*EF!$H53*EF!$H71)*NtoN2O*kgtoGg)</f>
        <v>8.8189037263454617E-2</v>
      </c>
      <c r="AG1428" s="27">
        <f>IF(('Activity data'!AZ22*EF!$H53*EF!$H71)*NtoN2O*kgtoGg=0,"NO",('Activity data'!AZ22*EF!$H53*EF!$H71)*NtoN2O*kgtoGg)</f>
        <v>9.2010851200101232E-2</v>
      </c>
      <c r="AH1428" s="27">
        <f>IF(('Activity data'!BA22*EF!$H53*EF!$H71)*NtoN2O*kgtoGg=0,"NO",('Activity data'!BA22*EF!$H53*EF!$H71)*NtoN2O*kgtoGg)</f>
        <v>9.4820008260503588E-2</v>
      </c>
      <c r="AI1428" s="27">
        <f>IF(('Activity data'!BB22*EF!$H53*EF!$H71)*NtoN2O*kgtoGg=0,"NO",('Activity data'!BB22*EF!$H53*EF!$H71)*NtoN2O*kgtoGg)</f>
        <v>9.755793640319263E-2</v>
      </c>
      <c r="AJ1428" s="27">
        <f>IF(('Activity data'!BC22*EF!$H53*EF!$H71)*NtoN2O*kgtoGg=0,"NO",('Activity data'!BC22*EF!$H53*EF!$H71)*NtoN2O*kgtoGg)</f>
        <v>0.10063412268776877</v>
      </c>
      <c r="AK1428" s="27">
        <f>IF(('Activity data'!BD22*EF!$H53*EF!$H71)*NtoN2O*kgtoGg=0,"NO",('Activity data'!BD22*EF!$H53*EF!$H71)*NtoN2O*kgtoGg)</f>
        <v>0.10357343935003867</v>
      </c>
      <c r="AL1428" s="27">
        <f>IF(('Activity data'!BE22*EF!$H53*EF!$H71)*NtoN2O*kgtoGg=0,"NO",('Activity data'!BE22*EF!$H53*EF!$H71)*NtoN2O*kgtoGg)</f>
        <v>0.10670022736354919</v>
      </c>
      <c r="AM1428" s="27">
        <f>IF(('Activity data'!BF22*EF!$H53*EF!$H71)*NtoN2O*kgtoGg=0,"NO",('Activity data'!BF22*EF!$H53*EF!$H71)*NtoN2O*kgtoGg)</f>
        <v>0.10984863637465794</v>
      </c>
      <c r="AN1428" s="27">
        <f>IF(('Activity data'!BG22*EF!$H53*EF!$H71)*NtoN2O*kgtoGg=0,"NO",('Activity data'!BG22*EF!$H53*EF!$H71)*NtoN2O*kgtoGg)</f>
        <v>0.11358529587557446</v>
      </c>
      <c r="AO1428" s="27">
        <f>IF(('Activity data'!BH22*EF!$H53*EF!$H71)*NtoN2O*kgtoGg=0,"NO",('Activity data'!BH22*EF!$H53*EF!$H71)*NtoN2O*kgtoGg)</f>
        <v>0.11714064273091444</v>
      </c>
      <c r="AP1428" s="27">
        <f>IF(('Activity data'!BI22*EF!$H53*EF!$H71)*NtoN2O*kgtoGg=0,"NO",('Activity data'!BI22*EF!$H53*EF!$H71)*NtoN2O*kgtoGg)</f>
        <v>0.12076268735304639</v>
      </c>
      <c r="AQ1428" s="27">
        <f>IF(('Activity data'!BJ22*EF!$H53*EF!$H71)*NtoN2O*kgtoGg=0,"NO",('Activity data'!BJ22*EF!$H53*EF!$H71)*NtoN2O*kgtoGg)</f>
        <v>0.12451606313440448</v>
      </c>
      <c r="AR1428" s="27">
        <f>IF(('Activity data'!BK22*EF!$H53*EF!$H71)*NtoN2O*kgtoGg=0,"NO",('Activity data'!BK22*EF!$H53*EF!$H71)*NtoN2O*kgtoGg)</f>
        <v>0.12842566448757792</v>
      </c>
      <c r="AS1428" s="27">
        <f>IF(('Activity data'!BL22*EF!$H53*EF!$H71)*NtoN2O*kgtoGg=0,"NO",('Activity data'!BL22*EF!$H53*EF!$H71)*NtoN2O*kgtoGg)</f>
        <v>0.1330326722477729</v>
      </c>
      <c r="AT1428" s="27">
        <f>IF(('Activity data'!BM22*EF!$H53*EF!$H71)*NtoN2O*kgtoGg=0,"NO",('Activity data'!BM22*EF!$H53*EF!$H71)*NtoN2O*kgtoGg)</f>
        <v>0.1359996744784277</v>
      </c>
      <c r="AU1428" s="27">
        <f>IF(('Activity data'!BN22*EF!$H53*EF!$H71)*NtoN2O*kgtoGg=0,"NO",('Activity data'!BN22*EF!$H53*EF!$H71)*NtoN2O*kgtoGg)</f>
        <v>0.13886205222996365</v>
      </c>
      <c r="AV1428" s="27">
        <f>IF(('Activity data'!BO22*EF!$H53*EF!$H71)*NtoN2O*kgtoGg=0,"NO",('Activity data'!BO22*EF!$H53*EF!$H71)*NtoN2O*kgtoGg)</f>
        <v>0.14179647350512722</v>
      </c>
      <c r="AW1428" s="27">
        <f>IF(('Activity data'!BP22*EF!$H53*EF!$H71)*NtoN2O*kgtoGg=0,"NO",('Activity data'!BP22*EF!$H53*EF!$H71)*NtoN2O*kgtoGg)</f>
        <v>0.14472886847588542</v>
      </c>
    </row>
    <row r="1429" spans="1:49" x14ac:dyDescent="0.2">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2">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2">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2">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2">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2">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2">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2">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2">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2">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2">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2">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2">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2">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2">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2">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2">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2">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2">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2">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2">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2">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2">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2">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2">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2">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2">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2">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2">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2">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2">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2">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2">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892.99961042800624</v>
      </c>
      <c r="U1461" s="22">
        <f>'Activity data'!AN45*EF!$H$149*CtoCO2*ttoGg</f>
        <v>897.66502434733229</v>
      </c>
      <c r="V1461" s="22">
        <f>'Activity data'!AO45*EF!$H$149*CtoCO2*ttoGg</f>
        <v>901.31677957229135</v>
      </c>
      <c r="W1461" s="22">
        <f>'Activity data'!AP45*EF!$H$149*CtoCO2*ttoGg</f>
        <v>904.69718143729835</v>
      </c>
      <c r="X1461" s="22">
        <f>'Activity data'!AQ45*EF!$H$149*CtoCO2*ttoGg</f>
        <v>908.47574920758507</v>
      </c>
      <c r="Y1461" s="22">
        <f>'Activity data'!AR45*EF!$H$149*CtoCO2*ttoGg</f>
        <v>912.00886230682897</v>
      </c>
      <c r="Z1461" s="22">
        <f>'Activity data'!AS45*EF!$H$149*CtoCO2*ttoGg</f>
        <v>915.15522281701794</v>
      </c>
      <c r="AA1461" s="22">
        <f>'Activity data'!AT45*EF!$H$149*CtoCO2*ttoGg</f>
        <v>918.14911339193043</v>
      </c>
      <c r="AB1461" s="22">
        <f>'Activity data'!AU45*EF!$H$149*CtoCO2*ttoGg</f>
        <v>920.93862378014114</v>
      </c>
      <c r="AC1461" s="22">
        <f>'Activity data'!AV45*EF!$H$149*CtoCO2*ttoGg</f>
        <v>924.38117404713842</v>
      </c>
      <c r="AD1461" s="22">
        <f>'Activity data'!AW45*EF!$H$149*CtoCO2*ttoGg</f>
        <v>927.72886456057699</v>
      </c>
      <c r="AE1461" s="22">
        <f>'Activity data'!AX45*EF!$H$149*CtoCO2*ttoGg</f>
        <v>931.30044289181558</v>
      </c>
      <c r="AF1461" s="22">
        <f>'Activity data'!AY45*EF!$H$149*CtoCO2*ttoGg</f>
        <v>935.47463981104102</v>
      </c>
      <c r="AG1461" s="22">
        <f>'Activity data'!AZ45*EF!$H$149*CtoCO2*ttoGg</f>
        <v>939.89945345474598</v>
      </c>
      <c r="AH1461" s="22">
        <f>'Activity data'!BA45*EF!$H$149*CtoCO2*ttoGg</f>
        <v>944.93069992096457</v>
      </c>
      <c r="AI1461" s="22">
        <f>'Activity data'!BB45*EF!$H$149*CtoCO2*ttoGg</f>
        <v>948.88651159106837</v>
      </c>
      <c r="AJ1461" s="22">
        <f>'Activity data'!BC45*EF!$H$149*CtoCO2*ttoGg</f>
        <v>952.65045566979234</v>
      </c>
      <c r="AK1461" s="22">
        <f>'Activity data'!BD45*EF!$H$149*CtoCO2*ttoGg</f>
        <v>956.69732285696261</v>
      </c>
      <c r="AL1461" s="22">
        <f>'Activity data'!BE45*EF!$H$149*CtoCO2*ttoGg</f>
        <v>960.56505395961551</v>
      </c>
      <c r="AM1461" s="22">
        <f>'Activity data'!BF45*EF!$H$149*CtoCO2*ttoGg</f>
        <v>964.56260681029062</v>
      </c>
      <c r="AN1461" s="22">
        <f>'Activity data'!BG45*EF!$H$149*CtoCO2*ttoGg</f>
        <v>968.53102991020114</v>
      </c>
      <c r="AO1461" s="22">
        <f>'Activity data'!BH45*EF!$H$149*CtoCO2*ttoGg</f>
        <v>972.91815093223238</v>
      </c>
      <c r="AP1461" s="22">
        <f>'Activity data'!BI45*EF!$H$149*CtoCO2*ttoGg</f>
        <v>977.08221160435949</v>
      </c>
      <c r="AQ1461" s="22">
        <f>'Activity data'!BJ45*EF!$H$149*CtoCO2*ttoGg</f>
        <v>981.24968371542741</v>
      </c>
      <c r="AR1461" s="22">
        <f>'Activity data'!BK45*EF!$H$149*CtoCO2*ttoGg</f>
        <v>985.47496417545995</v>
      </c>
      <c r="AS1461" s="22">
        <f>'Activity data'!BL45*EF!$H$149*CtoCO2*ttoGg</f>
        <v>989.77519860882489</v>
      </c>
      <c r="AT1461" s="22">
        <f>'Activity data'!BM45*EF!$H$149*CtoCO2*ttoGg</f>
        <v>994.53641231240658</v>
      </c>
      <c r="AU1461" s="22">
        <f>'Activity data'!BN45*EF!$H$149*CtoCO2*ttoGg</f>
        <v>997.87560728554854</v>
      </c>
      <c r="AV1461" s="22">
        <f>'Activity data'!BO45*EF!$H$149*CtoCO2*ttoGg</f>
        <v>1001.0952288876074</v>
      </c>
      <c r="AW1461" s="22">
        <f>'Activity data'!BP45*EF!$H$149*CtoCO2*ttoGg</f>
        <v>1004.3409499737036</v>
      </c>
    </row>
    <row r="1462" spans="1:49" x14ac:dyDescent="0.2">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469.9309125855201</v>
      </c>
      <c r="U1462" s="22">
        <f>'Activity data'!AN46*EF!$H$150*CtoCO2*ttoGg</f>
        <v>469.81336359291407</v>
      </c>
      <c r="V1462" s="22">
        <f>'Activity data'!AO46*EF!$H$150*CtoCO2*ttoGg</f>
        <v>469.7213545760593</v>
      </c>
      <c r="W1462" s="22">
        <f>'Activity data'!AP46*EF!$H$150*CtoCO2*ttoGg</f>
        <v>469.63618253329815</v>
      </c>
      <c r="X1462" s="22">
        <f>'Activity data'!AQ46*EF!$H$150*CtoCO2*ttoGg</f>
        <v>469.54097836865776</v>
      </c>
      <c r="Y1462" s="22">
        <f>'Activity data'!AR46*EF!$H$150*CtoCO2*ttoGg</f>
        <v>469.45195863905593</v>
      </c>
      <c r="Z1462" s="22">
        <f>'Activity data'!AS46*EF!$H$150*CtoCO2*ttoGg</f>
        <v>469.37268346331723</v>
      </c>
      <c r="AA1462" s="22">
        <f>'Activity data'!AT46*EF!$H$150*CtoCO2*ttoGg</f>
        <v>469.29724989469105</v>
      </c>
      <c r="AB1462" s="22">
        <f>'Activity data'!AU46*EF!$H$150*CtoCO2*ttoGg</f>
        <v>469.22696585523204</v>
      </c>
      <c r="AC1462" s="22">
        <f>'Activity data'!AV46*EF!$H$150*CtoCO2*ttoGg</f>
        <v>469.14022793167828</v>
      </c>
      <c r="AD1462" s="22">
        <f>'Activity data'!AW46*EF!$H$150*CtoCO2*ttoGg</f>
        <v>469.05588007868687</v>
      </c>
      <c r="AE1462" s="22">
        <f>'Activity data'!AX46*EF!$H$150*CtoCO2*ttoGg</f>
        <v>468.96589118550173</v>
      </c>
      <c r="AF1462" s="22">
        <f>'Activity data'!AY46*EF!$H$150*CtoCO2*ttoGg</f>
        <v>468.86071881467279</v>
      </c>
      <c r="AG1462" s="22">
        <f>'Activity data'!AZ46*EF!$H$150*CtoCO2*ttoGg</f>
        <v>468.74923194656606</v>
      </c>
      <c r="AH1462" s="22">
        <f>'Activity data'!BA46*EF!$H$150*CtoCO2*ttoGg</f>
        <v>468.62246549799733</v>
      </c>
      <c r="AI1462" s="22">
        <f>'Activity data'!BB46*EF!$H$150*CtoCO2*ttoGg</f>
        <v>468.5227955255574</v>
      </c>
      <c r="AJ1462" s="22">
        <f>'Activity data'!BC46*EF!$H$150*CtoCO2*ttoGg</f>
        <v>468.42795981701568</v>
      </c>
      <c r="AK1462" s="22">
        <f>'Activity data'!BD46*EF!$H$150*CtoCO2*ttoGg</f>
        <v>468.325995624923</v>
      </c>
      <c r="AL1462" s="22">
        <f>'Activity data'!BE46*EF!$H$150*CtoCO2*ttoGg</f>
        <v>468.22854491580057</v>
      </c>
      <c r="AM1462" s="22">
        <f>'Activity data'!BF46*EF!$H$150*CtoCO2*ttoGg</f>
        <v>468.12782323952234</v>
      </c>
      <c r="AN1462" s="22">
        <f>'Activity data'!BG46*EF!$H$150*CtoCO2*ttoGg</f>
        <v>468.02783551159615</v>
      </c>
      <c r="AO1462" s="22">
        <f>'Activity data'!BH46*EF!$H$150*CtoCO2*ttoGg</f>
        <v>467.91729834051165</v>
      </c>
      <c r="AP1462" s="22">
        <f>'Activity data'!BI46*EF!$H$150*CtoCO2*ttoGg</f>
        <v>467.81238136087751</v>
      </c>
      <c r="AQ1462" s="22">
        <f>'Activity data'!BJ46*EF!$H$150*CtoCO2*ttoGg</f>
        <v>467.70737842719552</v>
      </c>
      <c r="AR1462" s="22">
        <f>'Activity data'!BK46*EF!$H$150*CtoCO2*ttoGg</f>
        <v>467.60091896397466</v>
      </c>
      <c r="AS1462" s="22">
        <f>'Activity data'!BL46*EF!$H$150*CtoCO2*ttoGg</f>
        <v>467.49257097291689</v>
      </c>
      <c r="AT1462" s="22">
        <f>'Activity data'!BM46*EF!$H$150*CtoCO2*ttoGg</f>
        <v>467.37260822489156</v>
      </c>
      <c r="AU1462" s="22">
        <f>'Activity data'!BN46*EF!$H$150*CtoCO2*ttoGg</f>
        <v>467.28847442411939</v>
      </c>
      <c r="AV1462" s="22">
        <f>'Activity data'!BO46*EF!$H$150*CtoCO2*ttoGg</f>
        <v>467.20735337410349</v>
      </c>
      <c r="AW1462" s="22">
        <f>'Activity data'!BP46*EF!$H$150*CtoCO2*ttoGg</f>
        <v>467.12557472583177</v>
      </c>
    </row>
    <row r="1463" spans="1:49" x14ac:dyDescent="0.2">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6.60388696259374</v>
      </c>
      <c r="U1463" s="22">
        <f>'Activity data'!AN47*ttokg*SNEF*NtoN2O*kgtoGg</f>
        <v>6.6020342469478921</v>
      </c>
      <c r="V1463" s="22">
        <f>'Activity data'!AO47*ttokg*SNEF*NtoN2O*kgtoGg</f>
        <v>6.6005840725031204</v>
      </c>
      <c r="W1463" s="22">
        <f>'Activity data'!AP47*ttokg*SNEF*NtoN2O*kgtoGg</f>
        <v>6.5992416571177221</v>
      </c>
      <c r="X1463" s="22">
        <f>'Activity data'!AQ47*ttokg*SNEF*NtoN2O*kgtoGg</f>
        <v>6.5977411232427086</v>
      </c>
      <c r="Y1463" s="22">
        <f>'Activity data'!AR47*ttokg*SNEF*NtoN2O*kgtoGg</f>
        <v>6.5963380636148372</v>
      </c>
      <c r="Z1463" s="22">
        <f>'Activity data'!AS47*ttokg*SNEF*NtoN2O*kgtoGg</f>
        <v>6.5950885900535399</v>
      </c>
      <c r="AA1463" s="22">
        <f>'Activity data'!AT47*ttokg*SNEF*NtoN2O*kgtoGg</f>
        <v>6.593899664910774</v>
      </c>
      <c r="AB1463" s="22">
        <f>'Activity data'!AU47*ttokg*SNEF*NtoN2O*kgtoGg</f>
        <v>6.5927919026350441</v>
      </c>
      <c r="AC1463" s="22">
        <f>'Activity data'!AV47*ttokg*SNEF*NtoN2O*kgtoGg</f>
        <v>6.5914248070564794</v>
      </c>
      <c r="AD1463" s="22">
        <f>'Activity data'!AW47*ttokg*SNEF*NtoN2O*kgtoGg</f>
        <v>6.5900953819081538</v>
      </c>
      <c r="AE1463" s="22">
        <f>'Activity data'!AX47*ttokg*SNEF*NtoN2O*kgtoGg</f>
        <v>6.5886770470789005</v>
      </c>
      <c r="AF1463" s="22">
        <f>'Activity data'!AY47*ttokg*SNEF*NtoN2O*kgtoGg</f>
        <v>6.5870194021035937</v>
      </c>
      <c r="AG1463" s="22">
        <f>'Activity data'!AZ47*ttokg*SNEF*NtoN2O*kgtoGg</f>
        <v>6.5852622329414547</v>
      </c>
      <c r="AH1463" s="22">
        <f>'Activity data'!BA47*ttokg*SNEF*NtoN2O*kgtoGg</f>
        <v>6.5832642389355076</v>
      </c>
      <c r="AI1463" s="22">
        <f>'Activity data'!BB47*ttokg*SNEF*NtoN2O*kgtoGg</f>
        <v>6.5816933184770097</v>
      </c>
      <c r="AJ1463" s="22">
        <f>'Activity data'!BC47*ttokg*SNEF*NtoN2O*kgtoGg</f>
        <v>6.5801985919199808</v>
      </c>
      <c r="AK1463" s="22">
        <f>'Activity data'!BD47*ttokg*SNEF*NtoN2O*kgtoGg</f>
        <v>6.5785915117586082</v>
      </c>
      <c r="AL1463" s="22">
        <f>'Activity data'!BE47*ttokg*SNEF*NtoN2O*kgtoGg</f>
        <v>6.5770555695996213</v>
      </c>
      <c r="AM1463" s="22">
        <f>'Activity data'!BF47*ttokg*SNEF*NtoN2O*kgtoGg</f>
        <v>6.5754680730045454</v>
      </c>
      <c r="AN1463" s="22">
        <f>'Activity data'!BG47*ttokg*SNEF*NtoN2O*kgtoGg</f>
        <v>6.5738921443316158</v>
      </c>
      <c r="AO1463" s="22">
        <f>'Activity data'!BH47*ttokg*SNEF*NtoN2O*kgtoGg</f>
        <v>6.5721499435540869</v>
      </c>
      <c r="AP1463" s="22">
        <f>'Activity data'!BI47*ttokg*SNEF*NtoN2O*kgtoGg</f>
        <v>6.5704963238558332</v>
      </c>
      <c r="AQ1463" s="22">
        <f>'Activity data'!BJ47*ttokg*SNEF*NtoN2O*kgtoGg</f>
        <v>6.5688413494168394</v>
      </c>
      <c r="AR1463" s="22">
        <f>'Activity data'!BK47*ttokg*SNEF*NtoN2O*kgtoGg</f>
        <v>6.5671634182939496</v>
      </c>
      <c r="AS1463" s="22">
        <f>'Activity data'!BL47*ttokg*SNEF*NtoN2O*kgtoGg</f>
        <v>6.5654557216665381</v>
      </c>
      <c r="AT1463" s="22">
        <f>'Activity data'!BM47*ttokg*SNEF*NtoN2O*kgtoGg</f>
        <v>6.5635649622881891</v>
      </c>
      <c r="AU1463" s="22">
        <f>'Activity data'!BN47*ttokg*SNEF*NtoN2O*kgtoGg</f>
        <v>6.5622389108641883</v>
      </c>
      <c r="AV1463" s="22">
        <f>'Activity data'!BO47*ttokg*SNEF*NtoN2O*kgtoGg</f>
        <v>6.560960344070546</v>
      </c>
      <c r="AW1463" s="22">
        <f>'Activity data'!BP47*ttokg*SNEF*NtoN2O*kgtoGg</f>
        <v>6.5596714127254918</v>
      </c>
    </row>
    <row r="1464" spans="1:49" x14ac:dyDescent="0.2">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4.358565395311869E-2</v>
      </c>
      <c r="U1464" s="22">
        <f>'Activity data'!AN48*ttokg*ONEF*NtoN2O*kgtoGg</f>
        <v>4.3573426029856095E-2</v>
      </c>
      <c r="V1464" s="22">
        <f>'Activity data'!AO48*ttokg*ONEF*NtoN2O*kgtoGg</f>
        <v>4.3563854878520596E-2</v>
      </c>
      <c r="W1464" s="22">
        <f>'Activity data'!AP48*ttokg*ONEF*NtoN2O*kgtoGg</f>
        <v>4.3554994936976968E-2</v>
      </c>
      <c r="X1464" s="22">
        <f>'Activity data'!AQ48*ttokg*ONEF*NtoN2O*kgtoGg</f>
        <v>4.354509141340189E-2</v>
      </c>
      <c r="Y1464" s="22">
        <f>'Activity data'!AR48*ttokg*ONEF*NtoN2O*kgtoGg</f>
        <v>4.3535831219857934E-2</v>
      </c>
      <c r="Z1464" s="22">
        <f>'Activity data'!AS48*ttokg*ONEF*NtoN2O*kgtoGg</f>
        <v>4.3527584694353361E-2</v>
      </c>
      <c r="AA1464" s="22">
        <f>'Activity data'!AT48*ttokg*ONEF*NtoN2O*kgtoGg</f>
        <v>4.3519737788411117E-2</v>
      </c>
      <c r="AB1464" s="22">
        <f>'Activity data'!AU48*ttokg*ONEF*NtoN2O*kgtoGg</f>
        <v>4.35124265573913E-2</v>
      </c>
      <c r="AC1464" s="22">
        <f>'Activity data'!AV48*ttokg*ONEF*NtoN2O*kgtoGg</f>
        <v>4.350340372657277E-2</v>
      </c>
      <c r="AD1464" s="22">
        <f>'Activity data'!AW48*ttokg*ONEF*NtoN2O*kgtoGg</f>
        <v>4.3494629520593811E-2</v>
      </c>
      <c r="AE1464" s="22">
        <f>'Activity data'!AX48*ttokg*ONEF*NtoN2O*kgtoGg</f>
        <v>4.3485268510720758E-2</v>
      </c>
      <c r="AF1464" s="22">
        <f>'Activity data'!AY48*ttokg*ONEF*NtoN2O*kgtoGg</f>
        <v>4.347432805388373E-2</v>
      </c>
      <c r="AG1464" s="22">
        <f>'Activity data'!AZ48*ttokg*ONEF*NtoN2O*kgtoGg</f>
        <v>4.3462730737413614E-2</v>
      </c>
      <c r="AH1464" s="22">
        <f>'Activity data'!BA48*ttokg*ONEF*NtoN2O*kgtoGg</f>
        <v>4.3449543976974349E-2</v>
      </c>
      <c r="AI1464" s="22">
        <f>'Activity data'!BB48*ttokg*ONEF*NtoN2O*kgtoGg</f>
        <v>4.343917590194827E-2</v>
      </c>
      <c r="AJ1464" s="22">
        <f>'Activity data'!BC48*ttokg*ONEF*NtoN2O*kgtoGg</f>
        <v>4.3429310706671886E-2</v>
      </c>
      <c r="AK1464" s="22">
        <f>'Activity data'!BD48*ttokg*ONEF*NtoN2O*kgtoGg</f>
        <v>4.3418703977606825E-2</v>
      </c>
      <c r="AL1464" s="22">
        <f>'Activity data'!BE48*ttokg*ONEF*NtoN2O*kgtoGg</f>
        <v>4.340856675935751E-2</v>
      </c>
      <c r="AM1464" s="22">
        <f>'Activity data'!BF48*ttokg*ONEF*NtoN2O*kgtoGg</f>
        <v>4.3398089281830012E-2</v>
      </c>
      <c r="AN1464" s="22">
        <f>'Activity data'!BG48*ttokg*ONEF*NtoN2O*kgtoGg</f>
        <v>4.3387688152588685E-2</v>
      </c>
      <c r="AO1464" s="22">
        <f>'Activity data'!BH48*ttokg*ONEF*NtoN2O*kgtoGg</f>
        <v>4.3376189627456985E-2</v>
      </c>
      <c r="AP1464" s="22">
        <f>'Activity data'!BI48*ttokg*ONEF*NtoN2O*kgtoGg</f>
        <v>4.3365275737448507E-2</v>
      </c>
      <c r="AQ1464" s="22">
        <f>'Activity data'!BJ48*ttokg*ONEF*NtoN2O*kgtoGg</f>
        <v>4.3354352906151139E-2</v>
      </c>
      <c r="AR1464" s="22">
        <f>'Activity data'!BK48*ttokg*ONEF*NtoN2O*kgtoGg</f>
        <v>4.3343278560740071E-2</v>
      </c>
      <c r="AS1464" s="22">
        <f>'Activity data'!BL48*ttokg*ONEF*NtoN2O*kgtoGg</f>
        <v>4.3332007762999163E-2</v>
      </c>
      <c r="AT1464" s="22">
        <f>'Activity data'!BM48*ttokg*ONEF*NtoN2O*kgtoGg</f>
        <v>4.3319528751102059E-2</v>
      </c>
      <c r="AU1464" s="22">
        <f>'Activity data'!BN48*ttokg*ONEF*NtoN2O*kgtoGg</f>
        <v>4.3310776811703651E-2</v>
      </c>
      <c r="AV1464" s="22">
        <f>'Activity data'!BO48*ttokg*ONEF*NtoN2O*kgtoGg</f>
        <v>4.3302338270865603E-2</v>
      </c>
      <c r="AW1464" s="22">
        <f>'Activity data'!BP48*ttokg*ONEF*NtoN2O*kgtoGg</f>
        <v>4.3293831323988244E-2</v>
      </c>
    </row>
    <row r="1465" spans="1:49" x14ac:dyDescent="0.2">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2.968676648093143</v>
      </c>
      <c r="U1465" s="22">
        <f>'Activity data'!AN85*CREF*NtoN2O*kgtoGg</f>
        <v>2.9825082583829583</v>
      </c>
      <c r="V1465" s="22">
        <f>'Activity data'!AO85*CREF*NtoN2O*kgtoGg</f>
        <v>2.9933346622173946</v>
      </c>
      <c r="W1465" s="22">
        <f>'Activity data'!AP85*CREF*NtoN2O*kgtoGg</f>
        <v>3.0033565813928953</v>
      </c>
      <c r="X1465" s="22">
        <f>'Activity data'!AQ85*CREF*NtoN2O*kgtoGg</f>
        <v>3.0145589479472883</v>
      </c>
      <c r="Y1465" s="22">
        <f>'Activity data'!AR85*CREF*NtoN2O*kgtoGg</f>
        <v>3.0250336120057435</v>
      </c>
      <c r="Z1465" s="22">
        <f>'Activity data'!AS85*CREF*NtoN2O*kgtoGg</f>
        <v>3.0343616658849326</v>
      </c>
      <c r="AA1465" s="22">
        <f>'Activity data'!AT85*CREF*NtoN2O*kgtoGg</f>
        <v>3.0432376902631781</v>
      </c>
      <c r="AB1465" s="22">
        <f>'Activity data'!AU85*CREF*NtoN2O*kgtoGg</f>
        <v>3.0515077861767024</v>
      </c>
      <c r="AC1465" s="22">
        <f>'Activity data'!AV85*CREF*NtoN2O*kgtoGg</f>
        <v>3.0617139574874526</v>
      </c>
      <c r="AD1465" s="22">
        <f>'Activity data'!AW85*CREF*NtoN2O*kgtoGg</f>
        <v>3.0716388969147959</v>
      </c>
      <c r="AE1465" s="22">
        <f>'Activity data'!AX85*CREF*NtoN2O*kgtoGg</f>
        <v>3.0822275993217993</v>
      </c>
      <c r="AF1465" s="22">
        <f>'Activity data'!AY85*CREF*NtoN2O*kgtoGg</f>
        <v>3.0946028925022198</v>
      </c>
      <c r="AG1465" s="22">
        <f>'Activity data'!AZ85*CREF*NtoN2O*kgtoGg</f>
        <v>3.1077211921821801</v>
      </c>
      <c r="AH1465" s="22">
        <f>'Activity data'!BA85*CREF*NtoN2O*kgtoGg</f>
        <v>3.122637390743785</v>
      </c>
      <c r="AI1465" s="22">
        <f>'Activity data'!BB85*CREF*NtoN2O*kgtoGg</f>
        <v>3.1343652344778912</v>
      </c>
      <c r="AJ1465" s="22">
        <f>'Activity data'!BC85*CREF*NtoN2O*kgtoGg</f>
        <v>3.1455242459932262</v>
      </c>
      <c r="AK1465" s="22">
        <f>'Activity data'!BD85*CREF*NtoN2O*kgtoGg</f>
        <v>3.1575220431438074</v>
      </c>
      <c r="AL1465" s="22">
        <f>'Activity data'!BE85*CREF*NtoN2O*kgtoGg</f>
        <v>3.1689887533313184</v>
      </c>
      <c r="AM1465" s="22">
        <f>'Activity data'!BF85*CREF*NtoN2O*kgtoGg</f>
        <v>3.1808403476591942</v>
      </c>
      <c r="AN1465" s="22">
        <f>'Activity data'!BG85*CREF*NtoN2O*kgtoGg</f>
        <v>3.1926055806550666</v>
      </c>
      <c r="AO1465" s="22">
        <f>'Activity data'!BH85*CREF*NtoN2O*kgtoGg</f>
        <v>3.2056121325538434</v>
      </c>
      <c r="AP1465" s="22">
        <f>'Activity data'!BI85*CREF*NtoN2O*kgtoGg</f>
        <v>3.217957374677253</v>
      </c>
      <c r="AQ1465" s="22">
        <f>'Activity data'!BJ85*CREF*NtoN2O*kgtoGg</f>
        <v>3.2303127307358399</v>
      </c>
      <c r="AR1465" s="22">
        <f>'Activity data'!BK85*CREF*NtoN2O*kgtoGg</f>
        <v>3.24283947192085</v>
      </c>
      <c r="AS1465" s="22">
        <f>'Activity data'!BL85*CREF*NtoN2O*kgtoGg</f>
        <v>3.2555884300766866</v>
      </c>
      <c r="AT1465" s="22">
        <f>'Activity data'!BM85*CREF*NtoN2O*kgtoGg</f>
        <v>3.2697040591705311</v>
      </c>
      <c r="AU1465" s="22">
        <f>'Activity data'!BN85*CREF*NtoN2O*kgtoGg</f>
        <v>3.2796038117645905</v>
      </c>
      <c r="AV1465" s="22">
        <f>'Activity data'!BO85*CREF*NtoN2O*kgtoGg</f>
        <v>3.2891490637080194</v>
      </c>
      <c r="AW1465" s="22">
        <f>'Activity data'!BP85*CREF*NtoN2O*kgtoGg</f>
        <v>3.2987716931142437</v>
      </c>
    </row>
    <row r="1466" spans="1:49" x14ac:dyDescent="0.2">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0.32056321299147922</v>
      </c>
      <c r="M1466" s="22">
        <f>'Activity data'!AF50*ManureNEF*NtoN2O*kgtoGg</f>
        <v>0.32309177745176459</v>
      </c>
      <c r="N1466" s="22">
        <f>'Activity data'!AG50*ManureNEF*NtoN2O*kgtoGg</f>
        <v>0.32471664946511047</v>
      </c>
      <c r="O1466" s="22">
        <f>'Activity data'!AH50*ManureNEF*NtoN2O*kgtoGg</f>
        <v>0.32579638434951891</v>
      </c>
      <c r="P1466" s="22">
        <f>'Activity data'!AI50*ManureNEF*NtoN2O*kgtoGg</f>
        <v>0.32632035510276458</v>
      </c>
      <c r="Q1466" s="22">
        <f>'Activity data'!AJ50*ManureNEF*NtoN2O*kgtoGg</f>
        <v>0.32747800149861978</v>
      </c>
      <c r="R1466" s="22">
        <f>'Activity data'!AK50*ManureNEF*NtoN2O*kgtoGg</f>
        <v>0.32880601635823298</v>
      </c>
      <c r="S1466" s="22">
        <f>'Activity data'!AL50*ManureNEF*NtoN2O*kgtoGg</f>
        <v>0.31980488008437191</v>
      </c>
      <c r="T1466" s="22">
        <f>'Activity data'!AM50*ManureNEF*NtoN2O*kgtoGg</f>
        <v>0.32348013385904834</v>
      </c>
      <c r="U1466" s="22">
        <f>'Activity data'!AN50*ManureNEF*NtoN2O*kgtoGg</f>
        <v>0.3263600829079687</v>
      </c>
      <c r="V1466" s="22">
        <f>'Activity data'!AO50*ManureNEF*NtoN2O*kgtoGg</f>
        <v>0.32908851818149565</v>
      </c>
      <c r="W1466" s="22">
        <f>'Activity data'!AP50*ManureNEF*NtoN2O*kgtoGg</f>
        <v>0.33227832556349268</v>
      </c>
      <c r="X1466" s="22">
        <f>'Activity data'!AQ50*ManureNEF*NtoN2O*kgtoGg</f>
        <v>0.33533311826905887</v>
      </c>
      <c r="Y1466" s="22">
        <f>'Activity data'!AR50*ManureNEF*NtoN2O*kgtoGg</f>
        <v>0.33789515194056902</v>
      </c>
      <c r="Z1466" s="22">
        <f>'Activity data'!AS50*ManureNEF*NtoN2O*kgtoGg</f>
        <v>0.34038602610303131</v>
      </c>
      <c r="AA1466" s="22">
        <f>'Activity data'!AT50*ManureNEF*NtoN2O*kgtoGg</f>
        <v>0.34274865356811024</v>
      </c>
      <c r="AB1466" s="22">
        <f>'Activity data'!AU50*ManureNEF*NtoN2O*kgtoGg</f>
        <v>0.34582201192682688</v>
      </c>
      <c r="AC1466" s="22">
        <f>'Activity data'!AV50*ManureNEF*NtoN2O*kgtoGg</f>
        <v>0.34887956660233338</v>
      </c>
      <c r="AD1466" s="22">
        <f>'Activity data'!AW50*ManureNEF*NtoN2O*kgtoGg</f>
        <v>0.35206948034993701</v>
      </c>
      <c r="AE1466" s="22">
        <f>'Activity data'!AX50*ManureNEF*NtoN2O*kgtoGg</f>
        <v>0.3559611034908382</v>
      </c>
      <c r="AF1466" s="22">
        <f>'Activity data'!AY50*ManureNEF*NtoN2O*kgtoGg</f>
        <v>0.36021553712523996</v>
      </c>
      <c r="AG1466" s="22">
        <f>'Activity data'!AZ50*ManureNEF*NtoN2O*kgtoGg</f>
        <v>0.36523063944756523</v>
      </c>
      <c r="AH1466" s="22">
        <f>'Activity data'!BA50*ManureNEF*NtoN2O*kgtoGg</f>
        <v>0.36920261310751928</v>
      </c>
      <c r="AI1466" s="22">
        <f>'Activity data'!BB50*ManureNEF*NtoN2O*kgtoGg</f>
        <v>0.3728925335928876</v>
      </c>
      <c r="AJ1466" s="22">
        <f>'Activity data'!BC50*ManureNEF*NtoN2O*kgtoGg</f>
        <v>0.37698699496053195</v>
      </c>
      <c r="AK1466" s="22">
        <f>'Activity data'!BD50*ManureNEF*NtoN2O*kgtoGg</f>
        <v>0.38097151646383681</v>
      </c>
      <c r="AL1466" s="22">
        <f>'Activity data'!BE50*ManureNEF*NtoN2O*kgtoGg</f>
        <v>0.38519729456570295</v>
      </c>
      <c r="AM1466" s="22">
        <f>'Activity data'!BF50*ManureNEF*NtoN2O*kgtoGg</f>
        <v>0.38948381880632194</v>
      </c>
      <c r="AN1466" s="22">
        <f>'Activity data'!BG50*ManureNEF*NtoN2O*kgtoGg</f>
        <v>0.3942210595490877</v>
      </c>
      <c r="AO1466" s="22">
        <f>'Activity data'!BH50*ManureNEF*NtoN2O*kgtoGg</f>
        <v>0.39879649772923048</v>
      </c>
      <c r="AP1466" s="22">
        <f>'Activity data'!BI50*ManureNEF*NtoN2O*kgtoGg</f>
        <v>0.40348070497447158</v>
      </c>
      <c r="AQ1466" s="22">
        <f>'Activity data'!BJ50*ManureNEF*NtoN2O*kgtoGg</f>
        <v>0.40834470639522963</v>
      </c>
      <c r="AR1466" s="22">
        <f>'Activity data'!BK50*ManureNEF*NtoN2O*kgtoGg</f>
        <v>0.41341630943614366</v>
      </c>
      <c r="AS1466" s="22">
        <f>'Activity data'!BL50*ManureNEF*NtoN2O*kgtoGg</f>
        <v>0.41906350167167566</v>
      </c>
      <c r="AT1466" s="22">
        <f>'Activity data'!BM50*ManureNEF*NtoN2O*kgtoGg</f>
        <v>0.42292582986675353</v>
      </c>
      <c r="AU1466" s="22">
        <f>'Activity data'!BN50*ManureNEF*NtoN2O*kgtoGg</f>
        <v>0.42669932950648143</v>
      </c>
      <c r="AV1466" s="22">
        <f>'Activity data'!BO50*ManureNEF*NtoN2O*kgtoGg</f>
        <v>0.43057975647849034</v>
      </c>
      <c r="AW1466" s="22">
        <f>'Activity data'!BP50*ManureNEF*NtoN2O*kgtoGg</f>
        <v>0.43448428362104141</v>
      </c>
    </row>
    <row r="1467" spans="1:49" x14ac:dyDescent="0.2">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0.93731746283627526</v>
      </c>
      <c r="M1467" s="22">
        <f>'Activity data'!AF51*ManureNEF*NtoN2O*kgtoGg</f>
        <v>0.94471091139331731</v>
      </c>
      <c r="N1467" s="22">
        <f>'Activity data'!AG51*ManureNEF*NtoN2O*kgtoGg</f>
        <v>0.94946198965576145</v>
      </c>
      <c r="O1467" s="22">
        <f>'Activity data'!AH51*ManureNEF*NtoN2O*kgtoGg</f>
        <v>0.95261910289076102</v>
      </c>
      <c r="P1467" s="22">
        <f>'Activity data'!AI51*ManureNEF*NtoN2O*kgtoGg</f>
        <v>0.95415117805450056</v>
      </c>
      <c r="Q1467" s="22">
        <f>'Activity data'!AJ51*ManureNEF*NtoN2O*kgtoGg</f>
        <v>0.95753610227115837</v>
      </c>
      <c r="R1467" s="22">
        <f>'Activity data'!AK51*ManureNEF*NtoN2O*kgtoGg</f>
        <v>0.96141917889497119</v>
      </c>
      <c r="S1467" s="22">
        <f>'Activity data'!AL51*ManureNEF*NtoN2O*kgtoGg</f>
        <v>0.93510011958643091</v>
      </c>
      <c r="T1467" s="22">
        <f>'Activity data'!AM51*ManureNEF*NtoN2O*kgtoGg</f>
        <v>0.94584645417427005</v>
      </c>
      <c r="U1467" s="22">
        <f>'Activity data'!AN51*ManureNEF*NtoN2O*kgtoGg</f>
        <v>0.95426734099543964</v>
      </c>
      <c r="V1467" s="22">
        <f>'Activity data'!AO51*ManureNEF*NtoN2O*kgtoGg</f>
        <v>0.96224520596699892</v>
      </c>
      <c r="W1467" s="22">
        <f>'Activity data'!AP51*ManureNEF*NtoN2O*kgtoGg</f>
        <v>0.97157210949510064</v>
      </c>
      <c r="X1467" s="22">
        <f>'Activity data'!AQ51*ManureNEF*NtoN2O*kgtoGg</f>
        <v>0.98050423405659315</v>
      </c>
      <c r="Y1467" s="22">
        <f>'Activity data'!AR51*ManureNEF*NtoN2O*kgtoGg</f>
        <v>0.98799554560875424</v>
      </c>
      <c r="Z1467" s="22">
        <f>'Activity data'!AS51*ManureNEF*NtoN2O*kgtoGg</f>
        <v>0.99527878883687138</v>
      </c>
      <c r="AA1467" s="22">
        <f>'Activity data'!AT51*ManureNEF*NtoN2O*kgtoGg</f>
        <v>1.0021870424712456</v>
      </c>
      <c r="AB1467" s="22">
        <f>'Activity data'!AU51*ManureNEF*NtoN2O*kgtoGg</f>
        <v>1.011173452459766</v>
      </c>
      <c r="AC1467" s="22">
        <f>'Activity data'!AV51*ManureNEF*NtoN2O*kgtoGg</f>
        <v>1.0201136529406156</v>
      </c>
      <c r="AD1467" s="22">
        <f>'Activity data'!AW51*ManureNEF*NtoN2O*kgtoGg</f>
        <v>1.0294408674786415</v>
      </c>
      <c r="AE1467" s="22">
        <f>'Activity data'!AX51*ManureNEF*NtoN2O*kgtoGg</f>
        <v>1.0408198597675704</v>
      </c>
      <c r="AF1467" s="22">
        <f>'Activity data'!AY51*ManureNEF*NtoN2O*kgtoGg</f>
        <v>1.0532596993324077</v>
      </c>
      <c r="AG1467" s="22">
        <f>'Activity data'!AZ51*ManureNEF*NtoN2O*kgtoGg</f>
        <v>1.0679237119019074</v>
      </c>
      <c r="AH1467" s="22">
        <f>'Activity data'!BA51*ManureNEF*NtoN2O*kgtoGg</f>
        <v>1.0795376467594282</v>
      </c>
      <c r="AI1467" s="22">
        <f>'Activity data'!BB51*ManureNEF*NtoN2O*kgtoGg</f>
        <v>1.0903268663805361</v>
      </c>
      <c r="AJ1467" s="22">
        <f>'Activity data'!BC51*ManureNEF*NtoN2O*kgtoGg</f>
        <v>1.102298951714306</v>
      </c>
      <c r="AK1467" s="22">
        <f>'Activity data'!BD51*ManureNEF*NtoN2O*kgtoGg</f>
        <v>1.1139495760989377</v>
      </c>
      <c r="AL1467" s="22">
        <f>'Activity data'!BE51*ManureNEF*NtoN2O*kgtoGg</f>
        <v>1.1263056277244112</v>
      </c>
      <c r="AM1467" s="22">
        <f>'Activity data'!BF51*ManureNEF*NtoN2O*kgtoGg</f>
        <v>1.1388392992836296</v>
      </c>
      <c r="AN1467" s="22">
        <f>'Activity data'!BG51*ManureNEF*NtoN2O*kgtoGg</f>
        <v>1.152690852718028</v>
      </c>
      <c r="AO1467" s="22">
        <f>'Activity data'!BH51*ManureNEF*NtoN2O*kgtoGg</f>
        <v>1.1660693001897589</v>
      </c>
      <c r="AP1467" s="22">
        <f>'Activity data'!BI51*ManureNEF*NtoN2O*kgtoGg</f>
        <v>1.1797657852278758</v>
      </c>
      <c r="AQ1467" s="22">
        <f>'Activity data'!BJ51*ManureNEF*NtoN2O*kgtoGg</f>
        <v>1.1939879831787625</v>
      </c>
      <c r="AR1467" s="22">
        <f>'Activity data'!BK51*ManureNEF*NtoN2O*kgtoGg</f>
        <v>1.2088172021975669</v>
      </c>
      <c r="AS1467" s="22">
        <f>'Activity data'!BL51*ManureNEF*NtoN2O*kgtoGg</f>
        <v>1.225329427193572</v>
      </c>
      <c r="AT1467" s="22">
        <f>'Activity data'!BM51*ManureNEF*NtoN2O*kgtoGg</f>
        <v>1.2366227619173775</v>
      </c>
      <c r="AU1467" s="22">
        <f>'Activity data'!BN51*ManureNEF*NtoN2O*kgtoGg</f>
        <v>1.2476563645423218</v>
      </c>
      <c r="AV1467" s="22">
        <f>'Activity data'!BO51*ManureNEF*NtoN2O*kgtoGg</f>
        <v>1.2590026195607404</v>
      </c>
      <c r="AW1467" s="22">
        <f>'Activity data'!BP51*ManureNEF*NtoN2O*kgtoGg</f>
        <v>1.2704193427732338</v>
      </c>
    </row>
    <row r="1468" spans="1:49" x14ac:dyDescent="0.2">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5.0141199304605817E-2</v>
      </c>
      <c r="M1468" s="22">
        <f>'Activity data'!AF52*ManureNEF*NtoN2O*kgtoGg</f>
        <v>5.0536707115294892E-2</v>
      </c>
      <c r="N1468" s="22">
        <f>'Activity data'!AG52*ManureNEF*NtoN2O*kgtoGg</f>
        <v>5.0790863013925151E-2</v>
      </c>
      <c r="O1468" s="22">
        <f>'Activity data'!AH52*ManureNEF*NtoN2O*kgtoGg</f>
        <v>5.0959750770976343E-2</v>
      </c>
      <c r="P1468" s="22">
        <f>'Activity data'!AI52*ManureNEF*NtoN2O*kgtoGg</f>
        <v>5.1041708153806091E-2</v>
      </c>
      <c r="Q1468" s="22">
        <f>'Activity data'!AJ52*ManureNEF*NtoN2O*kgtoGg</f>
        <v>5.122278251388987E-2</v>
      </c>
      <c r="R1468" s="22">
        <f>'Activity data'!AK52*ManureNEF*NtoN2O*kgtoGg</f>
        <v>5.1430505218981168E-2</v>
      </c>
      <c r="S1468" s="22">
        <f>'Activity data'!AL52*ManureNEF*NtoN2O*kgtoGg</f>
        <v>5.0022583942975041E-2</v>
      </c>
      <c r="T1468" s="22">
        <f>'Activity data'!AM52*ManureNEF*NtoN2O*kgtoGg</f>
        <v>5.0597452251447961E-2</v>
      </c>
      <c r="U1468" s="22">
        <f>'Activity data'!AN52*ManureNEF*NtoN2O*kgtoGg</f>
        <v>5.1047922216174907E-2</v>
      </c>
      <c r="V1468" s="22">
        <f>'Activity data'!AO52*ManureNEF*NtoN2O*kgtoGg</f>
        <v>5.147469300987563E-2</v>
      </c>
      <c r="W1468" s="22">
        <f>'Activity data'!AP52*ManureNEF*NtoN2O*kgtoGg</f>
        <v>5.1973629759952025E-2</v>
      </c>
      <c r="X1468" s="22">
        <f>'Activity data'!AQ52*ManureNEF*NtoN2O*kgtoGg</f>
        <v>5.2451448061230796E-2</v>
      </c>
      <c r="Y1468" s="22">
        <f>'Activity data'!AR52*ManureNEF*NtoN2O*kgtoGg</f>
        <v>5.285219099036944E-2</v>
      </c>
      <c r="Z1468" s="22">
        <f>'Activity data'!AS52*ManureNEF*NtoN2O*kgtoGg</f>
        <v>5.3241803437341126E-2</v>
      </c>
      <c r="AA1468" s="22">
        <f>'Activity data'!AT52*ManureNEF*NtoN2O*kgtoGg</f>
        <v>5.361135605538344E-2</v>
      </c>
      <c r="AB1468" s="22">
        <f>'Activity data'!AU52*ManureNEF*NtoN2O*kgtoGg</f>
        <v>5.4092078320926051E-2</v>
      </c>
      <c r="AC1468" s="22">
        <f>'Activity data'!AV52*ManureNEF*NtoN2O*kgtoGg</f>
        <v>5.457032863835528E-2</v>
      </c>
      <c r="AD1468" s="22">
        <f>'Activity data'!AW52*ManureNEF*NtoN2O*kgtoGg</f>
        <v>5.5069282025709015E-2</v>
      </c>
      <c r="AE1468" s="22">
        <f>'Activity data'!AX52*ManureNEF*NtoN2O*kgtoGg</f>
        <v>5.5677993954022266E-2</v>
      </c>
      <c r="AF1468" s="22">
        <f>'Activity data'!AY52*ManureNEF*NtoN2O*kgtoGg</f>
        <v>5.634345523013079E-2</v>
      </c>
      <c r="AG1468" s="22">
        <f>'Activity data'!AZ52*ManureNEF*NtoN2O*kgtoGg</f>
        <v>5.7127897221244069E-2</v>
      </c>
      <c r="AH1468" s="22">
        <f>'Activity data'!BA52*ManureNEF*NtoN2O*kgtoGg</f>
        <v>5.774917725228023E-2</v>
      </c>
      <c r="AI1468" s="22">
        <f>'Activity data'!BB52*ManureNEF*NtoN2O*kgtoGg</f>
        <v>5.8326339668230698E-2</v>
      </c>
      <c r="AJ1468" s="22">
        <f>'Activity data'!BC52*ManureNEF*NtoN2O*kgtoGg</f>
        <v>5.8966778730355766E-2</v>
      </c>
      <c r="AK1468" s="22">
        <f>'Activity data'!BD52*ManureNEF*NtoN2O*kgtoGg</f>
        <v>5.9590021444222652E-2</v>
      </c>
      <c r="AL1468" s="22">
        <f>'Activity data'!BE52*ManureNEF*NtoN2O*kgtoGg</f>
        <v>6.025100053800389E-2</v>
      </c>
      <c r="AM1468" s="22">
        <f>'Activity data'!BF52*ManureNEF*NtoN2O*kgtoGg</f>
        <v>6.0921481296750873E-2</v>
      </c>
      <c r="AN1468" s="22">
        <f>'Activity data'!BG52*ManureNEF*NtoN2O*kgtoGg</f>
        <v>6.1662461305093973E-2</v>
      </c>
      <c r="AO1468" s="22">
        <f>'Activity data'!BH52*ManureNEF*NtoN2O*kgtoGg</f>
        <v>6.2378132811988125E-2</v>
      </c>
      <c r="AP1468" s="22">
        <f>'Activity data'!BI52*ManureNEF*NtoN2O*kgtoGg</f>
        <v>6.3110817535465588E-2</v>
      </c>
      <c r="AQ1468" s="22">
        <f>'Activity data'!BJ52*ManureNEF*NtoN2O*kgtoGg</f>
        <v>6.3871624935604179E-2</v>
      </c>
      <c r="AR1468" s="22">
        <f>'Activity data'!BK52*ManureNEF*NtoN2O*kgtoGg</f>
        <v>6.4664904540257612E-2</v>
      </c>
      <c r="AS1468" s="22">
        <f>'Activity data'!BL52*ManureNEF*NtoN2O*kgtoGg</f>
        <v>6.5548215475254884E-2</v>
      </c>
      <c r="AT1468" s="22">
        <f>'Activity data'!BM52*ManureNEF*NtoN2O*kgtoGg</f>
        <v>6.6152345206804408E-2</v>
      </c>
      <c r="AU1468" s="22">
        <f>'Activity data'!BN52*ManureNEF*NtoN2O*kgtoGg</f>
        <v>6.6742580735534546E-2</v>
      </c>
      <c r="AV1468" s="22">
        <f>'Activity data'!BO52*ManureNEF*NtoN2O*kgtoGg</f>
        <v>6.7349541404460839E-2</v>
      </c>
      <c r="AW1468" s="22">
        <f>'Activity data'!BP52*ManureNEF*NtoN2O*kgtoGg</f>
        <v>6.7960271724443314E-2</v>
      </c>
    </row>
    <row r="1469" spans="1:49" x14ac:dyDescent="0.2">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0.3999997899835232</v>
      </c>
      <c r="L1469" s="22">
        <f>'Activity data'!AE53*ManureNEF*NtoN2O*kgtoGg</f>
        <v>0.39653071954810204</v>
      </c>
      <c r="M1469" s="22">
        <f>'Activity data'!AF53*ManureNEF*NtoN2O*kgtoGg</f>
        <v>0.39521014945095023</v>
      </c>
      <c r="N1469" s="22">
        <f>'Activity data'!AG53*ManureNEF*NtoN2O*kgtoGg</f>
        <v>0.38993263522397309</v>
      </c>
      <c r="O1469" s="22">
        <f>'Activity data'!AH53*ManureNEF*NtoN2O*kgtoGg</f>
        <v>0.38227219443770111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0.31703545795580812</v>
      </c>
      <c r="T1469" s="22">
        <f>'Activity data'!AM53*ManureNEF*NtoN2O*kgtoGg</f>
        <v>0.32309971218055339</v>
      </c>
      <c r="U1469" s="22">
        <f>'Activity data'!AN53*ManureNEF*NtoN2O*kgtoGg</f>
        <v>0.32634203711003062</v>
      </c>
      <c r="V1469" s="22">
        <f>'Activity data'!AO53*ManureNEF*NtoN2O*kgtoGg</f>
        <v>0.32883794885575124</v>
      </c>
      <c r="W1469" s="22">
        <f>'Activity data'!AP53*ManureNEF*NtoN2O*kgtoGg</f>
        <v>0.33244914541099557</v>
      </c>
      <c r="X1469" s="22">
        <f>'Activity data'!AQ53*ManureNEF*NtoN2O*kgtoGg</f>
        <v>0.33537982425623064</v>
      </c>
      <c r="Y1469" s="22">
        <f>'Activity data'!AR53*ManureNEF*NtoN2O*kgtoGg</f>
        <v>0.33726910277056216</v>
      </c>
      <c r="Z1469" s="22">
        <f>'Activity data'!AS53*ManureNEF*NtoN2O*kgtoGg</f>
        <v>0.33873976472971684</v>
      </c>
      <c r="AA1469" s="22">
        <f>'Activity data'!AT53*ManureNEF*NtoN2O*kgtoGg</f>
        <v>0.3396512538265225</v>
      </c>
      <c r="AB1469" s="22">
        <f>'Activity data'!AU53*ManureNEF*NtoN2O*kgtoGg</f>
        <v>0.34234961980351264</v>
      </c>
      <c r="AC1469" s="22">
        <f>'Activity data'!AV53*ManureNEF*NtoN2O*kgtoGg</f>
        <v>0.34477749763229165</v>
      </c>
      <c r="AD1469" s="22">
        <f>'Activity data'!AW53*ManureNEF*NtoN2O*kgtoGg</f>
        <v>0.34490271847402698</v>
      </c>
      <c r="AE1469" s="22">
        <f>'Activity data'!AX53*ManureNEF*NtoN2O*kgtoGg</f>
        <v>0.34652917307942177</v>
      </c>
      <c r="AF1469" s="22">
        <f>'Activity data'!AY53*ManureNEF*NtoN2O*kgtoGg</f>
        <v>0.34867994569293842</v>
      </c>
      <c r="AG1469" s="22">
        <f>'Activity data'!AZ53*ManureNEF*NtoN2O*kgtoGg</f>
        <v>0.35229087700726325</v>
      </c>
      <c r="AH1469" s="22">
        <f>'Activity data'!BA53*ManureNEF*NtoN2O*kgtoGg</f>
        <v>0.35286760038592668</v>
      </c>
      <c r="AI1469" s="22">
        <f>'Activity data'!BB53*ManureNEF*NtoN2O*kgtoGg</f>
        <v>0.35280706113320703</v>
      </c>
      <c r="AJ1469" s="22">
        <f>'Activity data'!BC53*ManureNEF*NtoN2O*kgtoGg</f>
        <v>0.35333685278149574</v>
      </c>
      <c r="AK1469" s="22">
        <f>'Activity data'!BD53*ManureNEF*NtoN2O*kgtoGg</f>
        <v>0.35323906806904226</v>
      </c>
      <c r="AL1469" s="22">
        <f>'Activity data'!BE53*ManureNEF*NtoN2O*kgtoGg</f>
        <v>0.35331388529093138</v>
      </c>
      <c r="AM1469" s="22">
        <f>'Activity data'!BF53*ManureNEF*NtoN2O*kgtoGg</f>
        <v>0.35314408948749232</v>
      </c>
      <c r="AN1469" s="22">
        <f>'Activity data'!BG53*ManureNEF*NtoN2O*kgtoGg</f>
        <v>0.35567872633842856</v>
      </c>
      <c r="AO1469" s="22">
        <f>'Activity data'!BH53*ManureNEF*NtoN2O*kgtoGg</f>
        <v>0.35753295708802146</v>
      </c>
      <c r="AP1469" s="22">
        <f>'Activity data'!BI53*ManureNEF*NtoN2O*kgtoGg</f>
        <v>0.35928020343080169</v>
      </c>
      <c r="AQ1469" s="22">
        <f>'Activity data'!BJ53*ManureNEF*NtoN2O*kgtoGg</f>
        <v>0.36105415112579775</v>
      </c>
      <c r="AR1469" s="22">
        <f>'Activity data'!BK53*ManureNEF*NtoN2O*kgtoGg</f>
        <v>0.36289326988326759</v>
      </c>
      <c r="AS1469" s="22">
        <f>'Activity data'!BL53*ManureNEF*NtoN2O*kgtoGg</f>
        <v>0.36577537997432297</v>
      </c>
      <c r="AT1469" s="22">
        <f>'Activity data'!BM53*ManureNEF*NtoN2O*kgtoGg</f>
        <v>0.36496360671057504</v>
      </c>
      <c r="AU1469" s="22">
        <f>'Activity data'!BN53*ManureNEF*NtoN2O*kgtoGg</f>
        <v>0.36374650903258482</v>
      </c>
      <c r="AV1469" s="22">
        <f>'Activity data'!BO53*ManureNEF*NtoN2O*kgtoGg</f>
        <v>0.36248592595380585</v>
      </c>
      <c r="AW1469" s="22">
        <f>'Activity data'!BP53*ManureNEF*NtoN2O*kgtoGg</f>
        <v>0.36103102436723483</v>
      </c>
    </row>
    <row r="1470" spans="1:49" x14ac:dyDescent="0.2">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2.6602988559851246</v>
      </c>
      <c r="L1470" s="22">
        <f>'Activity data'!AE54*ManureNEF*NtoN2O*kgtoGg</f>
        <v>2.6372269335947092</v>
      </c>
      <c r="M1470" s="22">
        <f>'Activity data'!AF54*ManureNEF*NtoN2O*kgtoGg</f>
        <v>2.6284441511866339</v>
      </c>
      <c r="N1470" s="22">
        <f>'Activity data'!AG54*ManureNEF*NtoN2O*kgtoGg</f>
        <v>2.5933447201068058</v>
      </c>
      <c r="O1470" s="22">
        <f>'Activity data'!AH54*ManureNEF*NtoN2O*kgtoGg</f>
        <v>2.5423970387070205</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2.1085237723282266</v>
      </c>
      <c r="T1470" s="22">
        <f>'Activity data'!AM54*ManureNEF*NtoN2O*kgtoGg</f>
        <v>2.1488556149453371</v>
      </c>
      <c r="U1470" s="22">
        <f>'Activity data'!AN54*ManureNEF*NtoN2O*kgtoGg</f>
        <v>2.1704195095188212</v>
      </c>
      <c r="V1470" s="22">
        <f>'Activity data'!AO54*ManureNEF*NtoN2O*kgtoGg</f>
        <v>2.1870191961387908</v>
      </c>
      <c r="W1470" s="22">
        <f>'Activity data'!AP54*ManureNEF*NtoN2O*kgtoGg</f>
        <v>2.211036363910428</v>
      </c>
      <c r="X1470" s="22">
        <f>'Activity data'!AQ54*ManureNEF*NtoN2O*kgtoGg</f>
        <v>2.2305275780922154</v>
      </c>
      <c r="Y1470" s="22">
        <f>'Activity data'!AR54*ManureNEF*NtoN2O*kgtoGg</f>
        <v>2.2430926983652055</v>
      </c>
      <c r="Z1470" s="22">
        <f>'Activity data'!AS54*ManureNEF*NtoN2O*kgtoGg</f>
        <v>2.252873704319335</v>
      </c>
      <c r="AA1470" s="22">
        <f>'Activity data'!AT54*ManureNEF*NtoN2O*kgtoGg</f>
        <v>2.2589357910058689</v>
      </c>
      <c r="AB1470" s="22">
        <f>'Activity data'!AU54*ManureNEF*NtoN2O*kgtoGg</f>
        <v>2.2768819502323812</v>
      </c>
      <c r="AC1470" s="22">
        <f>'Activity data'!AV54*ManureNEF*NtoN2O*kgtoGg</f>
        <v>2.2930291602362631</v>
      </c>
      <c r="AD1470" s="22">
        <f>'Activity data'!AW54*ManureNEF*NtoN2O*kgtoGg</f>
        <v>2.2938619728285596</v>
      </c>
      <c r="AE1470" s="22">
        <f>'Activity data'!AX54*ManureNEF*NtoN2O*kgtoGg</f>
        <v>2.3046791168231131</v>
      </c>
      <c r="AF1470" s="22">
        <f>'Activity data'!AY54*ManureNEF*NtoN2O*kgtoGg</f>
        <v>2.3189833691414923</v>
      </c>
      <c r="AG1470" s="22">
        <f>'Activity data'!AZ54*ManureNEF*NtoN2O*kgtoGg</f>
        <v>2.3429987728619159</v>
      </c>
      <c r="AH1470" s="22">
        <f>'Activity data'!BA54*ManureNEF*NtoN2O*kgtoGg</f>
        <v>2.346834416236983</v>
      </c>
      <c r="AI1470" s="22">
        <f>'Activity data'!BB54*ManureNEF*NtoN2O*kgtoGg</f>
        <v>2.3464317847637033</v>
      </c>
      <c r="AJ1470" s="22">
        <f>'Activity data'!BC54*ManureNEF*NtoN2O*kgtoGg</f>
        <v>2.3499552969033255</v>
      </c>
      <c r="AK1470" s="22">
        <f>'Activity data'!BD54*ManureNEF*NtoN2O*kgtoGg</f>
        <v>2.3493049551651861</v>
      </c>
      <c r="AL1470" s="22">
        <f>'Activity data'!BE54*ManureNEF*NtoN2O*kgtoGg</f>
        <v>2.3498025458509408</v>
      </c>
      <c r="AM1470" s="22">
        <f>'Activity data'!BF54*ManureNEF*NtoN2O*kgtoGg</f>
        <v>2.3486732763039284</v>
      </c>
      <c r="AN1470" s="22">
        <f>'Activity data'!BG54*ManureNEF*NtoN2O*kgtoGg</f>
        <v>2.3655305139418807</v>
      </c>
      <c r="AO1470" s="22">
        <f>'Activity data'!BH54*ManureNEF*NtoN2O*kgtoGg</f>
        <v>2.3778625402713889</v>
      </c>
      <c r="AP1470" s="22">
        <f>'Activity data'!BI54*ManureNEF*NtoN2O*kgtoGg</f>
        <v>2.3894830399896865</v>
      </c>
      <c r="AQ1470" s="22">
        <f>'Activity data'!BJ54*ManureNEF*NtoN2O*kgtoGg</f>
        <v>2.4012811237431047</v>
      </c>
      <c r="AR1470" s="22">
        <f>'Activity data'!BK54*ManureNEF*NtoN2O*kgtoGg</f>
        <v>2.413512643981452</v>
      </c>
      <c r="AS1470" s="22">
        <f>'Activity data'!BL54*ManureNEF*NtoN2O*kgtoGg</f>
        <v>2.4326808394906876</v>
      </c>
      <c r="AT1470" s="22">
        <f>'Activity data'!BM54*ManureNEF*NtoN2O*kgtoGg</f>
        <v>2.4272819379438721</v>
      </c>
      <c r="AU1470" s="22">
        <f>'Activity data'!BN54*ManureNEF*NtoN2O*kgtoGg</f>
        <v>2.4191873247929188</v>
      </c>
      <c r="AV1470" s="22">
        <f>'Activity data'!BO54*ManureNEF*NtoN2O*kgtoGg</f>
        <v>2.4108035010851898</v>
      </c>
      <c r="AW1470" s="22">
        <f>'Activity data'!BP54*ManureNEF*NtoN2O*kgtoGg</f>
        <v>2.4011273134389794</v>
      </c>
    </row>
    <row r="1471" spans="1:49" x14ac:dyDescent="0.2">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0.35516571939691516</v>
      </c>
      <c r="M1471" s="22">
        <f>'Activity data'!AF55*ManureNEF*NtoN2O*kgtoGg</f>
        <v>0.36891582276573964</v>
      </c>
      <c r="N1471" s="22">
        <f>'Activity data'!AG55*ManureNEF*NtoN2O*kgtoGg</f>
        <v>0.37917034791782095</v>
      </c>
      <c r="O1471" s="22">
        <f>'Activity data'!AH55*ManureNEF*NtoN2O*kgtoGg</f>
        <v>0.38707850955818868</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0.37652794837094722</v>
      </c>
      <c r="T1471" s="22">
        <f>'Activity data'!AM55*ManureNEF*NtoN2O*kgtoGg</f>
        <v>0.39297526852441034</v>
      </c>
      <c r="U1471" s="22">
        <f>'Activity data'!AN55*ManureNEF*NtoN2O*kgtoGg</f>
        <v>0.40635032563114942</v>
      </c>
      <c r="V1471" s="22">
        <f>'Activity data'!AO55*ManureNEF*NtoN2O*kgtoGg</f>
        <v>0.41906397887076929</v>
      </c>
      <c r="W1471" s="22">
        <f>'Activity data'!AP55*ManureNEF*NtoN2O*kgtoGg</f>
        <v>0.4334881601814114</v>
      </c>
      <c r="X1471" s="22">
        <f>'Activity data'!AQ55*ManureNEF*NtoN2O*kgtoGg</f>
        <v>0.44733744019305588</v>
      </c>
      <c r="Y1471" s="22">
        <f>'Activity data'!AR55*ManureNEF*NtoN2O*kgtoGg</f>
        <v>0.46006881076150558</v>
      </c>
      <c r="Z1471" s="22">
        <f>'Activity data'!AS55*ManureNEF*NtoN2O*kgtoGg</f>
        <v>0.47246549989332448</v>
      </c>
      <c r="AA1471" s="22">
        <f>'Activity data'!AT55*ManureNEF*NtoN2O*kgtoGg</f>
        <v>0.4842972828341911</v>
      </c>
      <c r="AB1471" s="22">
        <f>'Activity data'!AU55*ManureNEF*NtoN2O*kgtoGg</f>
        <v>0.49893915197034427</v>
      </c>
      <c r="AC1471" s="22">
        <f>'Activity data'!AV55*ManureNEF*NtoN2O*kgtoGg</f>
        <v>0.51350643977275245</v>
      </c>
      <c r="AD1471" s="22">
        <f>'Activity data'!AW55*ManureNEF*NtoN2O*kgtoGg</f>
        <v>0.53072839151044782</v>
      </c>
      <c r="AE1471" s="22">
        <f>'Activity data'!AX55*ManureNEF*NtoN2O*kgtoGg</f>
        <v>0.55094843194330412</v>
      </c>
      <c r="AF1471" s="22">
        <f>'Activity data'!AY55*ManureNEF*NtoN2O*kgtoGg</f>
        <v>0.57283458620168215</v>
      </c>
      <c r="AG1471" s="22">
        <f>'Activity data'!AZ55*ManureNEF*NtoN2O*kgtoGg</f>
        <v>0.59810752351139296</v>
      </c>
      <c r="AH1471" s="22">
        <f>'Activity data'!BA55*ManureNEF*NtoN2O*kgtoGg</f>
        <v>0.61918227343437504</v>
      </c>
      <c r="AI1471" s="22">
        <f>'Activity data'!BB55*ManureNEF*NtoN2O*kgtoGg</f>
        <v>0.63993352160681027</v>
      </c>
      <c r="AJ1471" s="22">
        <f>'Activity data'!BC55*ManureNEF*NtoN2O*kgtoGg</f>
        <v>0.66259501614961847</v>
      </c>
      <c r="AK1471" s="22">
        <f>'Activity data'!BD55*ManureNEF*NtoN2O*kgtoGg</f>
        <v>0.68496632766069843</v>
      </c>
      <c r="AL1471" s="22">
        <f>'Activity data'!BE55*ManureNEF*NtoN2O*kgtoGg</f>
        <v>0.70858354272657831</v>
      </c>
      <c r="AM1471" s="22">
        <f>'Activity data'!BF55*ManureNEF*NtoN2O*kgtoGg</f>
        <v>0.73267251576118442</v>
      </c>
      <c r="AN1471" s="22">
        <f>'Activity data'!BG55*ManureNEF*NtoN2O*kgtoGg</f>
        <v>0.75875206021259933</v>
      </c>
      <c r="AO1471" s="22">
        <f>'Activity data'!BH55*ManureNEF*NtoN2O*kgtoGg</f>
        <v>0.78430196742523084</v>
      </c>
      <c r="AP1471" s="22">
        <f>'Activity data'!BI55*ManureNEF*NtoN2O*kgtoGg</f>
        <v>0.81053600981631879</v>
      </c>
      <c r="AQ1471" s="22">
        <f>'Activity data'!BJ55*ManureNEF*NtoN2O*kgtoGg</f>
        <v>0.83778993006127533</v>
      </c>
      <c r="AR1471" s="22">
        <f>'Activity data'!BK55*ManureNEF*NtoN2O*kgtoGg</f>
        <v>0.86620935276117805</v>
      </c>
      <c r="AS1471" s="22">
        <f>'Activity data'!BL55*ManureNEF*NtoN2O*kgtoGg</f>
        <v>0.89826083748814867</v>
      </c>
      <c r="AT1471" s="22">
        <f>'Activity data'!BM55*ManureNEF*NtoN2O*kgtoGg</f>
        <v>0.9222529178926514</v>
      </c>
      <c r="AU1471" s="22">
        <f>'Activity data'!BN55*ManureNEF*NtoN2O*kgtoGg</f>
        <v>0.94598858331962243</v>
      </c>
      <c r="AV1471" s="22">
        <f>'Activity data'!BO55*ManureNEF*NtoN2O*kgtoGg</f>
        <v>0.9703863283837505</v>
      </c>
      <c r="AW1471" s="22">
        <f>'Activity data'!BP55*ManureNEF*NtoN2O*kgtoGg</f>
        <v>0.99506234412260963</v>
      </c>
    </row>
    <row r="1472" spans="1:49" x14ac:dyDescent="0.2">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5.9536061137450337E-2</v>
      </c>
      <c r="T1472" s="22">
        <f>'Activity data'!AM56*ManureNEF*NtoN2O*kgtoGg</f>
        <v>5.9626729725854671E-2</v>
      </c>
      <c r="U1472" s="22">
        <f>'Activity data'!AN56*ManureNEF*NtoN2O*kgtoGg</f>
        <v>5.9729206929355502E-2</v>
      </c>
      <c r="V1472" s="22">
        <f>'Activity data'!AO56*ManureNEF*NtoN2O*kgtoGg</f>
        <v>5.9844810274995809E-2</v>
      </c>
      <c r="W1472" s="22">
        <f>'Activity data'!AP56*ManureNEF*NtoN2O*kgtoGg</f>
        <v>5.9974855541164628E-2</v>
      </c>
      <c r="X1472" s="22">
        <f>'Activity data'!AQ56*ManureNEF*NtoN2O*kgtoGg</f>
        <v>6.0116631008549089E-2</v>
      </c>
      <c r="Y1472" s="22">
        <f>'Activity data'!AR56*ManureNEF*NtoN2O*kgtoGg</f>
        <v>6.0202857685321479E-2</v>
      </c>
      <c r="Z1472" s="22">
        <f>'Activity data'!AS56*ManureNEF*NtoN2O*kgtoGg</f>
        <v>6.0299167924469661E-2</v>
      </c>
      <c r="AA1472" s="22">
        <f>'Activity data'!AT56*ManureNEF*NtoN2O*kgtoGg</f>
        <v>6.0404855231945616E-2</v>
      </c>
      <c r="AB1472" s="22">
        <f>'Activity data'!AU56*ManureNEF*NtoN2O*kgtoGg</f>
        <v>6.052231244286084E-2</v>
      </c>
      <c r="AC1472" s="22">
        <f>'Activity data'!AV56*ManureNEF*NtoN2O*kgtoGg</f>
        <v>6.064865362872638E-2</v>
      </c>
      <c r="AD1472" s="22">
        <f>'Activity data'!AW56*ManureNEF*NtoN2O*kgtoGg</f>
        <v>6.0731208862415634E-2</v>
      </c>
      <c r="AE1472" s="22">
        <f>'Activity data'!AX56*ManureNEF*NtoN2O*kgtoGg</f>
        <v>6.0823877481192126E-2</v>
      </c>
      <c r="AF1472" s="22">
        <f>'Activity data'!AY56*ManureNEF*NtoN2O*kgtoGg</f>
        <v>6.0925179087084252E-2</v>
      </c>
      <c r="AG1472" s="22">
        <f>'Activity data'!AZ56*ManureNEF*NtoN2O*kgtoGg</f>
        <v>6.1036165719670403E-2</v>
      </c>
      <c r="AH1472" s="22">
        <f>'Activity data'!BA56*ManureNEF*NtoN2O*kgtoGg</f>
        <v>6.1150437256879263E-2</v>
      </c>
      <c r="AI1472" s="22">
        <f>'Activity data'!BB56*ManureNEF*NtoN2O*kgtoGg</f>
        <v>6.1220471443741167E-2</v>
      </c>
      <c r="AJ1472" s="22">
        <f>'Activity data'!BC56*ManureNEF*NtoN2O*kgtoGg</f>
        <v>6.1297838147090833E-2</v>
      </c>
      <c r="AK1472" s="22">
        <f>'Activity data'!BD56*ManureNEF*NtoN2O*kgtoGg</f>
        <v>6.1380565224491167E-2</v>
      </c>
      <c r="AL1472" s="22">
        <f>'Activity data'!BE56*ManureNEF*NtoN2O*kgtoGg</f>
        <v>6.1469636895764942E-2</v>
      </c>
      <c r="AM1472" s="22">
        <f>'Activity data'!BF56*ManureNEF*NtoN2O*kgtoGg</f>
        <v>6.1564248264751806E-2</v>
      </c>
      <c r="AN1472" s="22">
        <f>'Activity data'!BG56*ManureNEF*NtoN2O*kgtoGg</f>
        <v>6.1619115142281453E-2</v>
      </c>
      <c r="AO1472" s="22">
        <f>'Activity data'!BH56*ManureNEF*NtoN2O*kgtoGg</f>
        <v>6.1678131563041472E-2</v>
      </c>
      <c r="AP1472" s="22">
        <f>'Activity data'!BI56*ManureNEF*NtoN2O*kgtoGg</f>
        <v>6.1742051762293963E-2</v>
      </c>
      <c r="AQ1472" s="22">
        <f>'Activity data'!BJ56*ManureNEF*NtoN2O*kgtoGg</f>
        <v>6.1810963980968171E-2</v>
      </c>
      <c r="AR1472" s="22">
        <f>'Activity data'!BK56*ManureNEF*NtoN2O*kgtoGg</f>
        <v>6.1884820045811577E-2</v>
      </c>
      <c r="AS1472" s="22">
        <f>'Activity data'!BL56*ManureNEF*NtoN2O*kgtoGg</f>
        <v>6.1917844796297146E-2</v>
      </c>
      <c r="AT1472" s="22">
        <f>'Activity data'!BM56*ManureNEF*NtoN2O*kgtoGg</f>
        <v>6.1948582957053369E-2</v>
      </c>
      <c r="AU1472" s="22">
        <f>'Activity data'!BN56*ManureNEF*NtoN2O*kgtoGg</f>
        <v>6.1982659332367518E-2</v>
      </c>
      <c r="AV1472" s="22">
        <f>'Activity data'!BO56*ManureNEF*NtoN2O*kgtoGg</f>
        <v>6.2020620133408491E-2</v>
      </c>
      <c r="AW1472" s="22">
        <f>'Activity data'!BP56*ManureNEF*NtoN2O*kgtoGg</f>
        <v>6.2062074580344864E-2</v>
      </c>
    </row>
    <row r="1473" spans="1:49" x14ac:dyDescent="0.2">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4.8454260958953527E-2</v>
      </c>
      <c r="T1473" s="22">
        <f>'Activity data'!AM57*ManureNEF*NtoN2O*kgtoGg</f>
        <v>4.8528052865226608E-2</v>
      </c>
      <c r="U1473" s="22">
        <f>'Activity data'!AN57*ManureNEF*NtoN2O*kgtoGg</f>
        <v>4.8611455379029278E-2</v>
      </c>
      <c r="V1473" s="22">
        <f>'Activity data'!AO57*ManureNEF*NtoN2O*kgtoGg</f>
        <v>4.8705540788281515E-2</v>
      </c>
      <c r="W1473" s="22">
        <f>'Activity data'!AP57*ManureNEF*NtoN2O*kgtoGg</f>
        <v>4.8811379957736697E-2</v>
      </c>
      <c r="X1473" s="22">
        <f>'Activity data'!AQ57*ManureNEF*NtoN2O*kgtoGg</f>
        <v>4.8926765916481318E-2</v>
      </c>
      <c r="Y1473" s="22">
        <f>'Activity data'!AR57*ManureNEF*NtoN2O*kgtoGg</f>
        <v>4.8996942710480308E-2</v>
      </c>
      <c r="Z1473" s="22">
        <f>'Activity data'!AS57*ManureNEF*NtoN2O*kgtoGg</f>
        <v>4.9075326153582635E-2</v>
      </c>
      <c r="AA1473" s="22">
        <f>'Activity data'!AT57*ManureNEF*NtoN2O*kgtoGg</f>
        <v>4.9161341255667866E-2</v>
      </c>
      <c r="AB1473" s="22">
        <f>'Activity data'!AU57*ManureNEF*NtoN2O*kgtoGg</f>
        <v>4.9256935459255795E-2</v>
      </c>
      <c r="AC1473" s="22">
        <f>'Activity data'!AV57*ManureNEF*NtoN2O*kgtoGg</f>
        <v>4.9359760010844099E-2</v>
      </c>
      <c r="AD1473" s="22">
        <f>'Activity data'!AW57*ManureNEF*NtoN2O*kgtoGg</f>
        <v>4.9426948749236969E-2</v>
      </c>
      <c r="AE1473" s="22">
        <f>'Activity data'!AX57*ManureNEF*NtoN2O*kgtoGg</f>
        <v>4.9502368408366512E-2</v>
      </c>
      <c r="AF1473" s="22">
        <f>'Activity data'!AY57*ManureNEF*NtoN2O*kgtoGg</f>
        <v>4.9584814145516069E-2</v>
      </c>
      <c r="AG1473" s="22">
        <f>'Activity data'!AZ57*ManureNEF*NtoN2O*kgtoGg</f>
        <v>4.967514217789748E-2</v>
      </c>
      <c r="AH1473" s="22">
        <f>'Activity data'!BA57*ManureNEF*NtoN2O*kgtoGg</f>
        <v>4.9768143676120806E-2</v>
      </c>
      <c r="AI1473" s="22">
        <f>'Activity data'!BB57*ManureNEF*NtoN2O*kgtoGg</f>
        <v>4.9825141984396873E-2</v>
      </c>
      <c r="AJ1473" s="22">
        <f>'Activity data'!BC57*ManureNEF*NtoN2O*kgtoGg</f>
        <v>4.9888107964376358E-2</v>
      </c>
      <c r="AK1473" s="22">
        <f>'Activity data'!BD57*ManureNEF*NtoN2O*kgtoGg</f>
        <v>4.9955436560191149E-2</v>
      </c>
      <c r="AL1473" s="22">
        <f>'Activity data'!BE57*ManureNEF*NtoN2O*kgtoGg</f>
        <v>5.0027928792990776E-2</v>
      </c>
      <c r="AM1473" s="22">
        <f>'Activity data'!BF57*ManureNEF*NtoN2O*kgtoGg</f>
        <v>5.0104929586711242E-2</v>
      </c>
      <c r="AN1473" s="22">
        <f>'Activity data'!BG57*ManureNEF*NtoN2O*kgtoGg</f>
        <v>5.0149583766901075E-2</v>
      </c>
      <c r="AO1473" s="22">
        <f>'Activity data'!BH57*ManureNEF*NtoN2O*kgtoGg</f>
        <v>5.0197615111228118E-2</v>
      </c>
      <c r="AP1473" s="22">
        <f>'Activity data'!BI57*ManureNEF*NtoN2O*kgtoGg</f>
        <v>5.0249637464671662E-2</v>
      </c>
      <c r="AQ1473" s="22">
        <f>'Activity data'!BJ57*ManureNEF*NtoN2O*kgtoGg</f>
        <v>5.0305722643353402E-2</v>
      </c>
      <c r="AR1473" s="22">
        <f>'Activity data'!BK57*ManureNEF*NtoN2O*kgtoGg</f>
        <v>5.0365831440794026E-2</v>
      </c>
      <c r="AS1473" s="22">
        <f>'Activity data'!BL57*ManureNEF*NtoN2O*kgtoGg</f>
        <v>5.0392709098596028E-2</v>
      </c>
      <c r="AT1473" s="22">
        <f>'Activity data'!BM57*ManureNEF*NtoN2O*kgtoGg</f>
        <v>5.0417725783177193E-2</v>
      </c>
      <c r="AU1473" s="22">
        <f>'Activity data'!BN57*ManureNEF*NtoN2O*kgtoGg</f>
        <v>5.0445459320641074E-2</v>
      </c>
      <c r="AV1473" s="22">
        <f>'Activity data'!BO57*ManureNEF*NtoN2O*kgtoGg</f>
        <v>5.0476354252632014E-2</v>
      </c>
      <c r="AW1473" s="22">
        <f>'Activity data'!BP57*ManureNEF*NtoN2O*kgtoGg</f>
        <v>5.0510092537486409E-2</v>
      </c>
    </row>
    <row r="1474" spans="1:49" x14ac:dyDescent="0.2">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7.2140927380493743E-3</v>
      </c>
      <c r="L1474" s="22">
        <f>'Activity data'!AE58*ManureNEF*NtoN2O*kgtoGg</f>
        <v>7.2328458969643655E-3</v>
      </c>
      <c r="M1474" s="22">
        <f>'Activity data'!AF58*ManureNEF*NtoN2O*kgtoGg</f>
        <v>7.2587152169743185E-3</v>
      </c>
      <c r="N1474" s="22">
        <f>'Activity data'!AG58*ManureNEF*NtoN2O*kgtoGg</f>
        <v>7.2902308808567339E-3</v>
      </c>
      <c r="O1474" s="22">
        <f>'Activity data'!AH58*ManureNEF*NtoN2O*kgtoGg</f>
        <v>7.3273479389297461E-3</v>
      </c>
      <c r="P1474" s="22">
        <f>'Activity data'!AI58*ManureNEF*NtoN2O*kgtoGg</f>
        <v>7.3698404773103405E-3</v>
      </c>
      <c r="Q1474" s="22">
        <f>'Activity data'!AJ58*ManureNEF*NtoN2O*kgtoGg</f>
        <v>7.4155715935563127E-3</v>
      </c>
      <c r="R1474" s="22">
        <f>'Activity data'!AK58*ManureNEF*NtoN2O*kgtoGg</f>
        <v>7.4643602602570466E-3</v>
      </c>
      <c r="S1474" s="22">
        <f>'Activity data'!AL58*ManureNEF*NtoN2O*kgtoGg</f>
        <v>7.5091824622274591E-3</v>
      </c>
      <c r="T1474" s="22">
        <f>'Activity data'!AM58*ManureNEF*NtoN2O*kgtoGg</f>
        <v>7.5310026575768785E-3</v>
      </c>
      <c r="U1474" s="22">
        <f>'Activity data'!AN58*ManureNEF*NtoN2O*kgtoGg</f>
        <v>7.5544556894728667E-3</v>
      </c>
      <c r="V1474" s="22">
        <f>'Activity data'!AO58*ManureNEF*NtoN2O*kgtoGg</f>
        <v>7.5798283677162839E-3</v>
      </c>
      <c r="W1474" s="22">
        <f>'Activity data'!AP58*ManureNEF*NtoN2O*kgtoGg</f>
        <v>7.6073992773568969E-3</v>
      </c>
      <c r="X1474" s="22">
        <f>'Activity data'!AQ58*ManureNEF*NtoN2O*kgtoGg</f>
        <v>7.6366778381520258E-3</v>
      </c>
      <c r="Y1474" s="22">
        <f>'Activity data'!AR58*ManureNEF*NtoN2O*kgtoGg</f>
        <v>7.6549815598218112E-3</v>
      </c>
      <c r="Z1474" s="22">
        <f>'Activity data'!AS58*ManureNEF*NtoN2O*kgtoGg</f>
        <v>7.6747813396639188E-3</v>
      </c>
      <c r="AA1474" s="22">
        <f>'Activity data'!AT58*ManureNEF*NtoN2O*kgtoGg</f>
        <v>7.695960726553556E-3</v>
      </c>
      <c r="AB1474" s="22">
        <f>'Activity data'!AU58*ManureNEF*NtoN2O*kgtoGg</f>
        <v>7.7189834484336205E-3</v>
      </c>
      <c r="AC1474" s="22">
        <f>'Activity data'!AV58*ManureNEF*NtoN2O*kgtoGg</f>
        <v>7.7433191534407569E-3</v>
      </c>
      <c r="AD1474" s="22">
        <f>'Activity data'!AW58*ManureNEF*NtoN2O*kgtoGg</f>
        <v>7.7591399700901245E-3</v>
      </c>
      <c r="AE1474" s="22">
        <f>'Activity data'!AX58*ManureNEF*NtoN2O*kgtoGg</f>
        <v>7.7765645193301983E-3</v>
      </c>
      <c r="AF1474" s="22">
        <f>'Activity data'!AY58*ManureNEF*NtoN2O*kgtoGg</f>
        <v>7.7953233528318755E-3</v>
      </c>
      <c r="AG1474" s="22">
        <f>'Activity data'!AZ58*ManureNEF*NtoN2O*kgtoGg</f>
        <v>7.8156183452166659E-3</v>
      </c>
      <c r="AH1474" s="22">
        <f>'Activity data'!BA58*ManureNEF*NtoN2O*kgtoGg</f>
        <v>7.8362676853213336E-3</v>
      </c>
      <c r="AI1474" s="22">
        <f>'Activity data'!BB58*ManureNEF*NtoN2O*kgtoGg</f>
        <v>7.8484908167339423E-3</v>
      </c>
      <c r="AJ1474" s="22">
        <f>'Activity data'!BC58*ManureNEF*NtoN2O*kgtoGg</f>
        <v>7.8618680880810435E-3</v>
      </c>
      <c r="AK1474" s="22">
        <f>'Activity data'!BD58*ManureNEF*NtoN2O*kgtoGg</f>
        <v>7.8760394561635683E-3</v>
      </c>
      <c r="AL1474" s="22">
        <f>'Activity data'!BE58*ManureNEF*NtoN2O*kgtoGg</f>
        <v>7.8911907673676705E-3</v>
      </c>
      <c r="AM1474" s="22">
        <f>'Activity data'!BF58*ManureNEF*NtoN2O*kgtoGg</f>
        <v>7.9071774267792192E-3</v>
      </c>
      <c r="AN1474" s="22">
        <f>'Activity data'!BG58*ManureNEF*NtoN2O*kgtoGg</f>
        <v>7.9157019513346714E-3</v>
      </c>
      <c r="AO1474" s="22">
        <f>'Activity data'!BH58*ManureNEF*NtoN2O*kgtoGg</f>
        <v>7.9248428379220318E-3</v>
      </c>
      <c r="AP1474" s="22">
        <f>'Activity data'!BI58*ManureNEF*NtoN2O*kgtoGg</f>
        <v>7.9347410994360257E-3</v>
      </c>
      <c r="AQ1474" s="22">
        <f>'Activity data'!BJ58*ManureNEF*NtoN2O*kgtoGg</f>
        <v>7.9454149669416808E-3</v>
      </c>
      <c r="AR1474" s="22">
        <f>'Activity data'!BK58*ManureNEF*NtoN2O*kgtoGg</f>
        <v>7.9568573935750887E-3</v>
      </c>
      <c r="AS1474" s="22">
        <f>'Activity data'!BL58*ManureNEF*NtoN2O*kgtoGg</f>
        <v>7.9607498372215833E-3</v>
      </c>
      <c r="AT1474" s="22">
        <f>'Activity data'!BM58*ManureNEF*NtoN2O*kgtoGg</f>
        <v>7.9641286536339551E-3</v>
      </c>
      <c r="AU1474" s="22">
        <f>'Activity data'!BN58*ManureNEF*NtoN2O*kgtoGg</f>
        <v>7.9680196395720947E-3</v>
      </c>
      <c r="AV1474" s="22">
        <f>'Activity data'!BO58*ManureNEF*NtoN2O*kgtoGg</f>
        <v>7.9725231105734155E-3</v>
      </c>
      <c r="AW1474" s="22">
        <f>'Activity data'!BP58*ManureNEF*NtoN2O*kgtoGg</f>
        <v>7.9775693338345506E-3</v>
      </c>
    </row>
    <row r="1475" spans="1:49" x14ac:dyDescent="0.2">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8.7045671471293523E-2</v>
      </c>
      <c r="L1475" s="22">
        <f>'Activity data'!AE59*ManureNEF*NtoN2O*kgtoGg</f>
        <v>8.7271948200639354E-2</v>
      </c>
      <c r="M1475" s="22">
        <f>'Activity data'!AF59*ManureNEF*NtoN2O*kgtoGg</f>
        <v>8.7584088952434122E-2</v>
      </c>
      <c r="N1475" s="22">
        <f>'Activity data'!AG59*ManureNEF*NtoN2O*kgtoGg</f>
        <v>8.7964358824768801E-2</v>
      </c>
      <c r="O1475" s="22">
        <f>'Activity data'!AH59*ManureNEF*NtoN2O*kgtoGg</f>
        <v>8.8412215452112072E-2</v>
      </c>
      <c r="P1475" s="22">
        <f>'Activity data'!AI59*ManureNEF*NtoN2O*kgtoGg</f>
        <v>8.8924932944132923E-2</v>
      </c>
      <c r="Q1475" s="22">
        <f>'Activity data'!AJ59*ManureNEF*NtoN2O*kgtoGg</f>
        <v>8.9476727309038565E-2</v>
      </c>
      <c r="R1475" s="22">
        <f>'Activity data'!AK59*ManureNEF*NtoN2O*kgtoGg</f>
        <v>9.0065414259340087E-2</v>
      </c>
      <c r="S1475" s="22">
        <f>'Activity data'!AL59*ManureNEF*NtoN2O*kgtoGg</f>
        <v>9.0606241610610233E-2</v>
      </c>
      <c r="T1475" s="22">
        <f>'Activity data'!AM59*ManureNEF*NtoN2O*kgtoGg</f>
        <v>9.0869525383745986E-2</v>
      </c>
      <c r="U1475" s="22">
        <f>'Activity data'!AN59*ManureNEF*NtoN2O*kgtoGg</f>
        <v>9.1152511059637925E-2</v>
      </c>
      <c r="V1475" s="22">
        <f>'Activity data'!AO59*ManureNEF*NtoN2O*kgtoGg</f>
        <v>9.14586593023788E-2</v>
      </c>
      <c r="W1475" s="22">
        <f>'Activity data'!AP59*ManureNEF*NtoN2O*kgtoGg</f>
        <v>9.1791331535726078E-2</v>
      </c>
      <c r="X1475" s="22">
        <f>'Activity data'!AQ59*ManureNEF*NtoN2O*kgtoGg</f>
        <v>9.2144608389332791E-2</v>
      </c>
      <c r="Y1475" s="22">
        <f>'Activity data'!AR59*ManureNEF*NtoN2O*kgtoGg</f>
        <v>9.2365462182182861E-2</v>
      </c>
      <c r="Z1475" s="22">
        <f>'Activity data'!AS59*ManureNEF*NtoN2O*kgtoGg</f>
        <v>9.2604367501801177E-2</v>
      </c>
      <c r="AA1475" s="22">
        <f>'Activity data'!AT59*ManureNEF*NtoN2O*kgtoGg</f>
        <v>9.2859919241999239E-2</v>
      </c>
      <c r="AB1475" s="22">
        <f>'Activity data'!AU59*ManureNEF*NtoN2O*kgtoGg</f>
        <v>9.3137712771680009E-2</v>
      </c>
      <c r="AC1475" s="22">
        <f>'Activity data'!AV59*ManureNEF*NtoN2O*kgtoGg</f>
        <v>9.3431348833759018E-2</v>
      </c>
      <c r="AD1475" s="22">
        <f>'Activity data'!AW59*ManureNEF*NtoN2O*kgtoGg</f>
        <v>9.3622243747156081E-2</v>
      </c>
      <c r="AE1475" s="22">
        <f>'Activity data'!AX59*ManureNEF*NtoN2O*kgtoGg</f>
        <v>9.3832489393249188E-2</v>
      </c>
      <c r="AF1475" s="22">
        <f>'Activity data'!AY59*ManureNEF*NtoN2O*kgtoGg</f>
        <v>9.4058834592495047E-2</v>
      </c>
      <c r="AG1475" s="22">
        <f>'Activity data'!AZ59*ManureNEF*NtoN2O*kgtoGg</f>
        <v>9.4303715176067421E-2</v>
      </c>
      <c r="AH1475" s="22">
        <f>'Activity data'!BA59*ManureNEF*NtoN2O*kgtoGg</f>
        <v>9.4552871340274972E-2</v>
      </c>
      <c r="AI1475" s="22">
        <f>'Activity data'!BB59*ManureNEF*NtoN2O*kgtoGg</f>
        <v>9.4700356369914307E-2</v>
      </c>
      <c r="AJ1475" s="22">
        <f>'Activity data'!BC59*ManureNEF*NtoN2O*kgtoGg</f>
        <v>9.4861767320555526E-2</v>
      </c>
      <c r="AK1475" s="22">
        <f>'Activity data'!BD59*ManureNEF*NtoN2O*kgtoGg</f>
        <v>9.5032759889573118E-2</v>
      </c>
      <c r="AL1475" s="22">
        <f>'Activity data'!BE59*ManureNEF*NtoN2O*kgtoGg</f>
        <v>9.5215576510501124E-2</v>
      </c>
      <c r="AM1475" s="22">
        <f>'Activity data'!BF59*ManureNEF*NtoN2O*kgtoGg</f>
        <v>9.5408472492517202E-2</v>
      </c>
      <c r="AN1475" s="22">
        <f>'Activity data'!BG59*ManureNEF*NtoN2O*kgtoGg</f>
        <v>9.5511329912132736E-2</v>
      </c>
      <c r="AO1475" s="22">
        <f>'Activity data'!BH59*ManureNEF*NtoN2O*kgtoGg</f>
        <v>9.5621624392635218E-2</v>
      </c>
      <c r="AP1475" s="22">
        <f>'Activity data'!BI59*ManureNEF*NtoN2O*kgtoGg</f>
        <v>9.5741057403988084E-2</v>
      </c>
      <c r="AQ1475" s="22">
        <f>'Activity data'!BJ59*ManureNEF*NtoN2O*kgtoGg</f>
        <v>9.5869848923304843E-2</v>
      </c>
      <c r="AR1475" s="22">
        <f>'Activity data'!BK59*ManureNEF*NtoN2O*kgtoGg</f>
        <v>9.6007913922706994E-2</v>
      </c>
      <c r="AS1475" s="22">
        <f>'Activity data'!BL59*ManureNEF*NtoN2O*kgtoGg</f>
        <v>9.6054880378944288E-2</v>
      </c>
      <c r="AT1475" s="22">
        <f>'Activity data'!BM59*ManureNEF*NtoN2O*kgtoGg</f>
        <v>9.6095649378466819E-2</v>
      </c>
      <c r="AU1475" s="22">
        <f>'Activity data'!BN59*ManureNEF*NtoN2O*kgtoGg</f>
        <v>9.6142598245908498E-2</v>
      </c>
      <c r="AV1475" s="22">
        <f>'Activity data'!BO59*ManureNEF*NtoN2O*kgtoGg</f>
        <v>9.6196937394502191E-2</v>
      </c>
      <c r="AW1475" s="22">
        <f>'Activity data'!BP59*ManureNEF*NtoN2O*kgtoGg</f>
        <v>9.6257825424100524E-2</v>
      </c>
    </row>
    <row r="1476" spans="1:49" x14ac:dyDescent="0.2">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2">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2">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0.12395129293471778</v>
      </c>
      <c r="M1478" s="22">
        <f>'Activity data'!AF62*ManureNEF*NtoN2O*kgtoGg</f>
        <v>0.12400689511310996</v>
      </c>
      <c r="N1478" s="22">
        <f>'Activity data'!AG62*ManureNEF*NtoN2O*kgtoGg</f>
        <v>0.12286841678965586</v>
      </c>
      <c r="O1478" s="22">
        <f>'Activity data'!AH62*ManureNEF*NtoN2O*kgtoGg</f>
        <v>0.12100901910045005</v>
      </c>
      <c r="P1478" s="22">
        <f>'Activity data'!AI62*ManureNEF*NtoN2O*kgtoGg</f>
        <v>0.11845842648899832</v>
      </c>
      <c r="Q1478" s="22">
        <f>'Activity data'!AJ62*ManureNEF*NtoN2O*kgtoGg</f>
        <v>0.11660641339960408</v>
      </c>
      <c r="R1478" s="22">
        <f>'Activity data'!AK62*ManureNEF*NtoN2O*kgtoGg</f>
        <v>0.11491827863139022</v>
      </c>
      <c r="S1478" s="22">
        <f>'Activity data'!AL62*ManureNEF*NtoN2O*kgtoGg</f>
        <v>0.10239148734853588</v>
      </c>
      <c r="T1478" s="22">
        <f>'Activity data'!AM62*ManureNEF*NtoN2O*kgtoGg</f>
        <v>0.10399015001119098</v>
      </c>
      <c r="U1478" s="22">
        <f>'Activity data'!AN62*ManureNEF*NtoN2O*kgtoGg</f>
        <v>0.10466911672478917</v>
      </c>
      <c r="V1478" s="22">
        <f>'Activity data'!AO62*ManureNEF*NtoN2O*kgtoGg</f>
        <v>0.10511626718572097</v>
      </c>
      <c r="W1478" s="22">
        <f>'Activity data'!AP62*ManureNEF*NtoN2O*kgtoGg</f>
        <v>0.10594424528482288</v>
      </c>
      <c r="X1478" s="22">
        <f>'Activity data'!AQ62*ManureNEF*NtoN2O*kgtoGg</f>
        <v>0.10656092894002199</v>
      </c>
      <c r="Y1478" s="22">
        <f>'Activity data'!AR62*ManureNEF*NtoN2O*kgtoGg</f>
        <v>0.10688440239408244</v>
      </c>
      <c r="Z1478" s="22">
        <f>'Activity data'!AS62*ManureNEF*NtoN2O*kgtoGg</f>
        <v>0.10708259276512562</v>
      </c>
      <c r="AA1478" s="22">
        <f>'Activity data'!AT62*ManureNEF*NtoN2O*kgtoGg</f>
        <v>0.10710947754337903</v>
      </c>
      <c r="AB1478" s="22">
        <f>'Activity data'!AU62*ManureNEF*NtoN2O*kgtoGg</f>
        <v>0.1077314601885206</v>
      </c>
      <c r="AC1478" s="22">
        <f>'Activity data'!AV62*ManureNEF*NtoN2O*kgtoGg</f>
        <v>0.10827475819020069</v>
      </c>
      <c r="AD1478" s="22">
        <f>'Activity data'!AW62*ManureNEF*NtoN2O*kgtoGg</f>
        <v>0.1090564650607147</v>
      </c>
      <c r="AE1478" s="22">
        <f>'Activity data'!AX62*ManureNEF*NtoN2O*kgtoGg</f>
        <v>0.11037691569913123</v>
      </c>
      <c r="AF1478" s="22">
        <f>'Activity data'!AY62*ManureNEF*NtoN2O*kgtoGg</f>
        <v>0.11192323685515045</v>
      </c>
      <c r="AG1478" s="22">
        <f>'Activity data'!AZ62*ManureNEF*NtoN2O*kgtoGg</f>
        <v>0.1140168304907534</v>
      </c>
      <c r="AH1478" s="22">
        <f>'Activity data'!BA62*ManureNEF*NtoN2O*kgtoGg</f>
        <v>0.11514704328773583</v>
      </c>
      <c r="AI1478" s="22">
        <f>'Activity data'!BB62*ManureNEF*NtoN2O*kgtoGg</f>
        <v>0.11613416972234052</v>
      </c>
      <c r="AJ1478" s="22">
        <f>'Activity data'!BC62*ManureNEF*NtoN2O*kgtoGg</f>
        <v>0.1173747047819844</v>
      </c>
      <c r="AK1478" s="22">
        <f>'Activity data'!BD62*ManureNEF*NtoN2O*kgtoGg</f>
        <v>0.11845175629546961</v>
      </c>
      <c r="AL1478" s="22">
        <f>'Activity data'!BE62*ManureNEF*NtoN2O*kgtoGg</f>
        <v>0.11964350265273288</v>
      </c>
      <c r="AM1478" s="22">
        <f>'Activity data'!BF62*ManureNEF*NtoN2O*kgtoGg</f>
        <v>0.12080595767564568</v>
      </c>
      <c r="AN1478" s="22">
        <f>'Activity data'!BG62*ManureNEF*NtoN2O*kgtoGg</f>
        <v>0.12237101221025357</v>
      </c>
      <c r="AO1478" s="22">
        <f>'Activity data'!BH62*ManureNEF*NtoN2O*kgtoGg</f>
        <v>0.12373005325826542</v>
      </c>
      <c r="AP1478" s="22">
        <f>'Activity data'!BI62*ManureNEF*NtoN2O*kgtoGg</f>
        <v>0.12508788651498504</v>
      </c>
      <c r="AQ1478" s="22">
        <f>'Activity data'!BJ62*ManureNEF*NtoN2O*kgtoGg</f>
        <v>0.12649394429591121</v>
      </c>
      <c r="AR1478" s="22">
        <f>'Activity data'!BK62*ManureNEF*NtoN2O*kgtoGg</f>
        <v>0.12796403206190518</v>
      </c>
      <c r="AS1478" s="22">
        <f>'Activity data'!BL62*ManureNEF*NtoN2O*kgtoGg</f>
        <v>0.12987984628529636</v>
      </c>
      <c r="AT1478" s="22">
        <f>'Activity data'!BM62*ManureNEF*NtoN2O*kgtoGg</f>
        <v>0.13047315773125404</v>
      </c>
      <c r="AU1478" s="22">
        <f>'Activity data'!BN62*ManureNEF*NtoN2O*kgtoGg</f>
        <v>0.13094704432863591</v>
      </c>
      <c r="AV1478" s="22">
        <f>'Activity data'!BO62*ManureNEF*NtoN2O*kgtoGg</f>
        <v>0.13143575870732388</v>
      </c>
      <c r="AW1478" s="22">
        <f>'Activity data'!BP62*ManureNEF*NtoN2O*kgtoGg</f>
        <v>0.13188303608420418</v>
      </c>
    </row>
    <row r="1479" spans="1:49" x14ac:dyDescent="0.2">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3.1446916354757506E-2</v>
      </c>
      <c r="M1479" s="22">
        <f>'Activity data'!AF63*ManureNEF*NtoN2O*kgtoGg</f>
        <v>3.1461022839745632E-2</v>
      </c>
      <c r="N1479" s="22">
        <f>'Activity data'!AG63*ManureNEF*NtoN2O*kgtoGg</f>
        <v>3.1172186541537576E-2</v>
      </c>
      <c r="O1479" s="22">
        <f>'Activity data'!AH63*ManureNEF*NtoN2O*kgtoGg</f>
        <v>3.0700450247237842E-2</v>
      </c>
      <c r="P1479" s="22">
        <f>'Activity data'!AI63*ManureNEF*NtoN2O*kgtoGg</f>
        <v>3.0053355161673644E-2</v>
      </c>
      <c r="Q1479" s="22">
        <f>'Activity data'!AJ63*ManureNEF*NtoN2O*kgtoGg</f>
        <v>2.9583492368545926E-2</v>
      </c>
      <c r="R1479" s="22">
        <f>'Activity data'!AK63*ManureNEF*NtoN2O*kgtoGg</f>
        <v>2.9155206131309681E-2</v>
      </c>
      <c r="S1479" s="22">
        <f>'Activity data'!AL63*ManureNEF*NtoN2O*kgtoGg</f>
        <v>2.5977111346345238E-2</v>
      </c>
      <c r="T1479" s="22">
        <f>'Activity data'!AM63*ManureNEF*NtoN2O*kgtoGg</f>
        <v>2.6382698168730914E-2</v>
      </c>
      <c r="U1479" s="22">
        <f>'Activity data'!AN63*ManureNEF*NtoN2O*kgtoGg</f>
        <v>2.6554954616765158E-2</v>
      </c>
      <c r="V1479" s="22">
        <f>'Activity data'!AO63*ManureNEF*NtoN2O*kgtoGg</f>
        <v>2.6668398396252971E-2</v>
      </c>
      <c r="W1479" s="22">
        <f>'Activity data'!AP63*ManureNEF*NtoN2O*kgtoGg</f>
        <v>2.6878459601824591E-2</v>
      </c>
      <c r="X1479" s="22">
        <f>'Activity data'!AQ63*ManureNEF*NtoN2O*kgtoGg</f>
        <v>2.7034914600100463E-2</v>
      </c>
      <c r="Y1479" s="22">
        <f>'Activity data'!AR63*ManureNEF*NtoN2O*kgtoGg</f>
        <v>2.7116981050655197E-2</v>
      </c>
      <c r="Z1479" s="22">
        <f>'Activity data'!AS63*ManureNEF*NtoN2O*kgtoGg</f>
        <v>2.7167262704625481E-2</v>
      </c>
      <c r="AA1479" s="22">
        <f>'Activity data'!AT63*ManureNEF*NtoN2O*kgtoGg</f>
        <v>2.7174083475534235E-2</v>
      </c>
      <c r="AB1479" s="22">
        <f>'Activity data'!AU63*ManureNEF*NtoN2O*kgtoGg</f>
        <v>2.7331882847793948E-2</v>
      </c>
      <c r="AC1479" s="22">
        <f>'Activity data'!AV63*ManureNEF*NtoN2O*kgtoGg</f>
        <v>2.7469719625531634E-2</v>
      </c>
      <c r="AD1479" s="22">
        <f>'Activity data'!AW63*ManureNEF*NtoN2O*kgtoGg</f>
        <v>2.7668041643712917E-2</v>
      </c>
      <c r="AE1479" s="22">
        <f>'Activity data'!AX63*ManureNEF*NtoN2O*kgtoGg</f>
        <v>2.8003045013131105E-2</v>
      </c>
      <c r="AF1479" s="22">
        <f>'Activity data'!AY63*ManureNEF*NtoN2O*kgtoGg</f>
        <v>2.8395352595404884E-2</v>
      </c>
      <c r="AG1479" s="22">
        <f>'Activity data'!AZ63*ManureNEF*NtoN2O*kgtoGg</f>
        <v>2.8926505295637978E-2</v>
      </c>
      <c r="AH1479" s="22">
        <f>'Activity data'!BA63*ManureNEF*NtoN2O*kgtoGg</f>
        <v>2.9213244598216302E-2</v>
      </c>
      <c r="AI1479" s="22">
        <f>'Activity data'!BB63*ManureNEF*NtoN2O*kgtoGg</f>
        <v>2.9463682344250404E-2</v>
      </c>
      <c r="AJ1479" s="22">
        <f>'Activity data'!BC63*ManureNEF*NtoN2O*kgtoGg</f>
        <v>2.9778410826157509E-2</v>
      </c>
      <c r="AK1479" s="22">
        <f>'Activity data'!BD63*ManureNEF*NtoN2O*kgtoGg</f>
        <v>3.0051662908103689E-2</v>
      </c>
      <c r="AL1479" s="22">
        <f>'Activity data'!BE63*ManureNEF*NtoN2O*kgtoGg</f>
        <v>3.0354013509905672E-2</v>
      </c>
      <c r="AM1479" s="22">
        <f>'Activity data'!BF63*ManureNEF*NtoN2O*kgtoGg</f>
        <v>3.0648932788327074E-2</v>
      </c>
      <c r="AN1479" s="22">
        <f>'Activity data'!BG63*ManureNEF*NtoN2O*kgtoGg</f>
        <v>3.1045993100286617E-2</v>
      </c>
      <c r="AO1479" s="22">
        <f>'Activity data'!BH63*ManureNEF*NtoN2O*kgtoGg</f>
        <v>3.1390787003985711E-2</v>
      </c>
      <c r="AP1479" s="22">
        <f>'Activity data'!BI63*ManureNEF*NtoN2O*kgtoGg</f>
        <v>3.1735274486421723E-2</v>
      </c>
      <c r="AQ1479" s="22">
        <f>'Activity data'!BJ63*ManureNEF*NtoN2O*kgtoGg</f>
        <v>3.2091996714805643E-2</v>
      </c>
      <c r="AR1479" s="22">
        <f>'Activity data'!BK63*ManureNEF*NtoN2O*kgtoGg</f>
        <v>3.2464963594914874E-2</v>
      </c>
      <c r="AS1479" s="22">
        <f>'Activity data'!BL63*ManureNEF*NtoN2O*kgtoGg</f>
        <v>3.2951012979377248E-2</v>
      </c>
      <c r="AT1479" s="22">
        <f>'Activity data'!BM63*ManureNEF*NtoN2O*kgtoGg</f>
        <v>3.3101538358916271E-2</v>
      </c>
      <c r="AU1479" s="22">
        <f>'Activity data'!BN63*ManureNEF*NtoN2O*kgtoGg</f>
        <v>3.3221765198319694E-2</v>
      </c>
      <c r="AV1479" s="22">
        <f>'Activity data'!BO63*ManureNEF*NtoN2O*kgtoGg</f>
        <v>3.3345753902463859E-2</v>
      </c>
      <c r="AW1479" s="22">
        <f>'Activity data'!BP63*ManureNEF*NtoN2O*kgtoGg</f>
        <v>3.3459229881012437E-2</v>
      </c>
    </row>
    <row r="1480" spans="1:49" x14ac:dyDescent="0.2">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0.15700744358616764</v>
      </c>
      <c r="L1480" s="22">
        <f>'Activity data'!AE64*ManureNEF*NtoN2O*kgtoGg</f>
        <v>0.16019971617730661</v>
      </c>
      <c r="M1480" s="22">
        <f>'Activity data'!AF64*ManureNEF*NtoN2O*kgtoGg</f>
        <v>0.16393118028621728</v>
      </c>
      <c r="N1480" s="22">
        <f>'Activity data'!AG64*ManureNEF*NtoN2O*kgtoGg</f>
        <v>0.1667959170810015</v>
      </c>
      <c r="O1480" s="22">
        <f>'Activity data'!AH64*ManureNEF*NtoN2O*kgtoGg</f>
        <v>0.16909558154641688</v>
      </c>
      <c r="P1480" s="22">
        <f>'Activity data'!AI64*ManureNEF*NtoN2O*kgtoGg</f>
        <v>0.1708164974258628</v>
      </c>
      <c r="Q1480" s="22">
        <f>'Activity data'!AJ64*ManureNEF*NtoN2O*kgtoGg</f>
        <v>0.17302318661183388</v>
      </c>
      <c r="R1480" s="22">
        <f>'Activity data'!AK64*ManureNEF*NtoN2O*kgtoGg</f>
        <v>0.17531753251219051</v>
      </c>
      <c r="S1480" s="22">
        <f>'Activity data'!AL64*ManureNEF*NtoN2O*kgtoGg</f>
        <v>0.16830476873000083</v>
      </c>
      <c r="T1480" s="22">
        <f>'Activity data'!AM64*ManureNEF*NtoN2O*kgtoGg</f>
        <v>0.17276871314198702</v>
      </c>
      <c r="U1480" s="22">
        <f>'Activity data'!AN64*ManureNEF*NtoN2O*kgtoGg</f>
        <v>0.1764934307199863</v>
      </c>
      <c r="V1480" s="22">
        <f>'Activity data'!AO64*ManureNEF*NtoN2O*kgtoGg</f>
        <v>0.18005524898156572</v>
      </c>
      <c r="W1480" s="22">
        <f>'Activity data'!AP64*ManureNEF*NtoN2O*kgtoGg</f>
        <v>0.1840152127784149</v>
      </c>
      <c r="X1480" s="22">
        <f>'Activity data'!AQ64*ManureNEF*NtoN2O*kgtoGg</f>
        <v>0.18783261457873554</v>
      </c>
      <c r="Y1480" s="22">
        <f>'Activity data'!AR64*ManureNEF*NtoN2O*kgtoGg</f>
        <v>0.1912601747651877</v>
      </c>
      <c r="Z1480" s="22">
        <f>'Activity data'!AS64*ManureNEF*NtoN2O*kgtoGg</f>
        <v>0.19460208719398481</v>
      </c>
      <c r="AA1480" s="22">
        <f>'Activity data'!AT64*ManureNEF*NtoN2O*kgtoGg</f>
        <v>0.1978054102854529</v>
      </c>
      <c r="AB1480" s="22">
        <f>'Activity data'!AU64*ManureNEF*NtoN2O*kgtoGg</f>
        <v>0.20165714923615963</v>
      </c>
      <c r="AC1480" s="22">
        <f>'Activity data'!AV64*ManureNEF*NtoN2O*kgtoGg</f>
        <v>0.2054824805874291</v>
      </c>
      <c r="AD1480" s="22">
        <f>'Activity data'!AW64*ManureNEF*NtoN2O*kgtoGg</f>
        <v>0.20949194963752207</v>
      </c>
      <c r="AE1480" s="22">
        <f>'Activity data'!AX64*ManureNEF*NtoN2O*kgtoGg</f>
        <v>0.21416106283362638</v>
      </c>
      <c r="AF1480" s="22">
        <f>'Activity data'!AY64*ManureNEF*NtoN2O*kgtoGg</f>
        <v>0.21917521895804776</v>
      </c>
      <c r="AG1480" s="22">
        <f>'Activity data'!AZ64*ManureNEF*NtoN2O*kgtoGg</f>
        <v>0.2249205996408121</v>
      </c>
      <c r="AH1480" s="22">
        <f>'Activity data'!BA64*ManureNEF*NtoN2O*kgtoGg</f>
        <v>0.22966975525024821</v>
      </c>
      <c r="AI1480" s="22">
        <f>'Activity data'!BB64*ManureNEF*NtoN2O*kgtoGg</f>
        <v>0.23421374773731693</v>
      </c>
      <c r="AJ1480" s="22">
        <f>'Activity data'!BC64*ManureNEF*NtoN2O*kgtoGg</f>
        <v>0.23914977762419984</v>
      </c>
      <c r="AK1480" s="22">
        <f>'Activity data'!BD64*ManureNEF*NtoN2O*kgtoGg</f>
        <v>0.24398161276357982</v>
      </c>
      <c r="AL1480" s="22">
        <f>'Activity data'!BE64*ManureNEF*NtoN2O*kgtoGg</f>
        <v>0.24905154645514979</v>
      </c>
      <c r="AM1480" s="22">
        <f>'Activity data'!BF64*ManureNEF*NtoN2O*kgtoGg</f>
        <v>0.25418530178524701</v>
      </c>
      <c r="AN1480" s="22">
        <f>'Activity data'!BG64*ManureNEF*NtoN2O*kgtoGg</f>
        <v>0.25983124395687562</v>
      </c>
      <c r="AO1480" s="22">
        <f>'Activity data'!BH64*ManureNEF*NtoN2O*kgtoGg</f>
        <v>0.26532627660152752</v>
      </c>
      <c r="AP1480" s="22">
        <f>'Activity data'!BI64*ManureNEF*NtoN2O*kgtoGg</f>
        <v>0.27093697485535539</v>
      </c>
      <c r="AQ1480" s="22">
        <f>'Activity data'!BJ64*ManureNEF*NtoN2O*kgtoGg</f>
        <v>0.27673510691469561</v>
      </c>
      <c r="AR1480" s="22">
        <f>'Activity data'!BK64*ManureNEF*NtoN2O*kgtoGg</f>
        <v>0.28275020857350047</v>
      </c>
      <c r="AS1480" s="22">
        <f>'Activity data'!BL64*ManureNEF*NtoN2O*kgtoGg</f>
        <v>0.28941803313014858</v>
      </c>
      <c r="AT1480" s="22">
        <f>'Activity data'!BM64*ManureNEF*NtoN2O*kgtoGg</f>
        <v>0.29430967875904612</v>
      </c>
      <c r="AU1480" s="22">
        <f>'Activity data'!BN64*ManureNEF*NtoN2O*kgtoGg</f>
        <v>0.29911626555567689</v>
      </c>
      <c r="AV1480" s="22">
        <f>'Activity data'!BO64*ManureNEF*NtoN2O*kgtoGg</f>
        <v>0.30403482357185191</v>
      </c>
      <c r="AW1480" s="22">
        <f>'Activity data'!BP64*ManureNEF*NtoN2O*kgtoGg</f>
        <v>0.30898254148510845</v>
      </c>
    </row>
    <row r="1481" spans="1:49" x14ac:dyDescent="0.2">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0.78620275218739033</v>
      </c>
      <c r="L1481" s="22">
        <f>'Activity data'!AE65*ManureNEF*NtoN2O*kgtoGg</f>
        <v>0.7965556372017637</v>
      </c>
      <c r="M1481" s="22">
        <f>'Activity data'!AF65*ManureNEF*NtoN2O*kgtoGg</f>
        <v>0.8131853402467214</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0.79997057217510736</v>
      </c>
      <c r="R1481" s="22">
        <f>'Activity data'!AK65*ManureNEF*NtoN2O*kgtoGg</f>
        <v>0.79652072541357799</v>
      </c>
      <c r="S1481" s="22">
        <f>'Activity data'!AL65*ManureNEF*NtoN2O*kgtoGg</f>
        <v>0.68093953459407419</v>
      </c>
      <c r="T1481" s="22">
        <f>'Activity data'!AM65*ManureNEF*NtoN2O*kgtoGg</f>
        <v>0.71095217743742134</v>
      </c>
      <c r="U1481" s="22">
        <f>'Activity data'!AN65*ManureNEF*NtoN2O*kgtoGg</f>
        <v>0.73163451860770856</v>
      </c>
      <c r="V1481" s="22">
        <f>'Activity data'!AO65*ManureNEF*NtoN2O*kgtoGg</f>
        <v>0.74998966017271962</v>
      </c>
      <c r="W1481" s="22">
        <f>'Activity data'!AP65*ManureNEF*NtoN2O*kgtoGg</f>
        <v>0.77258910732812447</v>
      </c>
      <c r="X1481" s="22">
        <f>'Activity data'!AQ65*ManureNEF*NtoN2O*kgtoGg</f>
        <v>0.79310210321227914</v>
      </c>
      <c r="Y1481" s="22">
        <f>'Activity data'!AR65*ManureNEF*NtoN2O*kgtoGg</f>
        <v>0.81120771116014501</v>
      </c>
      <c r="Z1481" s="22">
        <f>'Activity data'!AS65*ManureNEF*NtoN2O*kgtoGg</f>
        <v>0.82802988036578451</v>
      </c>
      <c r="AA1481" s="22">
        <f>'Activity data'!AT65*ManureNEF*NtoN2O*kgtoGg</f>
        <v>0.84300341806804124</v>
      </c>
      <c r="AB1481" s="22">
        <f>'Activity data'!AU65*ManureNEF*NtoN2O*kgtoGg</f>
        <v>0.86494223642860679</v>
      </c>
      <c r="AC1481" s="22">
        <f>'Activity data'!AV65*ManureNEF*NtoN2O*kgtoGg</f>
        <v>0.88622290534488479</v>
      </c>
      <c r="AD1481" s="22">
        <f>'Activity data'!AW65*ManureNEF*NtoN2O*kgtoGg</f>
        <v>0.91112086440699802</v>
      </c>
      <c r="AE1481" s="22">
        <f>'Activity data'!AX65*ManureNEF*NtoN2O*kgtoGg</f>
        <v>0.94284673608655079</v>
      </c>
      <c r="AF1481" s="22">
        <f>'Activity data'!AY65*ManureNEF*NtoN2O*kgtoGg</f>
        <v>0.97785291166286403</v>
      </c>
      <c r="AG1481" s="22">
        <f>'Activity data'!AZ65*ManureNEF*NtoN2O*kgtoGg</f>
        <v>1.0202297421822766</v>
      </c>
      <c r="AH1481" s="22">
        <f>'Activity data'!BA65*ManureNEF*NtoN2O*kgtoGg</f>
        <v>1.0513780855146408</v>
      </c>
      <c r="AI1481" s="22">
        <f>'Activity data'!BB65*ManureNEF*NtoN2O*kgtoGg</f>
        <v>1.0817366322153388</v>
      </c>
      <c r="AJ1481" s="22">
        <f>'Activity data'!BC65*ManureNEF*NtoN2O*kgtoGg</f>
        <v>1.1158458345440128</v>
      </c>
      <c r="AK1481" s="22">
        <f>'Activity data'!BD65*ManureNEF*NtoN2O*kgtoGg</f>
        <v>1.1484374065317347</v>
      </c>
      <c r="AL1481" s="22">
        <f>'Activity data'!BE65*ManureNEF*NtoN2O*kgtoGg</f>
        <v>1.1831076882134564</v>
      </c>
      <c r="AM1481" s="22">
        <f>'Activity data'!BF65*ManureNEF*NtoN2O*kgtoGg</f>
        <v>1.2180177066709783</v>
      </c>
      <c r="AN1481" s="22">
        <f>'Activity data'!BG65*ManureNEF*NtoN2O*kgtoGg</f>
        <v>1.2594503323832682</v>
      </c>
      <c r="AO1481" s="22">
        <f>'Activity data'!BH65*ManureNEF*NtoN2O*kgtoGg</f>
        <v>1.298872537028497</v>
      </c>
      <c r="AP1481" s="22">
        <f>'Activity data'!BI65*ManureNEF*NtoN2O*kgtoGg</f>
        <v>1.3390342962428967</v>
      </c>
      <c r="AQ1481" s="22">
        <f>'Activity data'!BJ65*ManureNEF*NtoN2O*kgtoGg</f>
        <v>1.3806522745115721</v>
      </c>
      <c r="AR1481" s="22">
        <f>'Activity data'!BK65*ManureNEF*NtoN2O*kgtoGg</f>
        <v>1.4240025047133247</v>
      </c>
      <c r="AS1481" s="22">
        <f>'Activity data'!BL65*ManureNEF*NtoN2O*kgtoGg</f>
        <v>1.4750856789053959</v>
      </c>
      <c r="AT1481" s="22">
        <f>'Activity data'!BM65*ManureNEF*NtoN2O*kgtoGg</f>
        <v>1.5079842325146011</v>
      </c>
      <c r="AU1481" s="22">
        <f>'Activity data'!BN65*ManureNEF*NtoN2O*kgtoGg</f>
        <v>1.5397226946349756</v>
      </c>
      <c r="AV1481" s="22">
        <f>'Activity data'!BO65*ManureNEF*NtoN2O*kgtoGg</f>
        <v>1.5722599858562425</v>
      </c>
      <c r="AW1481" s="22">
        <f>'Activity data'!BP65*ManureNEF*NtoN2O*kgtoGg</f>
        <v>1.6047748091186307</v>
      </c>
    </row>
    <row r="1482" spans="1:49" x14ac:dyDescent="0.2">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2">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1.0836040032789309</v>
      </c>
      <c r="M1483" s="22">
        <f>'Activity data'!AF67*UDCPPEF*NtoN2O*kgtoGg</f>
        <v>1.0921513426512339</v>
      </c>
      <c r="N1483" s="22">
        <f>'Activity data'!AG67*UDCPPEF*NtoN2O*kgtoGg</f>
        <v>1.0976439186771809</v>
      </c>
      <c r="O1483" s="22">
        <f>'Activity data'!AH67*UDCPPEF*NtoN2O*kgtoGg</f>
        <v>1.1012937605673541</v>
      </c>
      <c r="P1483" s="22">
        <f>'Activity data'!AI67*UDCPPEF*NtoN2O*kgtoGg</f>
        <v>1.1030649457277464</v>
      </c>
      <c r="Q1483" s="22">
        <f>'Activity data'!AJ67*UDCPPEF*NtoN2O*kgtoGg</f>
        <v>1.1069781529146336</v>
      </c>
      <c r="R1483" s="22">
        <f>'Activity data'!AK67*UDCPPEF*NtoN2O*kgtoGg</f>
        <v>1.1114672588381171</v>
      </c>
      <c r="S1483" s="22">
        <f>'Activity data'!AL67*UDCPPEF*NtoN2O*kgtoGg</f>
        <v>1.0810406006779549</v>
      </c>
      <c r="T1483" s="22">
        <f>'Activity data'!AM67*UDCPPEF*NtoN2O*kgtoGg</f>
        <v>1.0934641088719885</v>
      </c>
      <c r="U1483" s="22">
        <f>'Activity data'!AN67*UDCPPEF*NtoN2O*kgtoGg</f>
        <v>1.1031992381450169</v>
      </c>
      <c r="V1483" s="22">
        <f>'Activity data'!AO67*UDCPPEF*NtoN2O*kgtoGg</f>
        <v>1.1124222034300566</v>
      </c>
      <c r="W1483" s="22">
        <f>'Activity data'!AP67*UDCPPEF*NtoN2O*kgtoGg</f>
        <v>1.123204750861388</v>
      </c>
      <c r="X1483" s="22">
        <f>'Activity data'!AQ67*UDCPPEF*NtoN2O*kgtoGg</f>
        <v>1.1335309064238068</v>
      </c>
      <c r="Y1483" s="22">
        <f>'Activity data'!AR67*UDCPPEF*NtoN2O*kgtoGg</f>
        <v>1.1421913822066523</v>
      </c>
      <c r="Z1483" s="22">
        <f>'Activity data'!AS67*UDCPPEF*NtoN2O*kgtoGg</f>
        <v>1.1506113165744176</v>
      </c>
      <c r="AA1483" s="22">
        <f>'Activity data'!AT67*UDCPPEF*NtoN2O*kgtoGg</f>
        <v>1.1585977369609775</v>
      </c>
      <c r="AB1483" s="22">
        <f>'Activity data'!AU67*UDCPPEF*NtoN2O*kgtoGg</f>
        <v>1.1689866502425044</v>
      </c>
      <c r="AC1483" s="22">
        <f>'Activity data'!AV67*UDCPPEF*NtoN2O*kgtoGg</f>
        <v>1.179322142127879</v>
      </c>
      <c r="AD1483" s="22">
        <f>'Activity data'!AW67*UDCPPEF*NtoN2O*kgtoGg</f>
        <v>1.1901050491082561</v>
      </c>
      <c r="AE1483" s="22">
        <f>'Activity data'!AX67*UDCPPEF*NtoN2O*kgtoGg</f>
        <v>1.2032599534885204</v>
      </c>
      <c r="AF1483" s="22">
        <f>'Activity data'!AY67*UDCPPEF*NtoN2O*kgtoGg</f>
        <v>1.2176412709045177</v>
      </c>
      <c r="AG1483" s="22">
        <f>'Activity data'!AZ67*UDCPPEF*NtoN2O*kgtoGg</f>
        <v>1.2345938865918005</v>
      </c>
      <c r="AH1483" s="22">
        <f>'Activity data'!BA67*UDCPPEF*NtoN2O*kgtoGg</f>
        <v>1.2480204008779516</v>
      </c>
      <c r="AI1483" s="22">
        <f>'Activity data'!BB67*UDCPPEF*NtoN2O*kgtoGg</f>
        <v>1.2604934871451285</v>
      </c>
      <c r="AJ1483" s="22">
        <f>'Activity data'!BC67*UDCPPEF*NtoN2O*kgtoGg</f>
        <v>1.2743340482246315</v>
      </c>
      <c r="AK1483" s="22">
        <f>'Activity data'!BD67*UDCPPEF*NtoN2O*kgtoGg</f>
        <v>1.2878029781490608</v>
      </c>
      <c r="AL1483" s="22">
        <f>'Activity data'!BE67*UDCPPEF*NtoN2O*kgtoGg</f>
        <v>1.302087430895273</v>
      </c>
      <c r="AM1483" s="22">
        <f>'Activity data'!BF67*UDCPPEF*NtoN2O*kgtoGg</f>
        <v>1.3165772246053524</v>
      </c>
      <c r="AN1483" s="22">
        <f>'Activity data'!BG67*UDCPPEF*NtoN2O*kgtoGg</f>
        <v>1.3325905811769112</v>
      </c>
      <c r="AO1483" s="22">
        <f>'Activity data'!BH67*UDCPPEF*NtoN2O*kgtoGg</f>
        <v>1.3480569944390275</v>
      </c>
      <c r="AP1483" s="22">
        <f>'Activity data'!BI67*UDCPPEF*NtoN2O*kgtoGg</f>
        <v>1.3638910811882956</v>
      </c>
      <c r="AQ1483" s="22">
        <f>'Activity data'!BJ67*UDCPPEF*NtoN2O*kgtoGg</f>
        <v>1.3803329285303612</v>
      </c>
      <c r="AR1483" s="22">
        <f>'Activity data'!BK67*UDCPPEF*NtoN2O*kgtoGg</f>
        <v>1.3974765343324473</v>
      </c>
      <c r="AS1483" s="22">
        <f>'Activity data'!BL67*UDCPPEF*NtoN2O*kgtoGg</f>
        <v>1.4165658117844762</v>
      </c>
      <c r="AT1483" s="22">
        <f>'Activity data'!BM67*UDCPPEF*NtoN2O*kgtoGg</f>
        <v>1.4296216900778926</v>
      </c>
      <c r="AU1483" s="22">
        <f>'Activity data'!BN67*UDCPPEF*NtoN2O*kgtoGg</f>
        <v>1.4423773000489271</v>
      </c>
      <c r="AV1483" s="22">
        <f>'Activity data'!BO67*UDCPPEF*NtoN2O*kgtoGg</f>
        <v>1.4554943578736881</v>
      </c>
      <c r="AW1483" s="22">
        <f>'Activity data'!BP67*UDCPPEF*NtoN2O*kgtoGg</f>
        <v>1.468692881818767</v>
      </c>
    </row>
    <row r="1484" spans="1:49" x14ac:dyDescent="0.2">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0.73794174034663862</v>
      </c>
      <c r="M1484" s="22">
        <f>'Activity data'!AF68*UDCPPEF*NtoN2O*kgtoGg</f>
        <v>0.74376253694082328</v>
      </c>
      <c r="N1484" s="22">
        <f>'Activity data'!AG68*UDCPPEF*NtoN2O*kgtoGg</f>
        <v>0.74750301879518044</v>
      </c>
      <c r="O1484" s="22">
        <f>'Activity data'!AH68*UDCPPEF*NtoN2O*kgtoGg</f>
        <v>0.74998858609492669</v>
      </c>
      <c r="P1484" s="22">
        <f>'Activity data'!AI68*UDCPPEF*NtoN2O*kgtoGg</f>
        <v>0.75119477530775824</v>
      </c>
      <c r="Q1484" s="22">
        <f>'Activity data'!AJ68*UDCPPEF*NtoN2O*kgtoGg</f>
        <v>0.7538596961765357</v>
      </c>
      <c r="R1484" s="22">
        <f>'Activity data'!AK68*UDCPPEF*NtoN2O*kgtoGg</f>
        <v>0.75691680802528427</v>
      </c>
      <c r="S1484" s="22">
        <f>'Activity data'!AL68*UDCPPEF*NtoN2O*kgtoGg</f>
        <v>0.73619604563634833</v>
      </c>
      <c r="T1484" s="22">
        <f>'Activity data'!AM68*UDCPPEF*NtoN2O*kgtoGg</f>
        <v>0.74465653971921864</v>
      </c>
      <c r="U1484" s="22">
        <f>'Activity data'!AN68*UDCPPEF*NtoN2O*kgtoGg</f>
        <v>0.75128622936275991</v>
      </c>
      <c r="V1484" s="22">
        <f>'Activity data'!AO68*UDCPPEF*NtoN2O*kgtoGg</f>
        <v>0.75756713182620983</v>
      </c>
      <c r="W1484" s="22">
        <f>'Activity data'!AP68*UDCPPEF*NtoN2O*kgtoGg</f>
        <v>0.76491012040208251</v>
      </c>
      <c r="X1484" s="22">
        <f>'Activity data'!AQ68*UDCPPEF*NtoN2O*kgtoGg</f>
        <v>0.77194230299255218</v>
      </c>
      <c r="Y1484" s="22">
        <f>'Activity data'!AR68*UDCPPEF*NtoN2O*kgtoGg</f>
        <v>0.77784014625640541</v>
      </c>
      <c r="Z1484" s="22">
        <f>'Activity data'!AS68*UDCPPEF*NtoN2O*kgtoGg</f>
        <v>0.78357417917078342</v>
      </c>
      <c r="AA1484" s="22">
        <f>'Activity data'!AT68*UDCPPEF*NtoN2O*kgtoGg</f>
        <v>0.78901298609781978</v>
      </c>
      <c r="AB1484" s="22">
        <f>'Activity data'!AU68*UDCPPEF*NtoN2O*kgtoGg</f>
        <v>0.79608790712439581</v>
      </c>
      <c r="AC1484" s="22">
        <f>'Activity data'!AV68*UDCPPEF*NtoN2O*kgtoGg</f>
        <v>0.80312644781467857</v>
      </c>
      <c r="AD1484" s="22">
        <f>'Activity data'!AW68*UDCPPEF*NtoN2O*kgtoGg</f>
        <v>0.81046968124591112</v>
      </c>
      <c r="AE1484" s="22">
        <f>'Activity data'!AX68*UDCPPEF*NtoN2O*kgtoGg</f>
        <v>0.81942826113588163</v>
      </c>
      <c r="AF1484" s="22">
        <f>'Activity data'!AY68*UDCPPEF*NtoN2O*kgtoGg</f>
        <v>0.8292220366944113</v>
      </c>
      <c r="AG1484" s="22">
        <f>'Activity data'!AZ68*UDCPPEF*NtoN2O*kgtoGg</f>
        <v>0.84076688396873545</v>
      </c>
      <c r="AH1484" s="22">
        <f>'Activity data'!BA68*UDCPPEF*NtoN2O*kgtoGg</f>
        <v>0.84991043206299322</v>
      </c>
      <c r="AI1484" s="22">
        <f>'Activity data'!BB68*UDCPPEF*NtoN2O*kgtoGg</f>
        <v>0.85840468915289159</v>
      </c>
      <c r="AJ1484" s="22">
        <f>'Activity data'!BC68*UDCPPEF*NtoN2O*kgtoGg</f>
        <v>0.86783020594636673</v>
      </c>
      <c r="AK1484" s="22">
        <f>'Activity data'!BD68*UDCPPEF*NtoN2O*kgtoGg</f>
        <v>0.87700263938050371</v>
      </c>
      <c r="AL1484" s="22">
        <f>'Activity data'!BE68*UDCPPEF*NtoN2O*kgtoGg</f>
        <v>0.8867304494361532</v>
      </c>
      <c r="AM1484" s="22">
        <f>'Activity data'!BF68*UDCPPEF*NtoN2O*kgtoGg</f>
        <v>0.89659809809315782</v>
      </c>
      <c r="AN1484" s="22">
        <f>'Activity data'!BG68*UDCPPEF*NtoN2O*kgtoGg</f>
        <v>0.90750330348317998</v>
      </c>
      <c r="AO1484" s="22">
        <f>'Activity data'!BH68*UDCPPEF*NtoN2O*kgtoGg</f>
        <v>0.91803603673723821</v>
      </c>
      <c r="AP1484" s="22">
        <f>'Activity data'!BI68*UDCPPEF*NtoN2O*kgtoGg</f>
        <v>0.92881915815170113</v>
      </c>
      <c r="AQ1484" s="22">
        <f>'Activity data'!BJ68*UDCPPEF*NtoN2O*kgtoGg</f>
        <v>0.94001616868821003</v>
      </c>
      <c r="AR1484" s="22">
        <f>'Activity data'!BK68*UDCPPEF*NtoN2O*kgtoGg</f>
        <v>0.95169108153748594</v>
      </c>
      <c r="AS1484" s="22">
        <f>'Activity data'!BL68*UDCPPEF*NtoN2O*kgtoGg</f>
        <v>0.9646910100928292</v>
      </c>
      <c r="AT1484" s="22">
        <f>'Activity data'!BM68*UDCPPEF*NtoN2O*kgtoGg</f>
        <v>0.97358215254011127</v>
      </c>
      <c r="AU1484" s="22">
        <f>'Activity data'!BN68*UDCPPEF*NtoN2O*kgtoGg</f>
        <v>0.98226881020538814</v>
      </c>
      <c r="AV1484" s="22">
        <f>'Activity data'!BO68*UDCPPEF*NtoN2O*kgtoGg</f>
        <v>0.99120161633211146</v>
      </c>
      <c r="AW1484" s="22">
        <f>'Activity data'!BP68*UDCPPEF*NtoN2O*kgtoGg</f>
        <v>1.0001899014441695</v>
      </c>
    </row>
    <row r="1485" spans="1:49" x14ac:dyDescent="0.2">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15.353527292296844</v>
      </c>
      <c r="L1485" s="22">
        <f>'Activity data'!AE69*UDCPPEF*NtoN2O*kgtoGg</f>
        <v>15.220371053361493</v>
      </c>
      <c r="M1485" s="22">
        <f>'Activity data'!AF69*UDCPPEF*NtoN2O*kgtoGg</f>
        <v>15.169682504177887</v>
      </c>
      <c r="N1485" s="22">
        <f>'Activity data'!AG69*UDCPPEF*NtoN2O*kgtoGg</f>
        <v>14.967111251021189</v>
      </c>
      <c r="O1485" s="22">
        <f>'Activity data'!AH69*UDCPPEF*NtoN2O*kgtoGg</f>
        <v>14.673074129931962</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12.169037780121926</v>
      </c>
      <c r="T1485" s="22">
        <f>'Activity data'!AM69*UDCPPEF*NtoN2O*kgtoGg</f>
        <v>12.401807134203059</v>
      </c>
      <c r="U1485" s="22">
        <f>'Activity data'!AN69*UDCPPEF*NtoN2O*kgtoGg</f>
        <v>12.526260010284002</v>
      </c>
      <c r="V1485" s="22">
        <f>'Activity data'!AO69*UDCPPEF*NtoN2O*kgtoGg</f>
        <v>12.622062683352066</v>
      </c>
      <c r="W1485" s="22">
        <f>'Activity data'!AP69*UDCPPEF*NtoN2O*kgtoGg</f>
        <v>12.760674268300837</v>
      </c>
      <c r="X1485" s="22">
        <f>'Activity data'!AQ69*UDCPPEF*NtoN2O*kgtoGg</f>
        <v>12.873164971451276</v>
      </c>
      <c r="Y1485" s="22">
        <f>'Activity data'!AR69*UDCPPEF*NtoN2O*kgtoGg</f>
        <v>12.945682732607438</v>
      </c>
      <c r="Z1485" s="22">
        <f>'Activity data'!AS69*UDCPPEF*NtoN2O*kgtoGg</f>
        <v>13.002132383564884</v>
      </c>
      <c r="AA1485" s="22">
        <f>'Activity data'!AT69*UDCPPEF*NtoN2O*kgtoGg</f>
        <v>13.037118833745307</v>
      </c>
      <c r="AB1485" s="22">
        <f>'Activity data'!AU69*UDCPPEF*NtoN2O*kgtoGg</f>
        <v>13.140692477306542</v>
      </c>
      <c r="AC1485" s="22">
        <f>'Activity data'!AV69*UDCPPEF*NtoN2O*kgtoGg</f>
        <v>13.233883747502103</v>
      </c>
      <c r="AD1485" s="22">
        <f>'Activity data'!AW69*UDCPPEF*NtoN2O*kgtoGg</f>
        <v>13.23869020405356</v>
      </c>
      <c r="AE1485" s="22">
        <f>'Activity data'!AX69*UDCPPEF*NtoN2O*kgtoGg</f>
        <v>13.301119774765679</v>
      </c>
      <c r="AF1485" s="22">
        <f>'Activity data'!AY69*UDCPPEF*NtoN2O*kgtoGg</f>
        <v>13.383674683163292</v>
      </c>
      <c r="AG1485" s="22">
        <f>'Activity data'!AZ69*UDCPPEF*NtoN2O*kgtoGg</f>
        <v>13.522276087147475</v>
      </c>
      <c r="AH1485" s="22">
        <f>'Activity data'!BA69*UDCPPEF*NtoN2O*kgtoGg</f>
        <v>13.544412944106279</v>
      </c>
      <c r="AI1485" s="22">
        <f>'Activity data'!BB69*UDCPPEF*NtoN2O*kgtoGg</f>
        <v>13.542089215214004</v>
      </c>
      <c r="AJ1485" s="22">
        <f>'Activity data'!BC69*UDCPPEF*NtoN2O*kgtoGg</f>
        <v>13.562424652219031</v>
      </c>
      <c r="AK1485" s="22">
        <f>'Activity data'!BD69*UDCPPEF*NtoN2O*kgtoGg</f>
        <v>13.558671299619801</v>
      </c>
      <c r="AL1485" s="22">
        <f>'Activity data'!BE69*UDCPPEF*NtoN2O*kgtoGg</f>
        <v>13.561543071773121</v>
      </c>
      <c r="AM1485" s="22">
        <f>'Activity data'!BF69*UDCPPEF*NtoN2O*kgtoGg</f>
        <v>13.555025657095664</v>
      </c>
      <c r="AN1485" s="22">
        <f>'Activity data'!BG69*UDCPPEF*NtoN2O*kgtoGg</f>
        <v>13.65231474834372</v>
      </c>
      <c r="AO1485" s="22">
        <f>'Activity data'!BH69*UDCPPEF*NtoN2O*kgtoGg</f>
        <v>13.72348724176244</v>
      </c>
      <c r="AP1485" s="22">
        <f>'Activity data'!BI69*UDCPPEF*NtoN2O*kgtoGg</f>
        <v>13.790553263000465</v>
      </c>
      <c r="AQ1485" s="22">
        <f>'Activity data'!BJ69*UDCPPEF*NtoN2O*kgtoGg</f>
        <v>13.858644184626581</v>
      </c>
      <c r="AR1485" s="22">
        <f>'Activity data'!BK69*UDCPPEF*NtoN2O*kgtoGg</f>
        <v>13.929236621781989</v>
      </c>
      <c r="AS1485" s="22">
        <f>'Activity data'!BL69*UDCPPEF*NtoN2O*kgtoGg</f>
        <v>14.039863069721484</v>
      </c>
      <c r="AT1485" s="22">
        <f>'Activity data'!BM69*UDCPPEF*NtoN2O*kgtoGg</f>
        <v>14.008704095961466</v>
      </c>
      <c r="AU1485" s="22">
        <f>'Activity data'!BN69*UDCPPEF*NtoN2O*kgtoGg</f>
        <v>13.961987215392144</v>
      </c>
      <c r="AV1485" s="22">
        <f>'Activity data'!BO69*UDCPPEF*NtoN2O*kgtoGg</f>
        <v>13.913601198226885</v>
      </c>
      <c r="AW1485" s="22">
        <f>'Activity data'!BP69*UDCPPEF*NtoN2O*kgtoGg</f>
        <v>13.857756490863558</v>
      </c>
    </row>
    <row r="1486" spans="1:49" x14ac:dyDescent="0.2">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9.6543103644621464</v>
      </c>
      <c r="L1486" s="22">
        <f>'Activity data'!AE70*UDCPPEF*NtoN2O*kgtoGg</f>
        <v>9.5705816138517683</v>
      </c>
      <c r="M1486" s="22">
        <f>'Activity data'!AF70*UDCPPEF*NtoN2O*kgtoGg</f>
        <v>9.5387086131773007</v>
      </c>
      <c r="N1486" s="22">
        <f>'Activity data'!AG70*UDCPPEF*NtoN2O*kgtoGg</f>
        <v>9.4113316455488931</v>
      </c>
      <c r="O1486" s="22">
        <f>'Activity data'!AH70*UDCPPEF*NtoN2O*kgtoGg</f>
        <v>9.22644086627548</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7.6519007866750153</v>
      </c>
      <c r="T1486" s="22">
        <f>'Activity data'!AM70*UDCPPEF*NtoN2O*kgtoGg</f>
        <v>7.79826634455969</v>
      </c>
      <c r="U1486" s="22">
        <f>'Activity data'!AN70*UDCPPEF*NtoN2O*kgtoGg</f>
        <v>7.8765224135763656</v>
      </c>
      <c r="V1486" s="22">
        <f>'Activity data'!AO70*UDCPPEF*NtoN2O*kgtoGg</f>
        <v>7.9367632117940001</v>
      </c>
      <c r="W1486" s="22">
        <f>'Activity data'!AP70*UDCPPEF*NtoN2O*kgtoGg</f>
        <v>8.0239222883846164</v>
      </c>
      <c r="X1486" s="22">
        <f>'Activity data'!AQ70*UDCPPEF*NtoN2O*kgtoGg</f>
        <v>8.0946565333991707</v>
      </c>
      <c r="Y1486" s="22">
        <f>'Activity data'!AR70*UDCPPEF*NtoN2O*kgtoGg</f>
        <v>8.1402557601963093</v>
      </c>
      <c r="Z1486" s="22">
        <f>'Activity data'!AS70*UDCPPEF*NtoN2O*kgtoGg</f>
        <v>8.175751346320169</v>
      </c>
      <c r="AA1486" s="22">
        <f>'Activity data'!AT70*UDCPPEF*NtoN2O*kgtoGg</f>
        <v>8.1977508544567819</v>
      </c>
      <c r="AB1486" s="22">
        <f>'Activity data'!AU70*UDCPPEF*NtoN2O*kgtoGg</f>
        <v>8.2628780451981587</v>
      </c>
      <c r="AC1486" s="22">
        <f>'Activity data'!AV70*UDCPPEF*NtoN2O*kgtoGg</f>
        <v>8.3214767911799861</v>
      </c>
      <c r="AD1486" s="22">
        <f>'Activity data'!AW70*UDCPPEF*NtoN2O*kgtoGg</f>
        <v>8.3244990949423538</v>
      </c>
      <c r="AE1486" s="22">
        <f>'Activity data'!AX70*UDCPPEF*NtoN2O*kgtoGg</f>
        <v>8.3637548594387177</v>
      </c>
      <c r="AF1486" s="22">
        <f>'Activity data'!AY70*UDCPPEF*NtoN2O*kgtoGg</f>
        <v>8.4156654525296073</v>
      </c>
      <c r="AG1486" s="22">
        <f>'Activity data'!AZ70*UDCPPEF*NtoN2O*kgtoGg</f>
        <v>8.5028181273214702</v>
      </c>
      <c r="AH1486" s="22">
        <f>'Activity data'!BA70*UDCPPEF*NtoN2O*kgtoGg</f>
        <v>8.5167378008600192</v>
      </c>
      <c r="AI1486" s="22">
        <f>'Activity data'!BB70*UDCPPEF*NtoN2O*kgtoGg</f>
        <v>8.515276638255374</v>
      </c>
      <c r="AJ1486" s="22">
        <f>'Activity data'!BC70*UDCPPEF*NtoN2O*kgtoGg</f>
        <v>8.5280635774717464</v>
      </c>
      <c r="AK1486" s="22">
        <f>'Activity data'!BD70*UDCPPEF*NtoN2O*kgtoGg</f>
        <v>8.5257034663252735</v>
      </c>
      <c r="AL1486" s="22">
        <f>'Activity data'!BE70*UDCPPEF*NtoN2O*kgtoGg</f>
        <v>8.5275092389751901</v>
      </c>
      <c r="AM1486" s="22">
        <f>'Activity data'!BF70*UDCPPEF*NtoN2O*kgtoGg</f>
        <v>8.5234110833610295</v>
      </c>
      <c r="AN1486" s="22">
        <f>'Activity data'!BG70*UDCPPEF*NtoN2O*kgtoGg</f>
        <v>8.5845865425310173</v>
      </c>
      <c r="AO1486" s="22">
        <f>'Activity data'!BH70*UDCPPEF*NtoN2O*kgtoGg</f>
        <v>8.6293398638881058</v>
      </c>
      <c r="AP1486" s="22">
        <f>'Activity data'!BI70*UDCPPEF*NtoN2O*kgtoGg</f>
        <v>8.6715110322206357</v>
      </c>
      <c r="AQ1486" s="22">
        <f>'Activity data'!BJ70*UDCPPEF*NtoN2O*kgtoGg</f>
        <v>8.7143266587451382</v>
      </c>
      <c r="AR1486" s="22">
        <f>'Activity data'!BK70*UDCPPEF*NtoN2O*kgtoGg</f>
        <v>8.7587152402552686</v>
      </c>
      <c r="AS1486" s="22">
        <f>'Activity data'!BL70*UDCPPEF*NtoN2O*kgtoGg</f>
        <v>8.8282772400871714</v>
      </c>
      <c r="AT1486" s="22">
        <f>'Activity data'!BM70*UDCPPEF*NtoN2O*kgtoGg</f>
        <v>8.8086844522156653</v>
      </c>
      <c r="AU1486" s="22">
        <f>'Activity data'!BN70*UDCPPEF*NtoN2O*kgtoGg</f>
        <v>8.7793088399743002</v>
      </c>
      <c r="AV1486" s="22">
        <f>'Activity data'!BO70*UDCPPEF*NtoN2O*kgtoGg</f>
        <v>8.7488836732930295</v>
      </c>
      <c r="AW1486" s="22">
        <f>'Activity data'!BP70*UDCPPEF*NtoN2O*kgtoGg</f>
        <v>8.7137684761898431</v>
      </c>
    </row>
    <row r="1487" spans="1:49" x14ac:dyDescent="0.2">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2">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5.9177410166742819</v>
      </c>
      <c r="T1488" s="22">
        <f>'Activity data'!AM72*UDSOEF*NtoN2O*kgtoGg</f>
        <v>5.9267532558831455</v>
      </c>
      <c r="U1488" s="22">
        <f>'Activity data'!AN72*UDSOEF*NtoN2O*kgtoGg</f>
        <v>5.9369392429781076</v>
      </c>
      <c r="V1488" s="22">
        <f>'Activity data'!AO72*UDSOEF*NtoN2O*kgtoGg</f>
        <v>5.9484299369724756</v>
      </c>
      <c r="W1488" s="22">
        <f>'Activity data'!AP72*UDSOEF*NtoN2O*kgtoGg</f>
        <v>5.9613561230675689</v>
      </c>
      <c r="X1488" s="22">
        <f>'Activity data'!AQ72*UDSOEF*NtoN2O*kgtoGg</f>
        <v>5.9754482628979506</v>
      </c>
      <c r="Y1488" s="22">
        <f>'Activity data'!AR72*UDSOEF*NtoN2O*kgtoGg</f>
        <v>5.9840189867940028</v>
      </c>
      <c r="Z1488" s="22">
        <f>'Activity data'!AS72*UDSOEF*NtoN2O*kgtoGg</f>
        <v>5.9935919924924663</v>
      </c>
      <c r="AA1488" s="22">
        <f>'Activity data'!AT72*UDSOEF*NtoN2O*kgtoGg</f>
        <v>6.0040970561873648</v>
      </c>
      <c r="AB1488" s="22">
        <f>'Activity data'!AU72*UDSOEF*NtoN2O*kgtoGg</f>
        <v>6.015772019922915</v>
      </c>
      <c r="AC1488" s="22">
        <f>'Activity data'!AV72*UDSOEF*NtoN2O*kgtoGg</f>
        <v>6.0283300293613564</v>
      </c>
      <c r="AD1488" s="22">
        <f>'Activity data'!AW72*UDSOEF*NtoN2O*kgtoGg</f>
        <v>6.0365358206617943</v>
      </c>
      <c r="AE1488" s="22">
        <f>'Activity data'!AX72*UDSOEF*NtoN2O*kgtoGg</f>
        <v>6.0457468580703022</v>
      </c>
      <c r="AF1488" s="22">
        <f>'Activity data'!AY72*UDSOEF*NtoN2O*kgtoGg</f>
        <v>6.0558159935957239</v>
      </c>
      <c r="AG1488" s="22">
        <f>'Activity data'!AZ72*UDSOEF*NtoN2O*kgtoGg</f>
        <v>6.0668477974371191</v>
      </c>
      <c r="AH1488" s="22">
        <f>'Activity data'!BA72*UDSOEF*NtoN2O*kgtoGg</f>
        <v>6.0782061128825768</v>
      </c>
      <c r="AI1488" s="22">
        <f>'Activity data'!BB72*UDSOEF*NtoN2O*kgtoGg</f>
        <v>6.0851673422995747</v>
      </c>
      <c r="AJ1488" s="22">
        <f>'Activity data'!BC72*UDSOEF*NtoN2O*kgtoGg</f>
        <v>6.0928574061867389</v>
      </c>
      <c r="AK1488" s="22">
        <f>'Activity data'!BD72*UDSOEF*NtoN2O*kgtoGg</f>
        <v>6.1010802783379781</v>
      </c>
      <c r="AL1488" s="22">
        <f>'Activity data'!BE72*UDSOEF*NtoN2O*kgtoGg</f>
        <v>6.1099337878320572</v>
      </c>
      <c r="AM1488" s="22">
        <f>'Activity data'!BF72*UDSOEF*NtoN2O*kgtoGg</f>
        <v>6.1193379299301505</v>
      </c>
      <c r="AN1488" s="22">
        <f>'Activity data'!BG72*UDSOEF*NtoN2O*kgtoGg</f>
        <v>6.1247915653472518</v>
      </c>
      <c r="AO1488" s="22">
        <f>'Activity data'!BH72*UDSOEF*NtoN2O*kgtoGg</f>
        <v>6.1306576553625556</v>
      </c>
      <c r="AP1488" s="22">
        <f>'Activity data'!BI72*UDSOEF*NtoN2O*kgtoGg</f>
        <v>6.1370111691436762</v>
      </c>
      <c r="AQ1488" s="22">
        <f>'Activity data'!BJ72*UDSOEF*NtoN2O*kgtoGg</f>
        <v>6.1438608776263539</v>
      </c>
      <c r="AR1488" s="22">
        <f>'Activity data'!BK72*UDSOEF*NtoN2O*kgtoGg</f>
        <v>6.1512019925053671</v>
      </c>
      <c r="AS1488" s="22">
        <f>'Activity data'!BL72*UDSOEF*NtoN2O*kgtoGg</f>
        <v>6.1544845731259219</v>
      </c>
      <c r="AT1488" s="22">
        <f>'Activity data'!BM72*UDSOEF*NtoN2O*kgtoGg</f>
        <v>6.1575398722372316</v>
      </c>
      <c r="AU1488" s="22">
        <f>'Activity data'!BN72*UDSOEF*NtoN2O*kgtoGg</f>
        <v>6.1609269818317118</v>
      </c>
      <c r="AV1488" s="22">
        <f>'Activity data'!BO72*UDSOEF*NtoN2O*kgtoGg</f>
        <v>6.1647001939833732</v>
      </c>
      <c r="AW1488" s="22">
        <f>'Activity data'!BP72*UDSOEF*NtoN2O*kgtoGg</f>
        <v>6.1688206661186156</v>
      </c>
    </row>
    <row r="1489" spans="1:49" x14ac:dyDescent="0.2">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0.66059463009348052</v>
      </c>
      <c r="T1489" s="22">
        <f>'Activity data'!AM73*UDSOEF*NtoN2O*kgtoGg</f>
        <v>0.66160066209280566</v>
      </c>
      <c r="U1489" s="22">
        <f>'Activity data'!AN73*UDSOEF*NtoN2O*kgtoGg</f>
        <v>0.66273771901337264</v>
      </c>
      <c r="V1489" s="22">
        <f>'Activity data'!AO73*UDSOEF*NtoN2O*kgtoGg</f>
        <v>0.66402041974788251</v>
      </c>
      <c r="W1489" s="22">
        <f>'Activity data'!AP73*UDSOEF*NtoN2O*kgtoGg</f>
        <v>0.66546336378648574</v>
      </c>
      <c r="X1489" s="22">
        <f>'Activity data'!AQ73*UDSOEF*NtoN2O*kgtoGg</f>
        <v>0.66703646268896311</v>
      </c>
      <c r="Y1489" s="22">
        <f>'Activity data'!AR73*UDSOEF*NtoN2O*kgtoGg</f>
        <v>0.66799320854279376</v>
      </c>
      <c r="Z1489" s="22">
        <f>'Activity data'!AS73*UDSOEF*NtoN2O*kgtoGg</f>
        <v>0.66906183864006219</v>
      </c>
      <c r="AA1489" s="22">
        <f>'Activity data'!AT73*UDSOEF*NtoN2O*kgtoGg</f>
        <v>0.67023451393053002</v>
      </c>
      <c r="AB1489" s="22">
        <f>'Activity data'!AU73*UDSOEF*NtoN2O*kgtoGg</f>
        <v>0.67153778460907243</v>
      </c>
      <c r="AC1489" s="22">
        <f>'Activity data'!AV73*UDSOEF*NtoN2O*kgtoGg</f>
        <v>0.67293962926167272</v>
      </c>
      <c r="AD1489" s="22">
        <f>'Activity data'!AW73*UDSOEF*NtoN2O*kgtoGg</f>
        <v>0.67385563786249902</v>
      </c>
      <c r="AE1489" s="22">
        <f>'Activity data'!AX73*UDSOEF*NtoN2O*kgtoGg</f>
        <v>0.67488386161080183</v>
      </c>
      <c r="AF1489" s="22">
        <f>'Activity data'!AY73*UDSOEF*NtoN2O*kgtoGg</f>
        <v>0.67600787444594213</v>
      </c>
      <c r="AG1489" s="22">
        <f>'Activity data'!AZ73*UDSOEF*NtoN2O*kgtoGg</f>
        <v>0.67723934948976972</v>
      </c>
      <c r="AH1489" s="22">
        <f>'Activity data'!BA73*UDSOEF*NtoN2O*kgtoGg</f>
        <v>0.6785072728694912</v>
      </c>
      <c r="AI1489" s="22">
        <f>'Activity data'!BB73*UDSOEF*NtoN2O*kgtoGg</f>
        <v>0.67928435161605349</v>
      </c>
      <c r="AJ1489" s="22">
        <f>'Activity data'!BC73*UDSOEF*NtoN2O*kgtoGg</f>
        <v>0.68014278980971932</v>
      </c>
      <c r="AK1489" s="22">
        <f>'Activity data'!BD73*UDSOEF*NtoN2O*kgtoGg</f>
        <v>0.68106070513784001</v>
      </c>
      <c r="AL1489" s="22">
        <f>'Activity data'!BE73*UDSOEF*NtoN2O*kgtoGg</f>
        <v>0.68204901821419661</v>
      </c>
      <c r="AM1489" s="22">
        <f>'Activity data'!BF73*UDSOEF*NtoN2O*kgtoGg</f>
        <v>0.68309879814764285</v>
      </c>
      <c r="AN1489" s="22">
        <f>'Activity data'!BG73*UDSOEF*NtoN2O*kgtoGg</f>
        <v>0.68370758488921768</v>
      </c>
      <c r="AO1489" s="22">
        <f>'Activity data'!BH73*UDSOEF*NtoN2O*kgtoGg</f>
        <v>0.68436241374246343</v>
      </c>
      <c r="AP1489" s="22">
        <f>'Activity data'!BI73*UDSOEF*NtoN2O*kgtoGg</f>
        <v>0.68507165348009424</v>
      </c>
      <c r="AQ1489" s="22">
        <f>'Activity data'!BJ73*UDSOEF*NtoN2O*kgtoGg</f>
        <v>0.68583628319751733</v>
      </c>
      <c r="AR1489" s="22">
        <f>'Activity data'!BK73*UDSOEF*NtoN2O*kgtoGg</f>
        <v>0.68665576837848608</v>
      </c>
      <c r="AS1489" s="22">
        <f>'Activity data'!BL73*UDSOEF*NtoN2O*kgtoGg</f>
        <v>0.68702220130021696</v>
      </c>
      <c r="AT1489" s="22">
        <f>'Activity data'!BM73*UDSOEF*NtoN2O*kgtoGg</f>
        <v>0.68736326289459471</v>
      </c>
      <c r="AU1489" s="22">
        <f>'Activity data'!BN73*UDSOEF*NtoN2O*kgtoGg</f>
        <v>0.6877413643362339</v>
      </c>
      <c r="AV1489" s="22">
        <f>'Activity data'!BO73*UDSOEF*NtoN2O*kgtoGg</f>
        <v>0.68816256622367178</v>
      </c>
      <c r="AW1489" s="22">
        <f>'Activity data'!BP73*UDSOEF*NtoN2O*kgtoGg</f>
        <v>0.68862253257879269</v>
      </c>
    </row>
    <row r="1490" spans="1:49" x14ac:dyDescent="0.2">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0.72463138273575967</v>
      </c>
      <c r="O1490" s="22">
        <f>'Activity data'!AH74*UDSOEF*NtoN2O*kgtoGg</f>
        <v>0.72832072886952293</v>
      </c>
      <c r="P1490" s="22">
        <f>'Activity data'!AI74*UDSOEF*NtoN2O*kgtoGg</f>
        <v>0.7325443847928953</v>
      </c>
      <c r="Q1490" s="22">
        <f>'Activity data'!AJ74*UDSOEF*NtoN2O*kgtoGg</f>
        <v>0.73708994755228407</v>
      </c>
      <c r="R1490" s="22">
        <f>'Activity data'!AK74*UDSOEF*NtoN2O*kgtoGg</f>
        <v>0.74193942345928476</v>
      </c>
      <c r="S1490" s="22">
        <f>'Activity data'!AL74*UDSOEF*NtoN2O*kgtoGg</f>
        <v>0.74639464232983788</v>
      </c>
      <c r="T1490" s="22">
        <f>'Activity data'!AM74*UDSOEF*NtoN2O*kgtoGg</f>
        <v>0.74856351716878611</v>
      </c>
      <c r="U1490" s="22">
        <f>'Activity data'!AN74*UDSOEF*NtoN2O*kgtoGg</f>
        <v>0.7508946920259173</v>
      </c>
      <c r="V1490" s="22">
        <f>'Activity data'!AO74*UDSOEF*NtoN2O*kgtoGg</f>
        <v>0.75341667510432941</v>
      </c>
      <c r="W1490" s="22">
        <f>'Activity data'!AP74*UDSOEF*NtoN2O*kgtoGg</f>
        <v>0.75615715708667941</v>
      </c>
      <c r="X1490" s="22">
        <f>'Activity data'!AQ74*UDSOEF*NtoN2O*kgtoGg</f>
        <v>0.75906737547896641</v>
      </c>
      <c r="Y1490" s="22">
        <f>'Activity data'!AR74*UDSOEF*NtoN2O*kgtoGg</f>
        <v>0.76088672130758961</v>
      </c>
      <c r="Z1490" s="22">
        <f>'Activity data'!AS74*UDSOEF*NtoN2O*kgtoGg</f>
        <v>0.76285477171358229</v>
      </c>
      <c r="AA1490" s="22">
        <f>'Activity data'!AT74*UDSOEF*NtoN2O*kgtoGg</f>
        <v>0.76495995173574494</v>
      </c>
      <c r="AB1490" s="22">
        <f>'Activity data'!AU74*UDSOEF*NtoN2O*kgtoGg</f>
        <v>0.76724835481418519</v>
      </c>
      <c r="AC1490" s="22">
        <f>'Activity data'!AV74*UDSOEF*NtoN2O*kgtoGg</f>
        <v>0.76966726525164153</v>
      </c>
      <c r="AD1490" s="22">
        <f>'Activity data'!AW74*UDSOEF*NtoN2O*kgtoGg</f>
        <v>0.77123981630413885</v>
      </c>
      <c r="AE1490" s="22">
        <f>'Activity data'!AX74*UDSOEF*NtoN2O*kgtoGg</f>
        <v>0.7729717745117366</v>
      </c>
      <c r="AF1490" s="22">
        <f>'Activity data'!AY74*UDSOEF*NtoN2O*kgtoGg</f>
        <v>0.77483635735979484</v>
      </c>
      <c r="AG1490" s="22">
        <f>'Activity data'!AZ74*UDSOEF*NtoN2O*kgtoGg</f>
        <v>0.77685363069924696</v>
      </c>
      <c r="AH1490" s="22">
        <f>'Activity data'!BA74*UDSOEF*NtoN2O*kgtoGg</f>
        <v>0.7789061253482048</v>
      </c>
      <c r="AI1490" s="22">
        <f>'Activity data'!BB74*UDSOEF*NtoN2O*kgtoGg</f>
        <v>0.78012107515728923</v>
      </c>
      <c r="AJ1490" s="22">
        <f>'Activity data'!BC74*UDSOEF*NtoN2O*kgtoGg</f>
        <v>0.78145074369480261</v>
      </c>
      <c r="AK1490" s="22">
        <f>'Activity data'!BD74*UDSOEF*NtoN2O*kgtoGg</f>
        <v>0.7828593435343304</v>
      </c>
      <c r="AL1490" s="22">
        <f>'Activity data'!BE74*UDSOEF*NtoN2O*kgtoGg</f>
        <v>0.78436534735883467</v>
      </c>
      <c r="AM1490" s="22">
        <f>'Activity data'!BF74*UDSOEF*NtoN2O*kgtoGg</f>
        <v>0.78595438278227181</v>
      </c>
      <c r="AN1490" s="22">
        <f>'Activity data'!BG74*UDSOEF*NtoN2O*kgtoGg</f>
        <v>0.78680169998206073</v>
      </c>
      <c r="AO1490" s="22">
        <f>'Activity data'!BH74*UDSOEF*NtoN2O*kgtoGg</f>
        <v>0.78771028208261162</v>
      </c>
      <c r="AP1490" s="22">
        <f>'Activity data'!BI74*UDSOEF*NtoN2O*kgtoGg</f>
        <v>0.78869414542587013</v>
      </c>
      <c r="AQ1490" s="22">
        <f>'Activity data'!BJ74*UDSOEF*NtoN2O*kgtoGg</f>
        <v>0.78975510213576938</v>
      </c>
      <c r="AR1490" s="22">
        <f>'Activity data'!BK74*UDSOEF*NtoN2O*kgtoGg</f>
        <v>0.79089245177101786</v>
      </c>
      <c r="AS1490" s="22">
        <f>'Activity data'!BL74*UDSOEF*NtoN2O*kgtoGg</f>
        <v>0.79127935129009708</v>
      </c>
      <c r="AT1490" s="22">
        <f>'Activity data'!BM74*UDSOEF*NtoN2O*kgtoGg</f>
        <v>0.7916151974997605</v>
      </c>
      <c r="AU1490" s="22">
        <f>'Activity data'!BN74*UDSOEF*NtoN2O*kgtoGg</f>
        <v>0.79200195212614188</v>
      </c>
      <c r="AV1490" s="22">
        <f>'Activity data'!BO74*UDSOEF*NtoN2O*kgtoGg</f>
        <v>0.79244958629193585</v>
      </c>
      <c r="AW1490" s="22">
        <f>'Activity data'!BP74*UDSOEF*NtoN2O*kgtoGg</f>
        <v>0.79295116872451854</v>
      </c>
    </row>
    <row r="1491" spans="1:49" x14ac:dyDescent="0.2">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1.1867254191644501</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1.2198688909683482</v>
      </c>
      <c r="R1491" s="22">
        <f>'Activity data'!AK75*UDSOEF*NtoN2O*kgtoGg</f>
        <v>1.2278946750888551</v>
      </c>
      <c r="S1491" s="22">
        <f>'Activity data'!AL75*UDSOEF*NtoN2O*kgtoGg</f>
        <v>1.2352679718224364</v>
      </c>
      <c r="T1491" s="22">
        <f>'Activity data'!AM75*UDSOEF*NtoN2O*kgtoGg</f>
        <v>1.2388574156253576</v>
      </c>
      <c r="U1491" s="22">
        <f>'Activity data'!AN75*UDSOEF*NtoN2O*kgtoGg</f>
        <v>1.2427154626616324</v>
      </c>
      <c r="V1491" s="22">
        <f>'Activity data'!AO75*UDSOEF*NtoN2O*kgtoGg</f>
        <v>1.2468892934283116</v>
      </c>
      <c r="W1491" s="22">
        <f>'Activity data'!AP75*UDSOEF*NtoN2O*kgtoGg</f>
        <v>1.2514247354427215</v>
      </c>
      <c r="X1491" s="22">
        <f>'Activity data'!AQ75*UDSOEF*NtoN2O*kgtoGg</f>
        <v>1.2562410877677852</v>
      </c>
      <c r="Y1491" s="22">
        <f>'Activity data'!AR75*UDSOEF*NtoN2O*kgtoGg</f>
        <v>1.2592520681584702</v>
      </c>
      <c r="Z1491" s="22">
        <f>'Activity data'!AS75*UDSOEF*NtoN2O*kgtoGg</f>
        <v>1.2625091516041205</v>
      </c>
      <c r="AA1491" s="22">
        <f>'Activity data'!AT75*UDSOEF*NtoN2O*kgtoGg</f>
        <v>1.2659931817790702</v>
      </c>
      <c r="AB1491" s="22">
        <f>'Activity data'!AU75*UDSOEF*NtoN2O*kgtoGg</f>
        <v>1.2697804423904187</v>
      </c>
      <c r="AC1491" s="22">
        <f>'Activity data'!AV75*UDSOEF*NtoN2O*kgtoGg</f>
        <v>1.2737836900299913</v>
      </c>
      <c r="AD1491" s="22">
        <f>'Activity data'!AW75*UDSOEF*NtoN2O*kgtoGg</f>
        <v>1.2763862300792366</v>
      </c>
      <c r="AE1491" s="22">
        <f>'Activity data'!AX75*UDSOEF*NtoN2O*kgtoGg</f>
        <v>1.2792525857321959</v>
      </c>
      <c r="AF1491" s="22">
        <f>'Activity data'!AY75*UDSOEF*NtoN2O*kgtoGg</f>
        <v>1.2823384324711629</v>
      </c>
      <c r="AG1491" s="22">
        <f>'Activity data'!AZ75*UDSOEF*NtoN2O*kgtoGg</f>
        <v>1.2856769788718418</v>
      </c>
      <c r="AH1491" s="22">
        <f>'Activity data'!BA75*UDSOEF*NtoN2O*kgtoGg</f>
        <v>1.2890738158243156</v>
      </c>
      <c r="AI1491" s="22">
        <f>'Activity data'!BB75*UDSOEF*NtoN2O*kgtoGg</f>
        <v>1.2910845330795322</v>
      </c>
      <c r="AJ1491" s="22">
        <f>'Activity data'!BC75*UDSOEF*NtoN2O*kgtoGg</f>
        <v>1.2932851075000604</v>
      </c>
      <c r="AK1491" s="22">
        <f>'Activity data'!BD75*UDSOEF*NtoN2O*kgtoGg</f>
        <v>1.2956163116221209</v>
      </c>
      <c r="AL1491" s="22">
        <f>'Activity data'!BE75*UDSOEF*NtoN2O*kgtoGg</f>
        <v>1.2981087173607861</v>
      </c>
      <c r="AM1491" s="22">
        <f>'Activity data'!BF75*UDSOEF*NtoN2O*kgtoGg</f>
        <v>1.3007385387090959</v>
      </c>
      <c r="AN1491" s="22">
        <f>'Activity data'!BG75*UDSOEF*NtoN2O*kgtoGg</f>
        <v>1.3021408314635115</v>
      </c>
      <c r="AO1491" s="22">
        <f>'Activity data'!BH75*UDSOEF*NtoN2O*kgtoGg</f>
        <v>1.303644516384237</v>
      </c>
      <c r="AP1491" s="22">
        <f>'Activity data'!BI75*UDSOEF*NtoN2O*kgtoGg</f>
        <v>1.3052727902324839</v>
      </c>
      <c r="AQ1491" s="22">
        <f>'Activity data'!BJ75*UDSOEF*NtoN2O*kgtoGg</f>
        <v>1.3070286520365533</v>
      </c>
      <c r="AR1491" s="22">
        <f>'Activity data'!BK75*UDSOEF*NtoN2O*kgtoGg</f>
        <v>1.308910942580334</v>
      </c>
      <c r="AS1491" s="22">
        <f>'Activity data'!BL75*UDSOEF*NtoN2O*kgtoGg</f>
        <v>1.3095512534254661</v>
      </c>
      <c r="AT1491" s="22">
        <f>'Activity data'!BM75*UDSOEF*NtoN2O*kgtoGg</f>
        <v>1.3101070720805417</v>
      </c>
      <c r="AU1491" s="22">
        <f>'Activity data'!BN75*UDSOEF*NtoN2O*kgtoGg</f>
        <v>1.310747143131201</v>
      </c>
      <c r="AV1491" s="22">
        <f>'Activity data'!BO75*UDSOEF*NtoN2O*kgtoGg</f>
        <v>1.3114879685829661</v>
      </c>
      <c r="AW1491" s="22">
        <f>'Activity data'!BP75*UDSOEF*NtoN2O*kgtoGg</f>
        <v>1.312318077320435</v>
      </c>
    </row>
    <row r="1492" spans="1:49" x14ac:dyDescent="0.2">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0.19368291106027899</v>
      </c>
      <c r="P1492" s="22">
        <f>'Activity data'!AI76*UDSOEF*NtoN2O*kgtoGg</f>
        <v>0.19253602379697463</v>
      </c>
      <c r="Q1492" s="22">
        <f>'Activity data'!AJ76*UDSOEF*NtoN2O*kgtoGg</f>
        <v>0.19190012409058904</v>
      </c>
      <c r="R1492" s="22">
        <f>'Activity data'!AK76*UDSOEF*NtoN2O*kgtoGg</f>
        <v>0.19132863754616405</v>
      </c>
      <c r="S1492" s="22">
        <f>'Activity data'!AL76*UDSOEF*NtoN2O*kgtoGg</f>
        <v>0.18119977029128689</v>
      </c>
      <c r="T1492" s="22">
        <f>'Activity data'!AM76*UDSOEF*NtoN2O*kgtoGg</f>
        <v>0.18372263045933149</v>
      </c>
      <c r="U1492" s="22">
        <f>'Activity data'!AN76*UDSOEF*NtoN2O*kgtoGg</f>
        <v>0.18542569851972082</v>
      </c>
      <c r="V1492" s="22">
        <f>'Activity data'!AO76*UDSOEF*NtoN2O*kgtoGg</f>
        <v>0.18690586811212617</v>
      </c>
      <c r="W1492" s="22">
        <f>'Activity data'!AP76*UDSOEF*NtoN2O*kgtoGg</f>
        <v>0.18871846813186952</v>
      </c>
      <c r="X1492" s="22">
        <f>'Activity data'!AQ76*UDSOEF*NtoN2O*kgtoGg</f>
        <v>0.19032856308746704</v>
      </c>
      <c r="Y1492" s="22">
        <f>'Activity data'!AR76*UDSOEF*NtoN2O*kgtoGg</f>
        <v>0.19181155412665482</v>
      </c>
      <c r="Z1492" s="22">
        <f>'Activity data'!AS76*UDSOEF*NtoN2O*kgtoGg</f>
        <v>0.19316694252651395</v>
      </c>
      <c r="AA1492" s="22">
        <f>'Activity data'!AT76*UDSOEF*NtoN2O*kgtoGg</f>
        <v>0.19434817692528195</v>
      </c>
      <c r="AB1492" s="22">
        <f>'Activity data'!AU76*UDSOEF*NtoN2O*kgtoGg</f>
        <v>0.19609130445368728</v>
      </c>
      <c r="AC1492" s="22">
        <f>'Activity data'!AV76*UDSOEF*NtoN2O*kgtoGg</f>
        <v>0.19775823400143536</v>
      </c>
      <c r="AD1492" s="22">
        <f>'Activity data'!AW76*UDSOEF*NtoN2O*kgtoGg</f>
        <v>0.19979376823512379</v>
      </c>
      <c r="AE1492" s="22">
        <f>'Activity data'!AX76*UDSOEF*NtoN2O*kgtoGg</f>
        <v>0.2023779928594536</v>
      </c>
      <c r="AF1492" s="22">
        <f>'Activity data'!AY76*UDSOEF*NtoN2O*kgtoGg</f>
        <v>0.20521413875451175</v>
      </c>
      <c r="AG1492" s="22">
        <f>'Activity data'!AZ76*UDSOEF*NtoN2O*kgtoGg</f>
        <v>0.20863865671050874</v>
      </c>
      <c r="AH1492" s="22">
        <f>'Activity data'!BA76*UDSOEF*NtoN2O*kgtoGg</f>
        <v>0.21111219620408483</v>
      </c>
      <c r="AI1492" s="22">
        <f>'Activity data'!BB76*UDSOEF*NtoN2O*kgtoGg</f>
        <v>0.21359919528074695</v>
      </c>
      <c r="AJ1492" s="22">
        <f>'Activity data'!BC76*UDSOEF*NtoN2O*kgtoGg</f>
        <v>0.21637994777249434</v>
      </c>
      <c r="AK1492" s="22">
        <f>'Activity data'!BD76*UDSOEF*NtoN2O*kgtoGg</f>
        <v>0.21901936705190489</v>
      </c>
      <c r="AL1492" s="22">
        <f>'Activity data'!BE76*UDSOEF*NtoN2O*kgtoGg</f>
        <v>0.22181322909338433</v>
      </c>
      <c r="AM1492" s="22">
        <f>'Activity data'!BF76*UDSOEF*NtoN2O*kgtoGg</f>
        <v>0.22460946011468219</v>
      </c>
      <c r="AN1492" s="22">
        <f>'Activity data'!BG76*UDSOEF*NtoN2O*kgtoGg</f>
        <v>0.22803030127957039</v>
      </c>
      <c r="AO1492" s="22">
        <f>'Activity data'!BH76*UDSOEF*NtoN2O*kgtoGg</f>
        <v>0.23127378160095582</v>
      </c>
      <c r="AP1492" s="22">
        <f>'Activity data'!BI76*UDSOEF*NtoN2O*kgtoGg</f>
        <v>0.23456525375289961</v>
      </c>
      <c r="AQ1492" s="22">
        <f>'Activity data'!BJ76*UDSOEF*NtoN2O*kgtoGg</f>
        <v>0.23796293573474386</v>
      </c>
      <c r="AR1492" s="22">
        <f>'Activity data'!BK76*UDSOEF*NtoN2O*kgtoGg</f>
        <v>0.24148877503172564</v>
      </c>
      <c r="AS1492" s="22">
        <f>'Activity data'!BL76*UDSOEF*NtoN2O*kgtoGg</f>
        <v>0.24576012405635958</v>
      </c>
      <c r="AT1492" s="22">
        <f>'Activity data'!BM76*UDSOEF*NtoN2O*kgtoGg</f>
        <v>0.24853256796744563</v>
      </c>
      <c r="AU1492" s="22">
        <f>'Activity data'!BN76*UDSOEF*NtoN2O*kgtoGg</f>
        <v>0.25120157665253162</v>
      </c>
      <c r="AV1492" s="22">
        <f>'Activity data'!BO76*UDSOEF*NtoN2O*kgtoGg</f>
        <v>0.25392762754999298</v>
      </c>
      <c r="AW1492" s="22">
        <f>'Activity data'!BP76*UDSOEF*NtoN2O*kgtoGg</f>
        <v>0.25664306300563272</v>
      </c>
    </row>
    <row r="1493" spans="1:49" x14ac:dyDescent="0.2">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2">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2">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2">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2">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2">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2">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2">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2">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2">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2">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2">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2">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2">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2">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2">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2">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2">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0.66038869625937391</v>
      </c>
      <c r="U1510" s="22">
        <f>'Activity data'!AN47*ttokg*FracGASF*MSVolatEF*NtoN2O*kgtoGg</f>
        <v>0.66020342469478921</v>
      </c>
      <c r="V1510" s="22">
        <f>'Activity data'!AO47*ttokg*FracGASF*MSVolatEF*NtoN2O*kgtoGg</f>
        <v>0.66005840725031206</v>
      </c>
      <c r="W1510" s="22">
        <f>'Activity data'!AP47*ttokg*FracGASF*MSVolatEF*NtoN2O*kgtoGg</f>
        <v>0.65992416571177226</v>
      </c>
      <c r="X1510" s="22">
        <f>'Activity data'!AQ47*ttokg*FracGASF*MSVolatEF*NtoN2O*kgtoGg</f>
        <v>0.65977411232427086</v>
      </c>
      <c r="Y1510" s="22">
        <f>'Activity data'!AR47*ttokg*FracGASF*MSVolatEF*NtoN2O*kgtoGg</f>
        <v>0.65963380636148372</v>
      </c>
      <c r="Z1510" s="22">
        <f>'Activity data'!AS47*ttokg*FracGASF*MSVolatEF*NtoN2O*kgtoGg</f>
        <v>0.65950885900535394</v>
      </c>
      <c r="AA1510" s="22">
        <f>'Activity data'!AT47*ttokg*FracGASF*MSVolatEF*NtoN2O*kgtoGg</f>
        <v>0.65938996649107751</v>
      </c>
      <c r="AB1510" s="22">
        <f>'Activity data'!AU47*ttokg*FracGASF*MSVolatEF*NtoN2O*kgtoGg</f>
        <v>0.65927919026350434</v>
      </c>
      <c r="AC1510" s="22">
        <f>'Activity data'!AV47*ttokg*FracGASF*MSVolatEF*NtoN2O*kgtoGg</f>
        <v>0.65914248070564796</v>
      </c>
      <c r="AD1510" s="22">
        <f>'Activity data'!AW47*ttokg*FracGASF*MSVolatEF*NtoN2O*kgtoGg</f>
        <v>0.65900953819081531</v>
      </c>
      <c r="AE1510" s="22">
        <f>'Activity data'!AX47*ttokg*FracGASF*MSVolatEF*NtoN2O*kgtoGg</f>
        <v>0.65886770470789013</v>
      </c>
      <c r="AF1510" s="22">
        <f>'Activity data'!AY47*ttokg*FracGASF*MSVolatEF*NtoN2O*kgtoGg</f>
        <v>0.65870194021035933</v>
      </c>
      <c r="AG1510" s="22">
        <f>'Activity data'!AZ47*ttokg*FracGASF*MSVolatEF*NtoN2O*kgtoGg</f>
        <v>0.65852622329414567</v>
      </c>
      <c r="AH1510" s="22">
        <f>'Activity data'!BA47*ttokg*FracGASF*MSVolatEF*NtoN2O*kgtoGg</f>
        <v>0.65832642389355089</v>
      </c>
      <c r="AI1510" s="22">
        <f>'Activity data'!BB47*ttokg*FracGASF*MSVolatEF*NtoN2O*kgtoGg</f>
        <v>0.6581693318477011</v>
      </c>
      <c r="AJ1510" s="22">
        <f>'Activity data'!BC47*ttokg*FracGASF*MSVolatEF*NtoN2O*kgtoGg</f>
        <v>0.65801985919199812</v>
      </c>
      <c r="AK1510" s="22">
        <f>'Activity data'!BD47*ttokg*FracGASF*MSVolatEF*NtoN2O*kgtoGg</f>
        <v>0.65785915117586091</v>
      </c>
      <c r="AL1510" s="22">
        <f>'Activity data'!BE47*ttokg*FracGASF*MSVolatEF*NtoN2O*kgtoGg</f>
        <v>0.65770555695996225</v>
      </c>
      <c r="AM1510" s="22">
        <f>'Activity data'!BF47*ttokg*FracGASF*MSVolatEF*NtoN2O*kgtoGg</f>
        <v>0.65754680730045456</v>
      </c>
      <c r="AN1510" s="22">
        <f>'Activity data'!BG47*ttokg*FracGASF*MSVolatEF*NtoN2O*kgtoGg</f>
        <v>0.65738921443316178</v>
      </c>
      <c r="AO1510" s="22">
        <f>'Activity data'!BH47*ttokg*FracGASF*MSVolatEF*NtoN2O*kgtoGg</f>
        <v>0.65721499435540864</v>
      </c>
      <c r="AP1510" s="22">
        <f>'Activity data'!BI47*ttokg*FracGASF*MSVolatEF*NtoN2O*kgtoGg</f>
        <v>0.65704963238558323</v>
      </c>
      <c r="AQ1510" s="22">
        <f>'Activity data'!BJ47*ttokg*FracGASF*MSVolatEF*NtoN2O*kgtoGg</f>
        <v>0.65688413494168396</v>
      </c>
      <c r="AR1510" s="22">
        <f>'Activity data'!BK47*ttokg*FracGASF*MSVolatEF*NtoN2O*kgtoGg</f>
        <v>0.65671634182939487</v>
      </c>
      <c r="AS1510" s="22">
        <f>'Activity data'!BL47*ttokg*FracGASF*MSVolatEF*NtoN2O*kgtoGg</f>
        <v>0.65654557216665388</v>
      </c>
      <c r="AT1510" s="22">
        <f>'Activity data'!BM47*ttokg*FracGASF*MSVolatEF*NtoN2O*kgtoGg</f>
        <v>0.65635649622881898</v>
      </c>
      <c r="AU1510" s="22">
        <f>'Activity data'!BN47*ttokg*FracGASF*MSVolatEF*NtoN2O*kgtoGg</f>
        <v>0.65622389108641888</v>
      </c>
      <c r="AV1510" s="22">
        <f>'Activity data'!BO47*ttokg*FracGASF*MSVolatEF*NtoN2O*kgtoGg</f>
        <v>0.65609603440705455</v>
      </c>
      <c r="AW1510" s="22">
        <f>'Activity data'!BP47*ttokg*FracGASF*MSVolatEF*NtoN2O*kgtoGg</f>
        <v>0.65596714127254918</v>
      </c>
    </row>
    <row r="1511" spans="1:49" x14ac:dyDescent="0.2">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8.7171307906237401E-3</v>
      </c>
      <c r="U1511" s="22">
        <f>'Activity data'!AN48*ttokg*FracGASM*MSVolatEF*NtoN2O*kgtoGg</f>
        <v>8.714685205971219E-3</v>
      </c>
      <c r="V1511" s="22">
        <f>'Activity data'!AO48*ttokg*FracGASM*MSVolatEF*NtoN2O*kgtoGg</f>
        <v>8.7127709757041216E-3</v>
      </c>
      <c r="W1511" s="22">
        <f>'Activity data'!AP48*ttokg*FracGASM*MSVolatEF*NtoN2O*kgtoGg</f>
        <v>8.7109989873953957E-3</v>
      </c>
      <c r="X1511" s="22">
        <f>'Activity data'!AQ48*ttokg*FracGASM*MSVolatEF*NtoN2O*kgtoGg</f>
        <v>8.7090182826803763E-3</v>
      </c>
      <c r="Y1511" s="22">
        <f>'Activity data'!AR48*ttokg*FracGASM*MSVolatEF*NtoN2O*kgtoGg</f>
        <v>8.7071662439715883E-3</v>
      </c>
      <c r="Z1511" s="22">
        <f>'Activity data'!AS48*ttokg*FracGASM*MSVolatEF*NtoN2O*kgtoGg</f>
        <v>8.7055169388706739E-3</v>
      </c>
      <c r="AA1511" s="22">
        <f>'Activity data'!AT48*ttokg*FracGASM*MSVolatEF*NtoN2O*kgtoGg</f>
        <v>8.7039475576822217E-3</v>
      </c>
      <c r="AB1511" s="22">
        <f>'Activity data'!AU48*ttokg*FracGASM*MSVolatEF*NtoN2O*kgtoGg</f>
        <v>8.7024853114782592E-3</v>
      </c>
      <c r="AC1511" s="22">
        <f>'Activity data'!AV48*ttokg*FracGASM*MSVolatEF*NtoN2O*kgtoGg</f>
        <v>8.7006807453145554E-3</v>
      </c>
      <c r="AD1511" s="22">
        <f>'Activity data'!AW48*ttokg*FracGASM*MSVolatEF*NtoN2O*kgtoGg</f>
        <v>8.6989259041187622E-3</v>
      </c>
      <c r="AE1511" s="22">
        <f>'Activity data'!AX48*ttokg*FracGASM*MSVolatEF*NtoN2O*kgtoGg</f>
        <v>8.6970537021441498E-3</v>
      </c>
      <c r="AF1511" s="22">
        <f>'Activity data'!AY48*ttokg*FracGASM*MSVolatEF*NtoN2O*kgtoGg</f>
        <v>8.6948656107767464E-3</v>
      </c>
      <c r="AG1511" s="22">
        <f>'Activity data'!AZ48*ttokg*FracGASM*MSVolatEF*NtoN2O*kgtoGg</f>
        <v>8.6925461474827246E-3</v>
      </c>
      <c r="AH1511" s="22">
        <f>'Activity data'!BA48*ttokg*FracGASM*MSVolatEF*NtoN2O*kgtoGg</f>
        <v>8.6899087953948712E-3</v>
      </c>
      <c r="AI1511" s="22">
        <f>'Activity data'!BB48*ttokg*FracGASM*MSVolatEF*NtoN2O*kgtoGg</f>
        <v>8.6878351803896525E-3</v>
      </c>
      <c r="AJ1511" s="22">
        <f>'Activity data'!BC48*ttokg*FracGASM*MSVolatEF*NtoN2O*kgtoGg</f>
        <v>8.685862141334379E-3</v>
      </c>
      <c r="AK1511" s="22">
        <f>'Activity data'!BD48*ttokg*FracGASM*MSVolatEF*NtoN2O*kgtoGg</f>
        <v>8.6837407955213629E-3</v>
      </c>
      <c r="AL1511" s="22">
        <f>'Activity data'!BE48*ttokg*FracGASM*MSVolatEF*NtoN2O*kgtoGg</f>
        <v>8.681713351871503E-3</v>
      </c>
      <c r="AM1511" s="22">
        <f>'Activity data'!BF48*ttokg*FracGASM*MSVolatEF*NtoN2O*kgtoGg</f>
        <v>8.679617856366003E-3</v>
      </c>
      <c r="AN1511" s="22">
        <f>'Activity data'!BG48*ttokg*FracGASM*MSVolatEF*NtoN2O*kgtoGg</f>
        <v>8.677537630517736E-3</v>
      </c>
      <c r="AO1511" s="22">
        <f>'Activity data'!BH48*ttokg*FracGASM*MSVolatEF*NtoN2O*kgtoGg</f>
        <v>8.6752379254913976E-3</v>
      </c>
      <c r="AP1511" s="22">
        <f>'Activity data'!BI48*ttokg*FracGASM*MSVolatEF*NtoN2O*kgtoGg</f>
        <v>8.6730551474897017E-3</v>
      </c>
      <c r="AQ1511" s="22">
        <f>'Activity data'!BJ48*ttokg*FracGASM*MSVolatEF*NtoN2O*kgtoGg</f>
        <v>8.6708705812302295E-3</v>
      </c>
      <c r="AR1511" s="22">
        <f>'Activity data'!BK48*ttokg*FracGASM*MSVolatEF*NtoN2O*kgtoGg</f>
        <v>8.6686557121480167E-3</v>
      </c>
      <c r="AS1511" s="22">
        <f>'Activity data'!BL48*ttokg*FracGASM*MSVolatEF*NtoN2O*kgtoGg</f>
        <v>8.6664015525998329E-3</v>
      </c>
      <c r="AT1511" s="22">
        <f>'Activity data'!BM48*ttokg*FracGASM*MSVolatEF*NtoN2O*kgtoGg</f>
        <v>8.6639057502204114E-3</v>
      </c>
      <c r="AU1511" s="22">
        <f>'Activity data'!BN48*ttokg*FracGASM*MSVolatEF*NtoN2O*kgtoGg</f>
        <v>8.6621553623407298E-3</v>
      </c>
      <c r="AV1511" s="22">
        <f>'Activity data'!BO48*ttokg*FracGASM*MSVolatEF*NtoN2O*kgtoGg</f>
        <v>8.66046765417312E-3</v>
      </c>
      <c r="AW1511" s="22">
        <f>'Activity data'!BP48*ttokg*FracGASM*MSVolatEF*NtoN2O*kgtoGg</f>
        <v>8.6587662647976526E-3</v>
      </c>
    </row>
    <row r="1512" spans="1:49" x14ac:dyDescent="0.2">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1.2019035107607596</v>
      </c>
      <c r="M1512" s="22">
        <f>SUM('Activity data'!AF50:AF65)*FracGASM*MSVolatEF*NtoN2O*kgtoGg</f>
        <v>1.2088775122881088</v>
      </c>
      <c r="N1512" s="22">
        <f>SUM('Activity data'!AG50:AG65)*FracGASM*MSVolatEF*NtoN2O*kgtoGg</f>
        <v>1.2055442230548155</v>
      </c>
      <c r="O1512" s="22">
        <f>SUM('Activity data'!AH50:AH65)*FracGASM*MSVolatEF*NtoN2O*kgtoGg</f>
        <v>1.1958435838326282</v>
      </c>
      <c r="P1512" s="22">
        <f>SUM('Activity data'!AI50:AI65)*FracGASM*MSVolatEF*NtoN2O*kgtoGg</f>
        <v>1.1799964998501222</v>
      </c>
      <c r="Q1512" s="22">
        <f>SUM('Activity data'!AJ50:AJ65)*FracGASM*MSVolatEF*NtoN2O*kgtoGg</f>
        <v>1.169776622170569</v>
      </c>
      <c r="R1512" s="22">
        <f>SUM('Activity data'!AK50:AK65)*FracGASM*MSVolatEF*NtoN2O*kgtoGg</f>
        <v>1.1606871439933113</v>
      </c>
      <c r="S1512" s="22">
        <f>SUM('Activity data'!AL50:AL65)*FracGASM*MSVolatEF*NtoN2O*kgtoGg</f>
        <v>1.0581466820913914</v>
      </c>
      <c r="T1512" s="22">
        <f>SUM('Activity data'!AM50:AM65)*FracGASM*MSVolatEF*NtoN2O*kgtoGg</f>
        <v>1.0811007370653605</v>
      </c>
      <c r="U1512" s="22">
        <f>SUM('Activity data'!AN50:AN65)*FracGASM*MSVolatEF*NtoN2O*kgtoGg</f>
        <v>1.0962373736212656</v>
      </c>
      <c r="V1512" s="22">
        <f>SUM('Activity data'!AO50:AO65)*FracGASM*MSVolatEF*NtoN2O*kgtoGg</f>
        <v>1.1094295908986627</v>
      </c>
      <c r="W1512" s="22">
        <f>SUM('Activity data'!AP50:AP65)*FracGASM*MSVolatEF*NtoN2O*kgtoGg</f>
        <v>1.1260819451253103</v>
      </c>
      <c r="X1512" s="22">
        <f>SUM('Activity data'!AQ50:AQ65)*FracGASM*MSVolatEF*NtoN2O*kgtoGg</f>
        <v>1.1409777774824073</v>
      </c>
      <c r="Y1512" s="22">
        <f>SUM('Activity data'!AR50:AR65)*FracGASM*MSVolatEF*NtoN2O*kgtoGg</f>
        <v>1.1529726027889684</v>
      </c>
      <c r="Z1512" s="22">
        <f>SUM('Activity data'!AS50:AS65)*FracGASM*MSVolatEF*NtoN2O*kgtoGg</f>
        <v>1.1639042106537316</v>
      </c>
      <c r="AA1512" s="22">
        <f>SUM('Activity data'!AT50:AT65)*FracGASM*MSVolatEF*NtoN2O*kgtoGg</f>
        <v>1.1733291691179792</v>
      </c>
      <c r="AB1512" s="22">
        <f>SUM('Activity data'!AU50:AU65)*FracGASM*MSVolatEF*NtoN2O*kgtoGg</f>
        <v>1.1883113875074136</v>
      </c>
      <c r="AC1512" s="22">
        <f>SUM('Activity data'!AV50:AV65)*FracGASM*MSVolatEF*NtoN2O*kgtoGg</f>
        <v>1.2027019182394856</v>
      </c>
      <c r="AD1512" s="22">
        <f>SUM('Activity data'!AW50:AW65)*FracGASM*MSVolatEF*NtoN2O*kgtoGg</f>
        <v>1.2149899149490335</v>
      </c>
      <c r="AE1512" s="22">
        <f>SUM('Activity data'!AX50:AX65)*FracGASM*MSVolatEF*NtoN2O*kgtoGg</f>
        <v>1.2323877476985694</v>
      </c>
      <c r="AF1512" s="22">
        <f>SUM('Activity data'!AY50:AY65)*FracGASM*MSVolatEF*NtoN2O*kgtoGg</f>
        <v>1.2520054927946573</v>
      </c>
      <c r="AG1512" s="22">
        <f>SUM('Activity data'!AZ50:AZ65)*FracGASM*MSVolatEF*NtoN2O*kgtoGg</f>
        <v>1.2769207481959246</v>
      </c>
      <c r="AH1512" s="22">
        <f>SUM('Activity data'!BA50:BA65)*FracGASM*MSVolatEF*NtoN2O*kgtoGg</f>
        <v>1.2928179151571899</v>
      </c>
      <c r="AI1512" s="22">
        <f>SUM('Activity data'!BB50:BB65)*FracGASM*MSVolatEF*NtoN2O*kgtoGg</f>
        <v>1.3071721599558817</v>
      </c>
      <c r="AJ1512" s="22">
        <f>SUM('Activity data'!BC50:BC65)*FracGASM*MSVolatEF*NtoN2O*kgtoGg</f>
        <v>1.3240396401072183</v>
      </c>
      <c r="AK1512" s="22">
        <f>SUM('Activity data'!BD50:BD65)*FracGASM*MSVolatEF*NtoN2O*kgtoGg</f>
        <v>1.3394377409062461</v>
      </c>
      <c r="AL1512" s="22">
        <f>SUM('Activity data'!BE50:BE65)*FracGASM*MSVolatEF*NtoN2O*kgtoGg</f>
        <v>1.3560429960988876</v>
      </c>
      <c r="AM1512" s="22">
        <f>SUM('Activity data'!BF50:BF65)*FracGASM*MSVolatEF*NtoN2O*kgtoGg</f>
        <v>1.3724754415260532</v>
      </c>
      <c r="AN1512" s="22">
        <f>SUM('Activity data'!BG50:BG65)*FracGASM*MSVolatEF*NtoN2O*kgtoGg</f>
        <v>1.3952859972976908</v>
      </c>
      <c r="AO1512" s="22">
        <f>SUM('Activity data'!BH50:BH65)*FracGASM*MSVolatEF*NtoN2O*kgtoGg</f>
        <v>1.4163366526625445</v>
      </c>
      <c r="AP1512" s="22">
        <f>SUM('Activity data'!BI50:BI65)*FracGASM*MSVolatEF*NtoN2O*kgtoGg</f>
        <v>1.4376236961609334</v>
      </c>
      <c r="AQ1512" s="22">
        <f>SUM('Activity data'!BJ50:BJ65)*FracGASM*MSVolatEF*NtoN2O*kgtoGg</f>
        <v>1.4596469584782656</v>
      </c>
      <c r="AR1512" s="22">
        <f>SUM('Activity data'!BK50:BK65)*FracGASM*MSVolatEF*NtoN2O*kgtoGg</f>
        <v>1.4825821629092799</v>
      </c>
      <c r="AS1512" s="22">
        <f>SUM('Activity data'!BL50:BL65)*FracGASM*MSVolatEF*NtoN2O*kgtoGg</f>
        <v>1.5100637913409878</v>
      </c>
      <c r="AT1512" s="22">
        <f>SUM('Activity data'!BM50:BM65)*FracGASM*MSVolatEF*NtoN2O*kgtoGg</f>
        <v>1.5244988187348365</v>
      </c>
      <c r="AU1512" s="22">
        <f>SUM('Activity data'!BN50:BN65)*FracGASM*MSVolatEF*NtoN2O*kgtoGg</f>
        <v>1.5379134396371121</v>
      </c>
      <c r="AV1512" s="22">
        <f>SUM('Activity data'!BO50:BO65)*FracGASM*MSVolatEF*NtoN2O*kgtoGg</f>
        <v>1.5516700859590873</v>
      </c>
      <c r="AW1512" s="22">
        <f>SUM('Activity data'!BP50:BP65)*FracGASM*MSVolatEF*NtoN2O*kgtoGg</f>
        <v>1.5651983516984527</v>
      </c>
    </row>
    <row r="1513" spans="1:49" x14ac:dyDescent="0.2">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4.3473821211305586</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3.918985241839104</v>
      </c>
      <c r="T1513" s="22">
        <f>SUM('Activity data'!AM66:AM81)*FracGASM*MSVolatEF*NtoN2O*kgtoGg</f>
        <v>3.962647023266995</v>
      </c>
      <c r="U1513" s="22">
        <f>SUM('Activity data'!AN66:AN81)*FracGASM*MSVolatEF*NtoN2O*kgtoGg</f>
        <v>3.988397466462279</v>
      </c>
      <c r="V1513" s="22">
        <f>SUM('Activity data'!AO66:AO81)*FracGASM*MSVolatEF*NtoN2O*kgtoGg</f>
        <v>4.0097420759989726</v>
      </c>
      <c r="W1513" s="22">
        <f>SUM('Activity data'!AP66:AP81)*FracGASM*MSVolatEF*NtoN2O*kgtoGg</f>
        <v>4.0388232265836717</v>
      </c>
      <c r="X1513" s="22">
        <f>SUM('Activity data'!AQ66:AQ81)*FracGASM*MSVolatEF*NtoN2O*kgtoGg</f>
        <v>4.063881936096621</v>
      </c>
      <c r="Y1513" s="22">
        <f>SUM('Activity data'!AR66:AR81)*FracGASM*MSVolatEF*NtoN2O*kgtoGg</f>
        <v>4.0803176241982966</v>
      </c>
      <c r="Z1513" s="22">
        <f>SUM('Activity data'!AS66:AS81)*FracGASM*MSVolatEF*NtoN2O*kgtoGg</f>
        <v>4.0943719762440898</v>
      </c>
      <c r="AA1513" s="22">
        <f>SUM('Activity data'!AT66:AT81)*FracGASM*MSVolatEF*NtoN2O*kgtoGg</f>
        <v>4.1051027315234014</v>
      </c>
      <c r="AB1513" s="22">
        <f>SUM('Activity data'!AU66:AU81)*FracGASM*MSVolatEF*NtoN2O*kgtoGg</f>
        <v>4.1278786035109292</v>
      </c>
      <c r="AC1513" s="22">
        <f>SUM('Activity data'!AV66:AV81)*FracGASM*MSVolatEF*NtoN2O*kgtoGg</f>
        <v>4.149204796729399</v>
      </c>
      <c r="AD1513" s="22">
        <f>SUM('Activity data'!AW66:AW81)*FracGASM*MSVolatEF*NtoN2O*kgtoGg</f>
        <v>4.1548667718492807</v>
      </c>
      <c r="AE1513" s="22">
        <f>SUM('Activity data'!AX66:AX81)*FracGASM*MSVolatEF*NtoN2O*kgtoGg</f>
        <v>4.1707310137254909</v>
      </c>
      <c r="AF1513" s="22">
        <f>SUM('Activity data'!AY66:AY81)*FracGASM*MSVolatEF*NtoN2O*kgtoGg</f>
        <v>4.1903910179403239</v>
      </c>
      <c r="AG1513" s="22">
        <f>SUM('Activity data'!AZ66:AZ81)*FracGASM*MSVolatEF*NtoN2O*kgtoGg</f>
        <v>4.2200248954303605</v>
      </c>
      <c r="AH1513" s="22">
        <f>SUM('Activity data'!BA66:BA81)*FracGASM*MSVolatEF*NtoN2O*kgtoGg</f>
        <v>4.2299973767021726</v>
      </c>
      <c r="AI1513" s="22">
        <f>SUM('Activity data'!BB66:BB81)*FracGASM*MSVolatEF*NtoN2O*kgtoGg</f>
        <v>4.2344058167490939</v>
      </c>
      <c r="AJ1513" s="22">
        <f>SUM('Activity data'!BC66:BC81)*FracGASM*MSVolatEF*NtoN2O*kgtoGg</f>
        <v>4.2430165616646569</v>
      </c>
      <c r="AK1513" s="22">
        <f>SUM('Activity data'!BD66:BD81)*FracGASM*MSVolatEF*NtoN2O*kgtoGg</f>
        <v>4.2477733537700137</v>
      </c>
      <c r="AL1513" s="22">
        <f>SUM('Activity data'!BE66:BE81)*FracGASM*MSVolatEF*NtoN2O*kgtoGg</f>
        <v>4.2539691533655395</v>
      </c>
      <c r="AM1513" s="22">
        <f>SUM('Activity data'!BF66:BF81)*FracGASM*MSVolatEF*NtoN2O*kgtoGg</f>
        <v>4.2588371425380025</v>
      </c>
      <c r="AN1513" s="22">
        <f>SUM('Activity data'!BG66:BG81)*FracGASM*MSVolatEF*NtoN2O*kgtoGg</f>
        <v>4.2797220284315198</v>
      </c>
      <c r="AO1513" s="22">
        <f>SUM('Activity data'!BH66:BH81)*FracGASM*MSVolatEF*NtoN2O*kgtoGg</f>
        <v>4.2963498578029604</v>
      </c>
      <c r="AP1513" s="22">
        <f>SUM('Activity data'!BI66:BI81)*FracGASM*MSVolatEF*NtoN2O*kgtoGg</f>
        <v>4.3125285701488281</v>
      </c>
      <c r="AQ1513" s="22">
        <f>SUM('Activity data'!BJ66:BJ81)*FracGASM*MSVolatEF*NtoN2O*kgtoGg</f>
        <v>4.3291488784909324</v>
      </c>
      <c r="AR1513" s="22">
        <f>SUM('Activity data'!BK66:BK81)*FracGASM*MSVolatEF*NtoN2O*kgtoGg</f>
        <v>4.3464700481298193</v>
      </c>
      <c r="AS1513" s="22">
        <f>SUM('Activity data'!BL66:BL81)*FracGASM*MSVolatEF*NtoN2O*kgtoGg</f>
        <v>4.3694873280939213</v>
      </c>
      <c r="AT1513" s="22">
        <f>SUM('Activity data'!BM66:BM81)*FracGASM*MSVolatEF*NtoN2O*kgtoGg</f>
        <v>4.3680189479011426</v>
      </c>
      <c r="AU1513" s="22">
        <f>SUM('Activity data'!BN66:BN81)*FracGASM*MSVolatEF*NtoN2O*kgtoGg</f>
        <v>4.3640461344633534</v>
      </c>
      <c r="AV1513" s="22">
        <f>SUM('Activity data'!BO66:BO81)*FracGASM*MSVolatEF*NtoN2O*kgtoGg</f>
        <v>4.3599917873846739</v>
      </c>
      <c r="AW1513" s="22">
        <f>SUM('Activity data'!BP66:BP81)*FracGASM*MSVolatEF*NtoN2O*kgtoGg</f>
        <v>4.3548399908669477</v>
      </c>
    </row>
    <row r="1514" spans="1:49" x14ac:dyDescent="0.2">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2.27834100209484E-4</v>
      </c>
      <c r="U1514" s="22">
        <f>'Activity data'!AN47*FracLEACH*MSLeachEF*NtoN2O*kgtoGg</f>
        <v>2.2777018151970223E-4</v>
      </c>
      <c r="V1514" s="22">
        <f>'Activity data'!AO47*FracLEACH*MSLeachEF*NtoN2O*kgtoGg</f>
        <v>2.2772015050135763E-4</v>
      </c>
      <c r="W1514" s="22">
        <f>'Activity data'!AP47*FracLEACH*MSLeachEF*NtoN2O*kgtoGg</f>
        <v>2.276738371705614E-4</v>
      </c>
      <c r="X1514" s="22">
        <f>'Activity data'!AQ47*FracLEACH*MSLeachEF*NtoN2O*kgtoGg</f>
        <v>2.2762206875187344E-4</v>
      </c>
      <c r="Y1514" s="22">
        <f>'Activity data'!AR47*FracLEACH*MSLeachEF*NtoN2O*kgtoGg</f>
        <v>2.2757366319471181E-4</v>
      </c>
      <c r="Z1514" s="22">
        <f>'Activity data'!AS47*FracLEACH*MSLeachEF*NtoN2O*kgtoGg</f>
        <v>2.2753055635684708E-4</v>
      </c>
      <c r="AA1514" s="22">
        <f>'Activity data'!AT47*FracLEACH*MSLeachEF*NtoN2O*kgtoGg</f>
        <v>2.2748953843942165E-4</v>
      </c>
      <c r="AB1514" s="22">
        <f>'Activity data'!AU47*FracLEACH*MSLeachEF*NtoN2O*kgtoGg</f>
        <v>2.2745132064090905E-4</v>
      </c>
      <c r="AC1514" s="22">
        <f>'Activity data'!AV47*FracLEACH*MSLeachEF*NtoN2O*kgtoGg</f>
        <v>2.2740415584344853E-4</v>
      </c>
      <c r="AD1514" s="22">
        <f>'Activity data'!AW47*FracLEACH*MSLeachEF*NtoN2O*kgtoGg</f>
        <v>2.2735829067583124E-4</v>
      </c>
      <c r="AE1514" s="22">
        <f>'Activity data'!AX47*FracLEACH*MSLeachEF*NtoN2O*kgtoGg</f>
        <v>2.2730935812422204E-4</v>
      </c>
      <c r="AF1514" s="22">
        <f>'Activity data'!AY47*FracLEACH*MSLeachEF*NtoN2O*kgtoGg</f>
        <v>2.2725216937257396E-4</v>
      </c>
      <c r="AG1514" s="22">
        <f>'Activity data'!AZ47*FracLEACH*MSLeachEF*NtoN2O*kgtoGg</f>
        <v>2.2719154703648017E-4</v>
      </c>
      <c r="AH1514" s="22">
        <f>'Activity data'!BA47*FracLEACH*MSLeachEF*NtoN2O*kgtoGg</f>
        <v>2.2712261624327501E-4</v>
      </c>
      <c r="AI1514" s="22">
        <f>'Activity data'!BB47*FracLEACH*MSLeachEF*NtoN2O*kgtoGg</f>
        <v>2.2706841948745679E-4</v>
      </c>
      <c r="AJ1514" s="22">
        <f>'Activity data'!BC47*FracLEACH*MSLeachEF*NtoN2O*kgtoGg</f>
        <v>2.2701685142123931E-4</v>
      </c>
      <c r="AK1514" s="22">
        <f>'Activity data'!BD47*FracLEACH*MSLeachEF*NtoN2O*kgtoGg</f>
        <v>2.26961407155672E-4</v>
      </c>
      <c r="AL1514" s="22">
        <f>'Activity data'!BE47*FracLEACH*MSLeachEF*NtoN2O*kgtoGg</f>
        <v>2.2690841715118691E-4</v>
      </c>
      <c r="AM1514" s="22">
        <f>'Activity data'!BF47*FracLEACH*MSLeachEF*NtoN2O*kgtoGg</f>
        <v>2.268536485186568E-4</v>
      </c>
      <c r="AN1514" s="22">
        <f>'Activity data'!BG47*FracLEACH*MSLeachEF*NtoN2O*kgtoGg</f>
        <v>2.267992789794407E-4</v>
      </c>
      <c r="AO1514" s="22">
        <f>'Activity data'!BH47*FracLEACH*MSLeachEF*NtoN2O*kgtoGg</f>
        <v>2.2673917305261599E-4</v>
      </c>
      <c r="AP1514" s="22">
        <f>'Activity data'!BI47*FracLEACH*MSLeachEF*NtoN2O*kgtoGg</f>
        <v>2.2668212317302622E-4</v>
      </c>
      <c r="AQ1514" s="22">
        <f>'Activity data'!BJ47*FracLEACH*MSLeachEF*NtoN2O*kgtoGg</f>
        <v>2.2662502655488093E-4</v>
      </c>
      <c r="AR1514" s="22">
        <f>'Activity data'!BK47*FracLEACH*MSLeachEF*NtoN2O*kgtoGg</f>
        <v>2.2656713793114123E-4</v>
      </c>
      <c r="AS1514" s="22">
        <f>'Activity data'!BL47*FracLEACH*MSLeachEF*NtoN2O*kgtoGg</f>
        <v>2.2650822239749554E-4</v>
      </c>
      <c r="AT1514" s="22">
        <f>'Activity data'!BM47*FracLEACH*MSLeachEF*NtoN2O*kgtoGg</f>
        <v>2.2644299119894249E-4</v>
      </c>
      <c r="AU1514" s="22">
        <f>'Activity data'!BN47*FracLEACH*MSLeachEF*NtoN2O*kgtoGg</f>
        <v>2.2639724242481442E-4</v>
      </c>
      <c r="AV1514" s="22">
        <f>'Activity data'!BO47*FracLEACH*MSLeachEF*NtoN2O*kgtoGg</f>
        <v>2.2635313187043375E-4</v>
      </c>
      <c r="AW1514" s="22">
        <f>'Activity data'!BP47*FracLEACH*MSLeachEF*NtoN2O*kgtoGg</f>
        <v>2.2630866373902947E-4</v>
      </c>
    </row>
    <row r="1515" spans="1:49" x14ac:dyDescent="0.2">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1.5037050613825948E-6</v>
      </c>
      <c r="U1515" s="22">
        <f>'Activity data'!AN48*FracLEACH*MSLeachEF*NtoN2O*kgtoGg</f>
        <v>1.5032831980300348E-6</v>
      </c>
      <c r="V1515" s="22">
        <f>'Activity data'!AO48*FracLEACH*MSLeachEF*NtoN2O*kgtoGg</f>
        <v>1.5029529933089607E-6</v>
      </c>
      <c r="W1515" s="22">
        <f>'Activity data'!AP48*FracLEACH*MSLeachEF*NtoN2O*kgtoGg</f>
        <v>1.5026473253257052E-6</v>
      </c>
      <c r="X1515" s="22">
        <f>'Activity data'!AQ48*FracLEACH*MSLeachEF*NtoN2O*kgtoGg</f>
        <v>1.5023056537623651E-6</v>
      </c>
      <c r="Y1515" s="22">
        <f>'Activity data'!AR48*FracLEACH*MSLeachEF*NtoN2O*kgtoGg</f>
        <v>1.5019861770850986E-6</v>
      </c>
      <c r="Z1515" s="22">
        <f>'Activity data'!AS48*FracLEACH*MSLeachEF*NtoN2O*kgtoGg</f>
        <v>1.501701671955191E-6</v>
      </c>
      <c r="AA1515" s="22">
        <f>'Activity data'!AT48*FracLEACH*MSLeachEF*NtoN2O*kgtoGg</f>
        <v>1.5014309537001836E-6</v>
      </c>
      <c r="AB1515" s="22">
        <f>'Activity data'!AU48*FracLEACH*MSLeachEF*NtoN2O*kgtoGg</f>
        <v>1.5011787162299995E-6</v>
      </c>
      <c r="AC1515" s="22">
        <f>'Activity data'!AV48*FracLEACH*MSLeachEF*NtoN2O*kgtoGg</f>
        <v>1.5008674285667609E-6</v>
      </c>
      <c r="AD1515" s="22">
        <f>'Activity data'!AW48*FracLEACH*MSLeachEF*NtoN2O*kgtoGg</f>
        <v>1.5005647184604863E-6</v>
      </c>
      <c r="AE1515" s="22">
        <f>'Activity data'!AX48*FracLEACH*MSLeachEF*NtoN2O*kgtoGg</f>
        <v>1.5002417636198659E-6</v>
      </c>
      <c r="AF1515" s="22">
        <f>'Activity data'!AY48*FracLEACH*MSLeachEF*NtoN2O*kgtoGg</f>
        <v>1.4998643178589887E-6</v>
      </c>
      <c r="AG1515" s="22">
        <f>'Activity data'!AZ48*FracLEACH*MSLeachEF*NtoN2O*kgtoGg</f>
        <v>1.4994642104407695E-6</v>
      </c>
      <c r="AH1515" s="22">
        <f>'Activity data'!BA48*FracLEACH*MSLeachEF*NtoN2O*kgtoGg</f>
        <v>1.4990092672056151E-6</v>
      </c>
      <c r="AI1515" s="22">
        <f>'Activity data'!BB48*FracLEACH*MSLeachEF*NtoN2O*kgtoGg</f>
        <v>1.4986515686172149E-6</v>
      </c>
      <c r="AJ1515" s="22">
        <f>'Activity data'!BC48*FracLEACH*MSLeachEF*NtoN2O*kgtoGg</f>
        <v>1.49831121938018E-6</v>
      </c>
      <c r="AK1515" s="22">
        <f>'Activity data'!BD48*FracLEACH*MSLeachEF*NtoN2O*kgtoGg</f>
        <v>1.4979452872274355E-6</v>
      </c>
      <c r="AL1515" s="22">
        <f>'Activity data'!BE48*FracLEACH*MSLeachEF*NtoN2O*kgtoGg</f>
        <v>1.497595553197834E-6</v>
      </c>
      <c r="AM1515" s="22">
        <f>'Activity data'!BF48*FracLEACH*MSLeachEF*NtoN2O*kgtoGg</f>
        <v>1.4972340802231352E-6</v>
      </c>
      <c r="AN1515" s="22">
        <f>'Activity data'!BG48*FracLEACH*MSLeachEF*NtoN2O*kgtoGg</f>
        <v>1.4968752412643093E-6</v>
      </c>
      <c r="AO1515" s="22">
        <f>'Activity data'!BH48*FracLEACH*MSLeachEF*NtoN2O*kgtoGg</f>
        <v>1.4964785421472656E-6</v>
      </c>
      <c r="AP1515" s="22">
        <f>'Activity data'!BI48*FracLEACH*MSLeachEF*NtoN2O*kgtoGg</f>
        <v>1.4961020129419735E-6</v>
      </c>
      <c r="AQ1515" s="22">
        <f>'Activity data'!BJ48*FracLEACH*MSLeachEF*NtoN2O*kgtoGg</f>
        <v>1.4957251752622144E-6</v>
      </c>
      <c r="AR1515" s="22">
        <f>'Activity data'!BK48*FracLEACH*MSLeachEF*NtoN2O*kgtoGg</f>
        <v>1.4953431103455323E-6</v>
      </c>
      <c r="AS1515" s="22">
        <f>'Activity data'!BL48*FracLEACH*MSLeachEF*NtoN2O*kgtoGg</f>
        <v>1.4949542678234709E-6</v>
      </c>
      <c r="AT1515" s="22">
        <f>'Activity data'!BM48*FracLEACH*MSLeachEF*NtoN2O*kgtoGg</f>
        <v>1.4945237419130207E-6</v>
      </c>
      <c r="AU1515" s="22">
        <f>'Activity data'!BN48*FracLEACH*MSLeachEF*NtoN2O*kgtoGg</f>
        <v>1.4942218000037758E-6</v>
      </c>
      <c r="AV1515" s="22">
        <f>'Activity data'!BO48*FracLEACH*MSLeachEF*NtoN2O*kgtoGg</f>
        <v>1.4939306703448634E-6</v>
      </c>
      <c r="AW1515" s="22">
        <f>'Activity data'!BP48*FracLEACH*MSLeachEF*NtoN2O*kgtoGg</f>
        <v>1.4936371806775946E-6</v>
      </c>
    </row>
    <row r="1516" spans="1:49" x14ac:dyDescent="0.2">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0.20732835560623103</v>
      </c>
      <c r="M1516" s="22">
        <f>SUM('Activity data'!AF50:AF65)*FracLEACH*MSLeachEF*NtoN2O*kgtoGg</f>
        <v>0.20853137086969875</v>
      </c>
      <c r="N1516" s="22">
        <f>SUM('Activity data'!AG50:AG65)*FracLEACH*MSLeachEF*NtoN2O*kgtoGg</f>
        <v>0.20795637847695567</v>
      </c>
      <c r="O1516" s="22">
        <f>SUM('Activity data'!AH50:AH65)*FracLEACH*MSLeachEF*NtoN2O*kgtoGg</f>
        <v>0.20628301821112838</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0.182530302660765</v>
      </c>
      <c r="T1516" s="22">
        <f>SUM('Activity data'!AM50:AM65)*FracLEACH*MSLeachEF*NtoN2O*kgtoGg</f>
        <v>0.18648987714377463</v>
      </c>
      <c r="U1516" s="22">
        <f>SUM('Activity data'!AN50:AN65)*FracLEACH*MSLeachEF*NtoN2O*kgtoGg</f>
        <v>0.18910094694966831</v>
      </c>
      <c r="V1516" s="22">
        <f>SUM('Activity data'!AO50:AO65)*FracLEACH*MSLeachEF*NtoN2O*kgtoGg</f>
        <v>0.19137660443001928</v>
      </c>
      <c r="W1516" s="22">
        <f>SUM('Activity data'!AP50:AP65)*FracLEACH*MSLeachEF*NtoN2O*kgtoGg</f>
        <v>0.19424913553411605</v>
      </c>
      <c r="X1516" s="22">
        <f>SUM('Activity data'!AQ50:AQ65)*FracLEACH*MSLeachEF*NtoN2O*kgtoGg</f>
        <v>0.19681866661571523</v>
      </c>
      <c r="Y1516" s="22">
        <f>SUM('Activity data'!AR50:AR65)*FracLEACH*MSLeachEF*NtoN2O*kgtoGg</f>
        <v>0.198887773981097</v>
      </c>
      <c r="Z1516" s="22">
        <f>SUM('Activity data'!AS50:AS65)*FracLEACH*MSLeachEF*NtoN2O*kgtoGg</f>
        <v>0.20077347633776868</v>
      </c>
      <c r="AA1516" s="22">
        <f>SUM('Activity data'!AT50:AT65)*FracLEACH*MSLeachEF*NtoN2O*kgtoGg</f>
        <v>0.20239928167285137</v>
      </c>
      <c r="AB1516" s="22">
        <f>SUM('Activity data'!AU50:AU65)*FracLEACH*MSLeachEF*NtoN2O*kgtoGg</f>
        <v>0.20498371434502882</v>
      </c>
      <c r="AC1516" s="22">
        <f>SUM('Activity data'!AV50:AV65)*FracLEACH*MSLeachEF*NtoN2O*kgtoGg</f>
        <v>0.20746608089631127</v>
      </c>
      <c r="AD1516" s="22">
        <f>SUM('Activity data'!AW50:AW65)*FracLEACH*MSLeachEF*NtoN2O*kgtoGg</f>
        <v>0.20958576032870826</v>
      </c>
      <c r="AE1516" s="22">
        <f>SUM('Activity data'!AX50:AX65)*FracLEACH*MSLeachEF*NtoN2O*kgtoGg</f>
        <v>0.2125868864780032</v>
      </c>
      <c r="AF1516" s="22">
        <f>SUM('Activity data'!AY50:AY65)*FracLEACH*MSLeachEF*NtoN2O*kgtoGg</f>
        <v>0.21597094750707838</v>
      </c>
      <c r="AG1516" s="22">
        <f>SUM('Activity data'!AZ50:AZ65)*FracLEACH*MSLeachEF*NtoN2O*kgtoGg</f>
        <v>0.22026882906379694</v>
      </c>
      <c r="AH1516" s="22">
        <f>SUM('Activity data'!BA50:BA65)*FracLEACH*MSLeachEF*NtoN2O*kgtoGg</f>
        <v>0.22301109036461528</v>
      </c>
      <c r="AI1516" s="22">
        <f>SUM('Activity data'!BB50:BB65)*FracLEACH*MSLeachEF*NtoN2O*kgtoGg</f>
        <v>0.2254871975923895</v>
      </c>
      <c r="AJ1516" s="22">
        <f>SUM('Activity data'!BC50:BC65)*FracLEACH*MSLeachEF*NtoN2O*kgtoGg</f>
        <v>0.22839683791849513</v>
      </c>
      <c r="AK1516" s="22">
        <f>SUM('Activity data'!BD50:BD65)*FracLEACH*MSLeachEF*NtoN2O*kgtoGg</f>
        <v>0.23105301030632744</v>
      </c>
      <c r="AL1516" s="22">
        <f>SUM('Activity data'!BE50:BE65)*FracLEACH*MSLeachEF*NtoN2O*kgtoGg</f>
        <v>0.23391741682705808</v>
      </c>
      <c r="AM1516" s="22">
        <f>SUM('Activity data'!BF50:BF65)*FracLEACH*MSLeachEF*NtoN2O*kgtoGg</f>
        <v>0.23675201366324419</v>
      </c>
      <c r="AN1516" s="22">
        <f>SUM('Activity data'!BG50:BG65)*FracLEACH*MSLeachEF*NtoN2O*kgtoGg</f>
        <v>0.24068683453385165</v>
      </c>
      <c r="AO1516" s="22">
        <f>SUM('Activity data'!BH50:BH65)*FracLEACH*MSLeachEF*NtoN2O*kgtoGg</f>
        <v>0.24431807258428889</v>
      </c>
      <c r="AP1516" s="22">
        <f>SUM('Activity data'!BI50:BI65)*FracLEACH*MSLeachEF*NtoN2O*kgtoGg</f>
        <v>0.247990087587761</v>
      </c>
      <c r="AQ1516" s="22">
        <f>SUM('Activity data'!BJ50:BJ65)*FracLEACH*MSLeachEF*NtoN2O*kgtoGg</f>
        <v>0.25178910033750079</v>
      </c>
      <c r="AR1516" s="22">
        <f>SUM('Activity data'!BK50:BK65)*FracLEACH*MSLeachEF*NtoN2O*kgtoGg</f>
        <v>0.25574542310185078</v>
      </c>
      <c r="AS1516" s="22">
        <f>SUM('Activity data'!BL50:BL65)*FracLEACH*MSLeachEF*NtoN2O*kgtoGg</f>
        <v>0.26048600400632033</v>
      </c>
      <c r="AT1516" s="22">
        <f>SUM('Activity data'!BM50:BM65)*FracLEACH*MSLeachEF*NtoN2O*kgtoGg</f>
        <v>0.2629760462317593</v>
      </c>
      <c r="AU1516" s="22">
        <f>SUM('Activity data'!BN50:BN65)*FracLEACH*MSLeachEF*NtoN2O*kgtoGg</f>
        <v>0.26529006833740182</v>
      </c>
      <c r="AV1516" s="22">
        <f>SUM('Activity data'!BO50:BO65)*FracLEACH*MSLeachEF*NtoN2O*kgtoGg</f>
        <v>0.26766308982794251</v>
      </c>
      <c r="AW1516" s="22">
        <f>SUM('Activity data'!BP50:BP65)*FracLEACH*MSLeachEF*NtoN2O*kgtoGg</f>
        <v>0.26999671566798311</v>
      </c>
    </row>
    <row r="1517" spans="1:49" x14ac:dyDescent="0.2">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2">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0.10241934435921343</v>
      </c>
      <c r="U1518" s="22">
        <f>'Activity data'!AN85*FracLEACH*MSLeachEF*NtoN2O*kgtoGg</f>
        <v>0.10289653491421205</v>
      </c>
      <c r="V1518" s="22">
        <f>'Activity data'!AO85*FracLEACH*MSLeachEF*NtoN2O*kgtoGg</f>
        <v>0.10327004584650011</v>
      </c>
      <c r="W1518" s="22">
        <f>'Activity data'!AP85*FracLEACH*MSLeachEF*NtoN2O*kgtoGg</f>
        <v>0.10361580205805489</v>
      </c>
      <c r="X1518" s="22">
        <f>'Activity data'!AQ85*FracLEACH*MSLeachEF*NtoN2O*kgtoGg</f>
        <v>0.10400228370418145</v>
      </c>
      <c r="Y1518" s="22">
        <f>'Activity data'!AR85*FracLEACH*MSLeachEF*NtoN2O*kgtoGg</f>
        <v>0.10436365961419813</v>
      </c>
      <c r="Z1518" s="22">
        <f>'Activity data'!AS85*FracLEACH*MSLeachEF*NtoN2O*kgtoGg</f>
        <v>0.10468547747303018</v>
      </c>
      <c r="AA1518" s="22">
        <f>'Activity data'!AT85*FracLEACH*MSLeachEF*NtoN2O*kgtoGg</f>
        <v>0.10499170031407964</v>
      </c>
      <c r="AB1518" s="22">
        <f>'Activity data'!AU85*FracLEACH*MSLeachEF*NtoN2O*kgtoGg</f>
        <v>0.10527701862309623</v>
      </c>
      <c r="AC1518" s="22">
        <f>'Activity data'!AV85*FracLEACH*MSLeachEF*NtoN2O*kgtoGg</f>
        <v>0.1056291315333171</v>
      </c>
      <c r="AD1518" s="22">
        <f>'Activity data'!AW85*FracLEACH*MSLeachEF*NtoN2O*kgtoGg</f>
        <v>0.10597154194356044</v>
      </c>
      <c r="AE1518" s="22">
        <f>'Activity data'!AX85*FracLEACH*MSLeachEF*NtoN2O*kgtoGg</f>
        <v>0.10633685217660206</v>
      </c>
      <c r="AF1518" s="22">
        <f>'Activity data'!AY85*FracLEACH*MSLeachEF*NtoN2O*kgtoGg</f>
        <v>0.10676379979132655</v>
      </c>
      <c r="AG1518" s="22">
        <f>'Activity data'!AZ85*FracLEACH*MSLeachEF*NtoN2O*kgtoGg</f>
        <v>0.10721638113028523</v>
      </c>
      <c r="AH1518" s="22">
        <f>'Activity data'!BA85*FracLEACH*MSLeachEF*NtoN2O*kgtoGg</f>
        <v>0.10773098998066055</v>
      </c>
      <c r="AI1518" s="22">
        <f>'Activity data'!BB85*FracLEACH*MSLeachEF*NtoN2O*kgtoGg</f>
        <v>0.10813560058948724</v>
      </c>
      <c r="AJ1518" s="22">
        <f>'Activity data'!BC85*FracLEACH*MSLeachEF*NtoN2O*kgtoGg</f>
        <v>0.10852058648676627</v>
      </c>
      <c r="AK1518" s="22">
        <f>'Activity data'!BD85*FracLEACH*MSLeachEF*NtoN2O*kgtoGg</f>
        <v>0.10893451048846137</v>
      </c>
      <c r="AL1518" s="22">
        <f>'Activity data'!BE85*FracLEACH*MSLeachEF*NtoN2O*kgtoGg</f>
        <v>0.10933011198993048</v>
      </c>
      <c r="AM1518" s="22">
        <f>'Activity data'!BF85*FracLEACH*MSLeachEF*NtoN2O*kgtoGg</f>
        <v>0.10973899199424218</v>
      </c>
      <c r="AN1518" s="22">
        <f>'Activity data'!BG85*FracLEACH*MSLeachEF*NtoN2O*kgtoGg</f>
        <v>0.11014489253259981</v>
      </c>
      <c r="AO1518" s="22">
        <f>'Activity data'!BH85*FracLEACH*MSLeachEF*NtoN2O*kgtoGg</f>
        <v>0.11059361857310758</v>
      </c>
      <c r="AP1518" s="22">
        <f>'Activity data'!BI85*FracLEACH*MSLeachEF*NtoN2O*kgtoGg</f>
        <v>0.11101952942636521</v>
      </c>
      <c r="AQ1518" s="22">
        <f>'Activity data'!BJ85*FracLEACH*MSLeachEF*NtoN2O*kgtoGg</f>
        <v>0.11144578921038648</v>
      </c>
      <c r="AR1518" s="22">
        <f>'Activity data'!BK85*FracLEACH*MSLeachEF*NtoN2O*kgtoGg</f>
        <v>0.11187796178126933</v>
      </c>
      <c r="AS1518" s="22">
        <f>'Activity data'!BL85*FracLEACH*MSLeachEF*NtoN2O*kgtoGg</f>
        <v>0.11231780083764567</v>
      </c>
      <c r="AT1518" s="22">
        <f>'Activity data'!BM85*FracLEACH*MSLeachEF*NtoN2O*kgtoGg</f>
        <v>0.1128047900413833</v>
      </c>
      <c r="AU1518" s="22">
        <f>'Activity data'!BN85*FracLEACH*MSLeachEF*NtoN2O*kgtoGg</f>
        <v>0.11314633150587833</v>
      </c>
      <c r="AV1518" s="22">
        <f>'Activity data'!BO85*FracLEACH*MSLeachEF*NtoN2O*kgtoGg</f>
        <v>0.11347564269792666</v>
      </c>
      <c r="AW1518" s="22">
        <f>'Activity data'!BP85*FracLEACH*MSLeachEF*NtoN2O*kgtoGg</f>
        <v>0.1138076234124414</v>
      </c>
    </row>
    <row r="1519" spans="1:49" x14ac:dyDescent="0.2">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2">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2">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2">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2">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2">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2">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2">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2">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2">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2">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2">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2">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0.39831175345583053</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0.40481416413578281</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0.40855374420631185</v>
      </c>
      <c r="S1531" s="22">
        <f>Constants!$H63*'Activity data'!AL5*Constants!$H81*EF!$H206*MMVolatEF*NtoN2O*kgtoGg</f>
        <v>0.39736949652274572</v>
      </c>
      <c r="T1531" s="22">
        <f>Constants!$H63*'Activity data'!AM5*Constants!$H81*EF!$H206*MMVolatEF*NtoN2O*kgtoGg</f>
        <v>0.40193613647411602</v>
      </c>
      <c r="U1531" s="22">
        <f>Constants!$H63*'Activity data'!AN5*Constants!$H81*EF!$H206*MMVolatEF*NtoN2O*kgtoGg</f>
        <v>0.40551458062818502</v>
      </c>
      <c r="V1531" s="22">
        <f>Constants!$H63*'Activity data'!AO5*Constants!$H81*EF!$H206*MMVolatEF*NtoN2O*kgtoGg</f>
        <v>0.40890476326282849</v>
      </c>
      <c r="W1531" s="22">
        <f>Constants!$H63*'Activity data'!AP5*Constants!$H81*EF!$H206*MMVolatEF*NtoN2O*kgtoGg</f>
        <v>0.41286821795762335</v>
      </c>
      <c r="X1531" s="22">
        <f>Constants!$H63*'Activity data'!AQ5*Constants!$H81*EF!$H206*MMVolatEF*NtoN2O*kgtoGg</f>
        <v>0.4166639118790918</v>
      </c>
      <c r="Y1531" s="22">
        <f>Constants!$H63*'Activity data'!AR5*Constants!$H81*EF!$H206*MMVolatEF*NtoN2O*kgtoGg</f>
        <v>0.4198473343142145</v>
      </c>
      <c r="Z1531" s="22">
        <f>Constants!$H63*'Activity data'!AS5*Constants!$H81*EF!$H206*MMVolatEF*NtoN2O*kgtoGg</f>
        <v>0.42294233840413964</v>
      </c>
      <c r="AA1531" s="22">
        <f>Constants!$H63*'Activity data'!AT5*Constants!$H81*EF!$H206*MMVolatEF*NtoN2O*kgtoGg</f>
        <v>0.42587799118724151</v>
      </c>
      <c r="AB1531" s="22">
        <f>Constants!$H63*'Activity data'!AU5*Constants!$H81*EF!$H206*MMVolatEF*NtoN2O*kgtoGg</f>
        <v>0.42969675362549747</v>
      </c>
      <c r="AC1531" s="22">
        <f>Constants!$H63*'Activity data'!AV5*Constants!$H81*EF!$H206*MMVolatEF*NtoN2O*kgtoGg</f>
        <v>0.43349587939767537</v>
      </c>
      <c r="AD1531" s="22">
        <f>Constants!$H63*'Activity data'!AW5*Constants!$H81*EF!$H206*MMVolatEF*NtoN2O*kgtoGg</f>
        <v>0.43745946625570531</v>
      </c>
      <c r="AE1531" s="22">
        <f>Constants!$H63*'Activity data'!AX5*Constants!$H81*EF!$H206*MMVolatEF*NtoN2O*kgtoGg</f>
        <v>0.44229495321809359</v>
      </c>
      <c r="AF1531" s="22">
        <f>Constants!$H63*'Activity data'!AY5*Constants!$H81*EF!$H206*MMVolatEF*NtoN2O*kgtoGg</f>
        <v>0.44758124575636155</v>
      </c>
      <c r="AG1531" s="22">
        <f>Constants!$H63*'Activity data'!AZ5*Constants!$H81*EF!$H206*MMVolatEF*NtoN2O*kgtoGg</f>
        <v>0.45381269752253439</v>
      </c>
      <c r="AH1531" s="22">
        <f>Constants!$H63*'Activity data'!BA5*Constants!$H81*EF!$H206*MMVolatEF*NtoN2O*kgtoGg</f>
        <v>0.45874802300299961</v>
      </c>
      <c r="AI1531" s="22">
        <f>Constants!$H63*'Activity data'!BB5*Constants!$H81*EF!$H206*MMVolatEF*NtoN2O*kgtoGg</f>
        <v>0.46333288688967006</v>
      </c>
      <c r="AJ1531" s="22">
        <f>Constants!$H63*'Activity data'!BC5*Constants!$H81*EF!$H206*MMVolatEF*NtoN2O*kgtoGg</f>
        <v>0.46842040791737738</v>
      </c>
      <c r="AK1531" s="22">
        <f>Constants!$H63*'Activity data'!BD5*Constants!$H81*EF!$H206*MMVolatEF*NtoN2O*kgtoGg</f>
        <v>0.47337132456140918</v>
      </c>
      <c r="AL1531" s="22">
        <f>Constants!$H63*'Activity data'!BE5*Constants!$H81*EF!$H206*MMVolatEF*NtoN2O*kgtoGg</f>
        <v>0.47862201153126527</v>
      </c>
      <c r="AM1531" s="22">
        <f>Constants!$H63*'Activity data'!BF5*Constants!$H81*EF!$H206*MMVolatEF*NtoN2O*kgtoGg</f>
        <v>0.48394817784516875</v>
      </c>
      <c r="AN1531" s="22">
        <f>Constants!$H63*'Activity data'!BG5*Constants!$H81*EF!$H206*MMVolatEF*NtoN2O*kgtoGg</f>
        <v>0.48983437623076936</v>
      </c>
      <c r="AO1531" s="22">
        <f>Constants!$H63*'Activity data'!BH5*Constants!$H81*EF!$H206*MMVolatEF*NtoN2O*kgtoGg</f>
        <v>0.49551952889490208</v>
      </c>
      <c r="AP1531" s="22">
        <f>Constants!$H63*'Activity data'!BI5*Constants!$H81*EF!$H206*MMVolatEF*NtoN2O*kgtoGg</f>
        <v>0.50133983118096659</v>
      </c>
      <c r="AQ1531" s="22">
        <f>Constants!$H63*'Activity data'!BJ5*Constants!$H81*EF!$H206*MMVolatEF*NtoN2O*kgtoGg</f>
        <v>0.50738353443884876</v>
      </c>
      <c r="AR1531" s="22">
        <f>Constants!$H63*'Activity data'!BK5*Constants!$H81*EF!$H206*MMVolatEF*NtoN2O*kgtoGg</f>
        <v>0.51368519045610384</v>
      </c>
      <c r="AS1531" s="22">
        <f>Constants!$H63*'Activity data'!BL5*Constants!$H81*EF!$H206*MMVolatEF*NtoN2O*kgtoGg</f>
        <v>0.52070203752488053</v>
      </c>
      <c r="AT1531" s="22">
        <f>Constants!$H63*'Activity data'!BM5*Constants!$H81*EF!$H206*MMVolatEF*NtoN2O*kgtoGg</f>
        <v>0.52550112442398844</v>
      </c>
      <c r="AU1531" s="22">
        <f>Constants!$H63*'Activity data'!BN5*Constants!$H81*EF!$H206*MMVolatEF*NtoN2O*kgtoGg</f>
        <v>0.53018983852857582</v>
      </c>
      <c r="AV1531" s="22">
        <f>Constants!$H63*'Activity data'!BO5*Constants!$H81*EF!$H206*MMVolatEF*NtoN2O*kgtoGg</f>
        <v>0.53501141383334805</v>
      </c>
      <c r="AW1531" s="22">
        <f>Constants!$H63*'Activity data'!BP5*Constants!$H81*EF!$H206*MMVolatEF*NtoN2O*kgtoGg</f>
        <v>0.53986293449927925</v>
      </c>
    </row>
    <row r="1532" spans="1:49" x14ac:dyDescent="0.2">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3.1424516095088999E-2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3.1937519056453263E-2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3.2232550506305392E-2</v>
      </c>
      <c r="S1532" s="22">
        <f>Constants!$H64*'Activity data'!AL6*Constants!$H82*EF!$H207*MMVolatEF*NtoN2O*kgtoGg</f>
        <v>3.1350177419660695E-2</v>
      </c>
      <c r="T1532" s="22">
        <f>Constants!$H64*'Activity data'!AM6*Constants!$H82*EF!$H207*MMVolatEF*NtoN2O*kgtoGg</f>
        <v>3.1710459157287665E-2</v>
      </c>
      <c r="U1532" s="22">
        <f>Constants!$H64*'Activity data'!AN6*Constants!$H82*EF!$H207*MMVolatEF*NtoN2O*kgtoGg</f>
        <v>3.19927779062055E-2</v>
      </c>
      <c r="V1532" s="22">
        <f>Constants!$H64*'Activity data'!AO6*Constants!$H82*EF!$H207*MMVolatEF*NtoN2O*kgtoGg</f>
        <v>3.2260243899471644E-2</v>
      </c>
      <c r="W1532" s="22">
        <f>Constants!$H64*'Activity data'!AP6*Constants!$H82*EF!$H207*MMVolatEF*NtoN2O*kgtoGg</f>
        <v>3.2572937774980257E-2</v>
      </c>
      <c r="X1532" s="22">
        <f>Constants!$H64*'Activity data'!AQ6*Constants!$H82*EF!$H207*MMVolatEF*NtoN2O*kgtoGg</f>
        <v>3.2872396286290406E-2</v>
      </c>
      <c r="Y1532" s="22">
        <f>Constants!$H64*'Activity data'!AR6*Constants!$H82*EF!$H207*MMVolatEF*NtoN2O*kgtoGg</f>
        <v>3.3123550083992911E-2</v>
      </c>
      <c r="Z1532" s="22">
        <f>Constants!$H64*'Activity data'!AS6*Constants!$H82*EF!$H207*MMVolatEF*NtoN2O*kgtoGg</f>
        <v>3.336772818065812E-2</v>
      </c>
      <c r="AA1532" s="22">
        <f>Constants!$H64*'Activity data'!AT6*Constants!$H82*EF!$H207*MMVolatEF*NtoN2O*kgtoGg</f>
        <v>3.3599334371868343E-2</v>
      </c>
      <c r="AB1532" s="22">
        <f>Constants!$H64*'Activity data'!AU6*Constants!$H82*EF!$H207*MMVolatEF*NtoN2O*kgtoGg</f>
        <v>3.3900612857032622E-2</v>
      </c>
      <c r="AC1532" s="22">
        <f>Constants!$H64*'Activity data'!AV6*Constants!$H82*EF!$H207*MMVolatEF*NtoN2O*kgtoGg</f>
        <v>3.4200342121708499E-2</v>
      </c>
      <c r="AD1532" s="22">
        <f>Constants!$H64*'Activity data'!AW6*Constants!$H82*EF!$H207*MMVolatEF*NtoN2O*kgtoGg</f>
        <v>3.4513046424139431E-2</v>
      </c>
      <c r="AE1532" s="22">
        <f>Constants!$H64*'Activity data'!AX6*Constants!$H82*EF!$H207*MMVolatEF*NtoN2O*kgtoGg</f>
        <v>3.4894538651167102E-2</v>
      </c>
      <c r="AF1532" s="22">
        <f>Constants!$H64*'Activity data'!AY6*Constants!$H82*EF!$H207*MMVolatEF*NtoN2O*kgtoGg</f>
        <v>3.5311596856231003E-2</v>
      </c>
      <c r="AG1532" s="22">
        <f>Constants!$H64*'Activity data'!AZ6*Constants!$H82*EF!$H207*MMVolatEF*NtoN2O*kgtoGg</f>
        <v>3.5803222711162215E-2</v>
      </c>
      <c r="AH1532" s="22">
        <f>Constants!$H64*'Activity data'!BA6*Constants!$H82*EF!$H207*MMVolatEF*NtoN2O*kgtoGg</f>
        <v>3.6192591625460596E-2</v>
      </c>
      <c r="AI1532" s="22">
        <f>Constants!$H64*'Activity data'!BB6*Constants!$H82*EF!$H207*MMVolatEF*NtoN2O*kgtoGg</f>
        <v>3.6554311127208743E-2</v>
      </c>
      <c r="AJ1532" s="22">
        <f>Constants!$H64*'Activity data'!BC6*Constants!$H82*EF!$H207*MMVolatEF*NtoN2O*kgtoGg</f>
        <v>3.6955687398514313E-2</v>
      </c>
      <c r="AK1532" s="22">
        <f>Constants!$H64*'Activity data'!BD6*Constants!$H82*EF!$H207*MMVolatEF*NtoN2O*kgtoGg</f>
        <v>3.7346286366322763E-2</v>
      </c>
      <c r="AL1532" s="22">
        <f>Constants!$H64*'Activity data'!BE6*Constants!$H82*EF!$H207*MMVolatEF*NtoN2O*kgtoGg</f>
        <v>3.7760535495962914E-2</v>
      </c>
      <c r="AM1532" s="22">
        <f>Constants!$H64*'Activity data'!BF6*Constants!$H82*EF!$H207*MMVolatEF*NtoN2O*kgtoGg</f>
        <v>3.8180739513555217E-2</v>
      </c>
      <c r="AN1532" s="22">
        <f>Constants!$H64*'Activity data'!BG6*Constants!$H82*EF!$H207*MMVolatEF*NtoN2O*kgtoGg</f>
        <v>3.8645126854130414E-2</v>
      </c>
      <c r="AO1532" s="22">
        <f>Constants!$H64*'Activity data'!BH6*Constants!$H82*EF!$H207*MMVolatEF*NtoN2O*kgtoGg</f>
        <v>3.9093652838731792E-2</v>
      </c>
      <c r="AP1532" s="22">
        <f>Constants!$H64*'Activity data'!BI6*Constants!$H82*EF!$H207*MMVolatEF*NtoN2O*kgtoGg</f>
        <v>3.9552841354460577E-2</v>
      </c>
      <c r="AQ1532" s="22">
        <f>Constants!$H64*'Activity data'!BJ6*Constants!$H82*EF!$H207*MMVolatEF*NtoN2O*kgtoGg</f>
        <v>4.0029654927380476E-2</v>
      </c>
      <c r="AR1532" s="22">
        <f>Constants!$H64*'Activity data'!BK6*Constants!$H82*EF!$H207*MMVolatEF*NtoN2O*kgtoGg</f>
        <v>4.0526819495640978E-2</v>
      </c>
      <c r="AS1532" s="22">
        <f>Constants!$H64*'Activity data'!BL6*Constants!$H82*EF!$H207*MMVolatEF*NtoN2O*kgtoGg</f>
        <v>4.1080408541749817E-2</v>
      </c>
      <c r="AT1532" s="22">
        <f>Constants!$H64*'Activity data'!BM6*Constants!$H82*EF!$H207*MMVolatEF*NtoN2O*kgtoGg</f>
        <v>4.145902901225889E-2</v>
      </c>
      <c r="AU1532" s="22">
        <f>Constants!$H64*'Activity data'!BN6*Constants!$H82*EF!$H207*MMVolatEF*NtoN2O*kgtoGg</f>
        <v>4.1828941701418883E-2</v>
      </c>
      <c r="AV1532" s="22">
        <f>Constants!$H64*'Activity data'!BO6*Constants!$H82*EF!$H207*MMVolatEF*NtoN2O*kgtoGg</f>
        <v>4.2209336378336959E-2</v>
      </c>
      <c r="AW1532" s="22">
        <f>Constants!$H64*'Activity data'!BP6*Constants!$H82*EF!$H207*MMVolatEF*NtoN2O*kgtoGg</f>
        <v>4.2592093572744245E-2</v>
      </c>
    </row>
    <row r="1533" spans="1:49" x14ac:dyDescent="0.2">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2.9129279224209421E-4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2.960481260901027E-4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2.9878295053629647E-4</v>
      </c>
      <c r="S1533" s="22">
        <f>Constants!$H65*'Activity data'!AL7*Constants!$H83*EF!$H208*MMVolatEF*NtoN2O*kgtoGg</f>
        <v>2.906037022248744E-4</v>
      </c>
      <c r="T1533" s="22">
        <f>Constants!$H65*'Activity data'!AM7*Constants!$H83*EF!$H208*MMVolatEF*NtoN2O*kgtoGg</f>
        <v>2.9394337094179688E-4</v>
      </c>
      <c r="U1533" s="22">
        <f>Constants!$H65*'Activity data'!AN7*Constants!$H83*EF!$H208*MMVolatEF*NtoN2O*kgtoGg</f>
        <v>2.9656035369582628E-4</v>
      </c>
      <c r="V1533" s="22">
        <f>Constants!$H65*'Activity data'!AO7*Constants!$H83*EF!$H208*MMVolatEF*NtoN2O*kgtoGg</f>
        <v>2.9903965729981968E-4</v>
      </c>
      <c r="W1533" s="22">
        <f>Constants!$H65*'Activity data'!AP7*Constants!$H83*EF!$H208*MMVolatEF*NtoN2O*kgtoGg</f>
        <v>3.0193820542187468E-4</v>
      </c>
      <c r="X1533" s="22">
        <f>Constants!$H65*'Activity data'!AQ7*Constants!$H83*EF!$H208*MMVolatEF*NtoN2O*kgtoGg</f>
        <v>3.0471406697074431E-4</v>
      </c>
      <c r="Y1533" s="22">
        <f>Constants!$H65*'Activity data'!AR7*Constants!$H83*EF!$H208*MMVolatEF*NtoN2O*kgtoGg</f>
        <v>3.0704216299594947E-4</v>
      </c>
      <c r="Z1533" s="22">
        <f>Constants!$H65*'Activity data'!AS7*Constants!$H83*EF!$H208*MMVolatEF*NtoN2O*kgtoGg</f>
        <v>3.093055970410988E-4</v>
      </c>
      <c r="AA1533" s="22">
        <f>Constants!$H65*'Activity data'!AT7*Constants!$H83*EF!$H208*MMVolatEF*NtoN2O*kgtoGg</f>
        <v>3.1145249451229731E-4</v>
      </c>
      <c r="AB1533" s="22">
        <f>Constants!$H65*'Activity data'!AU7*Constants!$H83*EF!$H208*MMVolatEF*NtoN2O*kgtoGg</f>
        <v>3.1424522649647207E-4</v>
      </c>
      <c r="AC1533" s="22">
        <f>Constants!$H65*'Activity data'!AV7*Constants!$H83*EF!$H208*MMVolatEF*NtoN2O*kgtoGg</f>
        <v>3.1702359782158373E-4</v>
      </c>
      <c r="AD1533" s="22">
        <f>Constants!$H65*'Activity data'!AW7*Constants!$H83*EF!$H208*MMVolatEF*NtoN2O*kgtoGg</f>
        <v>3.1992224259707024E-4</v>
      </c>
      <c r="AE1533" s="22">
        <f>Constants!$H65*'Activity data'!AX7*Constants!$H83*EF!$H208*MMVolatEF*NtoN2O*kgtoGg</f>
        <v>3.2345852413258482E-4</v>
      </c>
      <c r="AF1533" s="22">
        <f>Constants!$H65*'Activity data'!AY7*Constants!$H83*EF!$H208*MMVolatEF*NtoN2O*kgtoGg</f>
        <v>3.2732448816884659E-4</v>
      </c>
      <c r="AG1533" s="22">
        <f>Constants!$H65*'Activity data'!AZ7*Constants!$H83*EF!$H208*MMVolatEF*NtoN2O*kgtoGg</f>
        <v>3.3188166472450077E-4</v>
      </c>
      <c r="AH1533" s="22">
        <f>Constants!$H65*'Activity data'!BA7*Constants!$H83*EF!$H208*MMVolatEF*NtoN2O*kgtoGg</f>
        <v>3.3549096002486584E-4</v>
      </c>
      <c r="AI1533" s="22">
        <f>Constants!$H65*'Activity data'!BB7*Constants!$H83*EF!$H208*MMVolatEF*NtoN2O*kgtoGg</f>
        <v>3.3884395624456256E-4</v>
      </c>
      <c r="AJ1533" s="22">
        <f>Constants!$H65*'Activity data'!BC7*Constants!$H83*EF!$H208*MMVolatEF*NtoN2O*kgtoGg</f>
        <v>3.4256455497882901E-4</v>
      </c>
      <c r="AK1533" s="22">
        <f>Constants!$H65*'Activity data'!BD7*Constants!$H83*EF!$H208*MMVolatEF*NtoN2O*kgtoGg</f>
        <v>3.4618525238704095E-4</v>
      </c>
      <c r="AL1533" s="22">
        <f>Constants!$H65*'Activity data'!BE7*Constants!$H83*EF!$H208*MMVolatEF*NtoN2O*kgtoGg</f>
        <v>3.5002517740900785E-4</v>
      </c>
      <c r="AM1533" s="22">
        <f>Constants!$H65*'Activity data'!BF7*Constants!$H83*EF!$H208*MMVolatEF*NtoN2O*kgtoGg</f>
        <v>3.539203018788781E-4</v>
      </c>
      <c r="AN1533" s="22">
        <f>Constants!$H65*'Activity data'!BG7*Constants!$H83*EF!$H208*MMVolatEF*NtoN2O*kgtoGg</f>
        <v>3.5822498821704474E-4</v>
      </c>
      <c r="AO1533" s="22">
        <f>Constants!$H65*'Activity data'!BH7*Constants!$H83*EF!$H208*MMVolatEF*NtoN2O*kgtoGg</f>
        <v>3.6238264608048877E-4</v>
      </c>
      <c r="AP1533" s="22">
        <f>Constants!$H65*'Activity data'!BI7*Constants!$H83*EF!$H208*MMVolatEF*NtoN2O*kgtoGg</f>
        <v>3.6663914137567152E-4</v>
      </c>
      <c r="AQ1533" s="22">
        <f>Constants!$H65*'Activity data'!BJ7*Constants!$H83*EF!$H208*MMVolatEF*NtoN2O*kgtoGg</f>
        <v>3.7105901395587245E-4</v>
      </c>
      <c r="AR1533" s="22">
        <f>Constants!$H65*'Activity data'!BK7*Constants!$H83*EF!$H208*MMVolatEF*NtoN2O*kgtoGg</f>
        <v>3.756675321858498E-4</v>
      </c>
      <c r="AS1533" s="22">
        <f>Constants!$H65*'Activity data'!BL7*Constants!$H83*EF!$H208*MMVolatEF*NtoN2O*kgtoGg</f>
        <v>3.8079908293137994E-4</v>
      </c>
      <c r="AT1533" s="22">
        <f>Constants!$H65*'Activity data'!BM7*Constants!$H83*EF!$H208*MMVolatEF*NtoN2O*kgtoGg</f>
        <v>3.8430874442372815E-4</v>
      </c>
      <c r="AU1533" s="22">
        <f>Constants!$H65*'Activity data'!BN7*Constants!$H83*EF!$H208*MMVolatEF*NtoN2O*kgtoGg</f>
        <v>3.877376882389691E-4</v>
      </c>
      <c r="AV1533" s="22">
        <f>Constants!$H65*'Activity data'!BO7*Constants!$H83*EF!$H208*MMVolatEF*NtoN2O*kgtoGg</f>
        <v>3.9126379592057032E-4</v>
      </c>
      <c r="AW1533" s="22">
        <f>Constants!$H65*'Activity data'!BP7*Constants!$H83*EF!$H208*MMVolatEF*NtoN2O*kgtoGg</f>
        <v>3.9481180320164583E-4</v>
      </c>
    </row>
    <row r="1534" spans="1:49" x14ac:dyDescent="0.2">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3.2323215352203891E-3</v>
      </c>
      <c r="L1534" s="22">
        <f>Constants!$H66*'Activity data'!AE8*Constants!$H84*EF!$H209*MMVolatEF*NtoN2O*kgtoGg</f>
        <v>3.2042886428129457E-3</v>
      </c>
      <c r="M1534" s="22">
        <f>Constants!$H66*'Activity data'!AF8*Constants!$H84*EF!$H209*MMVolatEF*NtoN2O*kgtoGg</f>
        <v>3.193617369300608E-3</v>
      </c>
      <c r="N1534" s="22">
        <f>Constants!$H66*'Activity data'!AG8*Constants!$H84*EF!$H209*MMVolatEF*NtoN2O*kgtoGg</f>
        <v>3.150970789688672E-3</v>
      </c>
      <c r="O1534" s="22">
        <f>Constants!$H66*'Activity data'!AH8*Constants!$H84*EF!$H209*MMVolatEF*NtoN2O*kgtoGg</f>
        <v>3.0890682378804132E-3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2.561902690551985E-3</v>
      </c>
      <c r="T1534" s="22">
        <f>Constants!$H66*'Activity data'!AM8*Constants!$H84*EF!$H209*MMVolatEF*NtoN2O*kgtoGg</f>
        <v>2.6109067650953812E-3</v>
      </c>
      <c r="U1534" s="22">
        <f>Constants!$H66*'Activity data'!AN8*Constants!$H84*EF!$H209*MMVolatEF*NtoN2O*kgtoGg</f>
        <v>2.6371073705861066E-3</v>
      </c>
      <c r="V1534" s="22">
        <f>Constants!$H66*'Activity data'!AO8*Constants!$H84*EF!$H209*MMVolatEF*NtoN2O*kgtoGg</f>
        <v>2.6572763543899086E-3</v>
      </c>
      <c r="W1534" s="22">
        <f>Constants!$H66*'Activity data'!AP8*Constants!$H84*EF!$H209*MMVolatEF*NtoN2O*kgtoGg</f>
        <v>2.6864577406949136E-3</v>
      </c>
      <c r="X1534" s="22">
        <f>Constants!$H66*'Activity data'!AQ8*Constants!$H84*EF!$H209*MMVolatEF*NtoN2O*kgtoGg</f>
        <v>2.7101399939897432E-3</v>
      </c>
      <c r="Y1534" s="22">
        <f>Constants!$H66*'Activity data'!AR8*Constants!$H84*EF!$H209*MMVolatEF*NtoN2O*kgtoGg</f>
        <v>2.7254068910752506E-3</v>
      </c>
      <c r="Z1534" s="22">
        <f>Constants!$H66*'Activity data'!AS8*Constants!$H84*EF!$H209*MMVolatEF*NtoN2O*kgtoGg</f>
        <v>2.7372910281189241E-3</v>
      </c>
      <c r="AA1534" s="22">
        <f>Constants!$H66*'Activity data'!AT8*Constants!$H84*EF!$H209*MMVolatEF*NtoN2O*kgtoGg</f>
        <v>2.7446565965779596E-3</v>
      </c>
      <c r="AB1534" s="22">
        <f>Constants!$H66*'Activity data'!AU8*Constants!$H84*EF!$H209*MMVolatEF*NtoN2O*kgtoGg</f>
        <v>2.766461574169799E-3</v>
      </c>
      <c r="AC1534" s="22">
        <f>Constants!$H66*'Activity data'!AV8*Constants!$H84*EF!$H209*MMVolatEF*NtoN2O*kgtoGg</f>
        <v>2.7860807889478114E-3</v>
      </c>
      <c r="AD1534" s="22">
        <f>Constants!$H66*'Activity data'!AW8*Constants!$H84*EF!$H209*MMVolatEF*NtoN2O*kgtoGg</f>
        <v>2.7870926745375917E-3</v>
      </c>
      <c r="AE1534" s="22">
        <f>Constants!$H66*'Activity data'!AX8*Constants!$H84*EF!$H209*MMVolatEF*NtoN2O*kgtoGg</f>
        <v>2.8002357420559331E-3</v>
      </c>
      <c r="AF1534" s="22">
        <f>Constants!$H66*'Activity data'!AY8*Constants!$H84*EF!$H209*MMVolatEF*NtoN2O*kgtoGg</f>
        <v>2.8176157227712195E-3</v>
      </c>
      <c r="AG1534" s="22">
        <f>Constants!$H66*'Activity data'!AZ8*Constants!$H84*EF!$H209*MMVolatEF*NtoN2O*kgtoGg</f>
        <v>2.8467949657152583E-3</v>
      </c>
      <c r="AH1534" s="22">
        <f>Constants!$H66*'Activity data'!BA8*Constants!$H84*EF!$H209*MMVolatEF*NtoN2O*kgtoGg</f>
        <v>2.8514553566539535E-3</v>
      </c>
      <c r="AI1534" s="22">
        <f>Constants!$H66*'Activity data'!BB8*Constants!$H84*EF!$H209*MMVolatEF*NtoN2O*kgtoGg</f>
        <v>2.8509661505713695E-3</v>
      </c>
      <c r="AJ1534" s="22">
        <f>Constants!$H66*'Activity data'!BC8*Constants!$H84*EF!$H209*MMVolatEF*NtoN2O*kgtoGg</f>
        <v>2.8552472952040066E-3</v>
      </c>
      <c r="AK1534" s="22">
        <f>Constants!$H66*'Activity data'!BD8*Constants!$H84*EF!$H209*MMVolatEF*NtoN2O*kgtoGg</f>
        <v>2.8544571157094324E-3</v>
      </c>
      <c r="AL1534" s="22">
        <f>Constants!$H66*'Activity data'!BE8*Constants!$H84*EF!$H209*MMVolatEF*NtoN2O*kgtoGg</f>
        <v>2.8550616993206577E-3</v>
      </c>
      <c r="AM1534" s="22">
        <f>Constants!$H66*'Activity data'!BF8*Constants!$H84*EF!$H209*MMVolatEF*NtoN2O*kgtoGg</f>
        <v>2.8536896120201398E-3</v>
      </c>
      <c r="AN1534" s="22">
        <f>Constants!$H66*'Activity data'!BG8*Constants!$H84*EF!$H209*MMVolatEF*NtoN2O*kgtoGg</f>
        <v>2.8741715259670993E-3</v>
      </c>
      <c r="AO1534" s="22">
        <f>Constants!$H66*'Activity data'!BH8*Constants!$H84*EF!$H209*MMVolatEF*NtoN2O*kgtoGg</f>
        <v>2.8891552087920934E-3</v>
      </c>
      <c r="AP1534" s="22">
        <f>Constants!$H66*'Activity data'!BI8*Constants!$H84*EF!$H209*MMVolatEF*NtoN2O*kgtoGg</f>
        <v>2.9032743711579932E-3</v>
      </c>
      <c r="AQ1534" s="22">
        <f>Constants!$H66*'Activity data'!BJ8*Constants!$H84*EF!$H209*MMVolatEF*NtoN2O*kgtoGg</f>
        <v>2.9176093020266492E-3</v>
      </c>
      <c r="AR1534" s="22">
        <f>Constants!$H66*'Activity data'!BK8*Constants!$H84*EF!$H209*MMVolatEF*NtoN2O*kgtoGg</f>
        <v>2.9324708677435766E-3</v>
      </c>
      <c r="AS1534" s="22">
        <f>Constants!$H66*'Activity data'!BL8*Constants!$H84*EF!$H209*MMVolatEF*NtoN2O*kgtoGg</f>
        <v>2.955760646257155E-3</v>
      </c>
      <c r="AT1534" s="22">
        <f>Constants!$H66*'Activity data'!BM8*Constants!$H84*EF!$H209*MMVolatEF*NtoN2O*kgtoGg</f>
        <v>2.949200862307677E-3</v>
      </c>
      <c r="AU1534" s="22">
        <f>Constants!$H66*'Activity data'!BN8*Constants!$H84*EF!$H209*MMVolatEF*NtoN2O*kgtoGg</f>
        <v>2.9393657295562411E-3</v>
      </c>
      <c r="AV1534" s="22">
        <f>Constants!$H66*'Activity data'!BO8*Constants!$H84*EF!$H209*MMVolatEF*NtoN2O*kgtoGg</f>
        <v>2.9291791996267137E-3</v>
      </c>
      <c r="AW1534" s="22">
        <f>Constants!$H66*'Activity data'!BP8*Constants!$H84*EF!$H209*MMVolatEF*NtoN2O*kgtoGg</f>
        <v>2.9174224191291709E-3</v>
      </c>
    </row>
    <row r="1535" spans="1:49" x14ac:dyDescent="0.2">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1.6090517274103575E-2</v>
      </c>
      <c r="L1535" s="22">
        <f>Constants!$H67*'Activity data'!AE9*Constants!$H85*EF!$H210*MMVolatEF*NtoN2O*kgtoGg</f>
        <v>1.5950969356419611E-2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1.5377401443792467E-2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1.2753167977791692E-2</v>
      </c>
      <c r="T1535" s="22">
        <f>Constants!$H67*'Activity data'!AM9*Constants!$H85*EF!$H210*MMVolatEF*NtoN2O*kgtoGg</f>
        <v>1.2997110574266151E-2</v>
      </c>
      <c r="U1535" s="22">
        <f>Constants!$H67*'Activity data'!AN9*Constants!$H85*EF!$H210*MMVolatEF*NtoN2O*kgtoGg</f>
        <v>1.312753735596061E-2</v>
      </c>
      <c r="V1535" s="22">
        <f>Constants!$H67*'Activity data'!AO9*Constants!$H85*EF!$H210*MMVolatEF*NtoN2O*kgtoGg</f>
        <v>1.3227938686323331E-2</v>
      </c>
      <c r="W1535" s="22">
        <f>Constants!$H67*'Activity data'!AP9*Constants!$H85*EF!$H210*MMVolatEF*NtoN2O*kgtoGg</f>
        <v>1.337320381397436E-2</v>
      </c>
      <c r="X1535" s="22">
        <f>Constants!$H67*'Activity data'!AQ9*Constants!$H85*EF!$H210*MMVolatEF*NtoN2O*kgtoGg</f>
        <v>1.349109422233195E-2</v>
      </c>
      <c r="Y1535" s="22">
        <f>Constants!$H67*'Activity data'!AR9*Constants!$H85*EF!$H210*MMVolatEF*NtoN2O*kgtoGg</f>
        <v>1.3567092933660515E-2</v>
      </c>
      <c r="Z1535" s="22">
        <f>Constants!$H67*'Activity data'!AS9*Constants!$H85*EF!$H210*MMVolatEF*NtoN2O*kgtoGg</f>
        <v>1.3626252243866949E-2</v>
      </c>
      <c r="AA1535" s="22">
        <f>Constants!$H67*'Activity data'!AT9*Constants!$H85*EF!$H210*MMVolatEF*NtoN2O*kgtoGg</f>
        <v>1.3662918090761304E-2</v>
      </c>
      <c r="AB1535" s="22">
        <f>Constants!$H67*'Activity data'!AU9*Constants!$H85*EF!$H210*MMVolatEF*NtoN2O*kgtoGg</f>
        <v>1.3771463408663595E-2</v>
      </c>
      <c r="AC1535" s="22">
        <f>Constants!$H67*'Activity data'!AV9*Constants!$H85*EF!$H210*MMVolatEF*NtoN2O*kgtoGg</f>
        <v>1.3869127985299977E-2</v>
      </c>
      <c r="AD1535" s="22">
        <f>Constants!$H67*'Activity data'!AW9*Constants!$H85*EF!$H210*MMVolatEF*NtoN2O*kgtoGg</f>
        <v>1.3874165158237254E-2</v>
      </c>
      <c r="AE1535" s="22">
        <f>Constants!$H67*'Activity data'!AX9*Constants!$H85*EF!$H210*MMVolatEF*NtoN2O*kgtoGg</f>
        <v>1.3939591432397862E-2</v>
      </c>
      <c r="AF1535" s="22">
        <f>Constants!$H67*'Activity data'!AY9*Constants!$H85*EF!$H210*MMVolatEF*NtoN2O*kgtoGg</f>
        <v>1.4026109087549346E-2</v>
      </c>
      <c r="AG1535" s="22">
        <f>Constants!$H67*'Activity data'!AZ9*Constants!$H85*EF!$H210*MMVolatEF*NtoN2O*kgtoGg</f>
        <v>1.4171363545535784E-2</v>
      </c>
      <c r="AH1535" s="22">
        <f>Constants!$H67*'Activity data'!BA9*Constants!$H85*EF!$H210*MMVolatEF*NtoN2O*kgtoGg</f>
        <v>1.4194563001433364E-2</v>
      </c>
      <c r="AI1535" s="22">
        <f>Constants!$H67*'Activity data'!BB9*Constants!$H85*EF!$H210*MMVolatEF*NtoN2O*kgtoGg</f>
        <v>1.4192127730425623E-2</v>
      </c>
      <c r="AJ1535" s="22">
        <f>Constants!$H67*'Activity data'!BC9*Constants!$H85*EF!$H210*MMVolatEF*NtoN2O*kgtoGg</f>
        <v>1.4213439295786241E-2</v>
      </c>
      <c r="AK1535" s="22">
        <f>Constants!$H67*'Activity data'!BD9*Constants!$H85*EF!$H210*MMVolatEF*NtoN2O*kgtoGg</f>
        <v>1.4209505777208791E-2</v>
      </c>
      <c r="AL1535" s="22">
        <f>Constants!$H67*'Activity data'!BE9*Constants!$H85*EF!$H210*MMVolatEF*NtoN2O*kgtoGg</f>
        <v>1.4212515398291981E-2</v>
      </c>
      <c r="AM1535" s="22">
        <f>Constants!$H67*'Activity data'!BF9*Constants!$H85*EF!$H210*MMVolatEF*NtoN2O*kgtoGg</f>
        <v>1.4205685138935052E-2</v>
      </c>
      <c r="AN1535" s="22">
        <f>Constants!$H67*'Activity data'!BG9*Constants!$H85*EF!$H210*MMVolatEF*NtoN2O*kgtoGg</f>
        <v>1.4307644237551697E-2</v>
      </c>
      <c r="AO1535" s="22">
        <f>Constants!$H67*'Activity data'!BH9*Constants!$H85*EF!$H210*MMVolatEF*NtoN2O*kgtoGg</f>
        <v>1.4382233106480177E-2</v>
      </c>
      <c r="AP1535" s="22">
        <f>Constants!$H67*'Activity data'!BI9*Constants!$H85*EF!$H210*MMVolatEF*NtoN2O*kgtoGg</f>
        <v>1.4452518387034392E-2</v>
      </c>
      <c r="AQ1535" s="22">
        <f>Constants!$H67*'Activity data'!BJ9*Constants!$H85*EF!$H210*MMVolatEF*NtoN2O*kgtoGg</f>
        <v>1.4523877764575229E-2</v>
      </c>
      <c r="AR1535" s="22">
        <f>Constants!$H67*'Activity data'!BK9*Constants!$H85*EF!$H210*MMVolatEF*NtoN2O*kgtoGg</f>
        <v>1.4597858733758781E-2</v>
      </c>
      <c r="AS1535" s="22">
        <f>Constants!$H67*'Activity data'!BL9*Constants!$H85*EF!$H210*MMVolatEF*NtoN2O*kgtoGg</f>
        <v>1.4713795400145288E-2</v>
      </c>
      <c r="AT1535" s="22">
        <f>Constants!$H67*'Activity data'!BM9*Constants!$H85*EF!$H210*MMVolatEF*NtoN2O*kgtoGg</f>
        <v>1.4681140753692774E-2</v>
      </c>
      <c r="AU1535" s="22">
        <f>Constants!$H67*'Activity data'!BN9*Constants!$H85*EF!$H210*MMVolatEF*NtoN2O*kgtoGg</f>
        <v>1.4632181399957167E-2</v>
      </c>
      <c r="AV1535" s="22">
        <f>Constants!$H67*'Activity data'!BO9*Constants!$H85*EF!$H210*MMVolatEF*NtoN2O*kgtoGg</f>
        <v>1.4581472788821714E-2</v>
      </c>
      <c r="AW1535" s="22">
        <f>Constants!$H67*'Activity data'!BP9*Constants!$H85*EF!$H210*MMVolatEF*NtoN2O*kgtoGg</f>
        <v>1.4522947460316408E-2</v>
      </c>
    </row>
    <row r="1536" spans="1:49" x14ac:dyDescent="0.2">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0.16370016056893644</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0.17840915017095665</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0.17354626936315642</v>
      </c>
      <c r="T1536" s="22">
        <f>Constants!$H68*'Activity data'!AM10*Constants!$H86*EF!$H211*MMVolatEF*NtoN2O*kgtoGg</f>
        <v>0.18112703744691877</v>
      </c>
      <c r="U1536" s="22">
        <f>Constants!$H68*'Activity data'!AN10*Constants!$H86*EF!$H211*MMVolatEF*NtoN2O*kgtoGg</f>
        <v>0.18729176246517146</v>
      </c>
      <c r="V1536" s="22">
        <f>Constants!$H68*'Activity data'!AO10*Constants!$H86*EF!$H211*MMVolatEF*NtoN2O*kgtoGg</f>
        <v>0.19315163846975197</v>
      </c>
      <c r="W1536" s="22">
        <f>Constants!$H68*'Activity data'!AP10*Constants!$H86*EF!$H211*MMVolatEF*NtoN2O*kgtoGg</f>
        <v>0.1997999174777515</v>
      </c>
      <c r="X1536" s="22">
        <f>Constants!$H68*'Activity data'!AQ10*Constants!$H86*EF!$H211*MMVolatEF*NtoN2O*kgtoGg</f>
        <v>0.20618321754826516</v>
      </c>
      <c r="Y1536" s="22">
        <f>Constants!$H68*'Activity data'!AR10*Constants!$H86*EF!$H211*MMVolatEF*NtoN2O*kgtoGg</f>
        <v>0.21205125968323466</v>
      </c>
      <c r="Z1536" s="22">
        <f>Constants!$H68*'Activity data'!AS10*Constants!$H86*EF!$H211*MMVolatEF*NtoN2O*kgtoGg</f>
        <v>0.21776504311044109</v>
      </c>
      <c r="AA1536" s="22">
        <f>Constants!$H68*'Activity data'!AT10*Constants!$H86*EF!$H211*MMVolatEF*NtoN2O*kgtoGg</f>
        <v>0.22321845446592189</v>
      </c>
      <c r="AB1536" s="22">
        <f>Constants!$H68*'Activity data'!AU10*Constants!$H86*EF!$H211*MMVolatEF*NtoN2O*kgtoGg</f>
        <v>0.22996706841629874</v>
      </c>
      <c r="AC1536" s="22">
        <f>Constants!$H68*'Activity data'!AV10*Constants!$H86*EF!$H211*MMVolatEF*NtoN2O*kgtoGg</f>
        <v>0.23668130693108949</v>
      </c>
      <c r="AD1536" s="22">
        <f>Constants!$H68*'Activity data'!AW10*Constants!$H86*EF!$H211*MMVolatEF*NtoN2O*kgtoGg</f>
        <v>0.24461911204797512</v>
      </c>
      <c r="AE1536" s="22">
        <f>Constants!$H68*'Activity data'!AX10*Constants!$H86*EF!$H211*MMVolatEF*NtoN2O*kgtoGg</f>
        <v>0.25393877237777696</v>
      </c>
      <c r="AF1536" s="22">
        <f>Constants!$H68*'Activity data'!AY10*Constants!$H86*EF!$H211*MMVolatEF*NtoN2O*kgtoGg</f>
        <v>0.26402636464996099</v>
      </c>
      <c r="AG1536" s="22">
        <f>Constants!$H68*'Activity data'!AZ10*Constants!$H86*EF!$H211*MMVolatEF*NtoN2O*kgtoGg</f>
        <v>0.27567496604841074</v>
      </c>
      <c r="AH1536" s="22">
        <f>Constants!$H68*'Activity data'!BA10*Constants!$H86*EF!$H211*MMVolatEF*NtoN2O*kgtoGg</f>
        <v>0.28538857228327053</v>
      </c>
      <c r="AI1536" s="22">
        <f>Constants!$H68*'Activity data'!BB10*Constants!$H86*EF!$H211*MMVolatEF*NtoN2O*kgtoGg</f>
        <v>0.29495307266242238</v>
      </c>
      <c r="AJ1536" s="22">
        <f>Constants!$H68*'Activity data'!BC10*Constants!$H86*EF!$H211*MMVolatEF*NtoN2O*kgtoGg</f>
        <v>0.3053980286161922</v>
      </c>
      <c r="AK1536" s="22">
        <f>Constants!$H68*'Activity data'!BD10*Constants!$H86*EF!$H211*MMVolatEF*NtoN2O*kgtoGg</f>
        <v>0.3157092357133186</v>
      </c>
      <c r="AL1536" s="22">
        <f>Constants!$H68*'Activity data'!BE10*Constants!$H86*EF!$H211*MMVolatEF*NtoN2O*kgtoGg</f>
        <v>0.32659469477462816</v>
      </c>
      <c r="AM1536" s="22">
        <f>Constants!$H68*'Activity data'!BF10*Constants!$H86*EF!$H211*MMVolatEF*NtoN2O*kgtoGg</f>
        <v>0.33769759276940581</v>
      </c>
      <c r="AN1536" s="22">
        <f>Constants!$H68*'Activity data'!BG10*Constants!$H86*EF!$H211*MMVolatEF*NtoN2O*kgtoGg</f>
        <v>0.34971796912079089</v>
      </c>
      <c r="AO1536" s="22">
        <f>Constants!$H68*'Activity data'!BH10*Constants!$H86*EF!$H211*MMVolatEF*NtoN2O*kgtoGg</f>
        <v>0.36149422928557057</v>
      </c>
      <c r="AP1536" s="22">
        <f>Constants!$H68*'Activity data'!BI10*Constants!$H86*EF!$H211*MMVolatEF*NtoN2O*kgtoGg</f>
        <v>0.3735858155993782</v>
      </c>
      <c r="AQ1536" s="22">
        <f>Constants!$H68*'Activity data'!BJ10*Constants!$H86*EF!$H211*MMVolatEF*NtoN2O*kgtoGg</f>
        <v>0.38614747590772142</v>
      </c>
      <c r="AR1536" s="22">
        <f>Constants!$H68*'Activity data'!BK10*Constants!$H86*EF!$H211*MMVolatEF*NtoN2O*kgtoGg</f>
        <v>0.3992463303443215</v>
      </c>
      <c r="AS1536" s="22">
        <f>Constants!$H68*'Activity data'!BL10*Constants!$H86*EF!$H211*MMVolatEF*NtoN2O*kgtoGg</f>
        <v>0.41401924594323458</v>
      </c>
      <c r="AT1536" s="22">
        <f>Constants!$H68*'Activity data'!BM10*Constants!$H86*EF!$H211*MMVolatEF*NtoN2O*kgtoGg</f>
        <v>0.42507748495703629</v>
      </c>
      <c r="AU1536" s="22">
        <f>Constants!$H68*'Activity data'!BN10*Constants!$H86*EF!$H211*MMVolatEF*NtoN2O*kgtoGg</f>
        <v>0.43601753921735037</v>
      </c>
      <c r="AV1536" s="22">
        <f>Constants!$H68*'Activity data'!BO10*Constants!$H86*EF!$H211*MMVolatEF*NtoN2O*kgtoGg</f>
        <v>0.44726275396189152</v>
      </c>
      <c r="AW1536" s="22">
        <f>Constants!$H68*'Activity data'!BP10*Constants!$H86*EF!$H211*MMVolatEF*NtoN2O*kgtoGg</f>
        <v>0.45863622701416706</v>
      </c>
    </row>
    <row r="1537" spans="1:49" x14ac:dyDescent="0.2">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1.195503235691774E-4</v>
      </c>
      <c r="T1537" s="22">
        <f>Constants!$H69*'Activity data'!AM11*Constants!$H87*EF!$H212*MMVolatEF*NtoN2O*kgtoGg</f>
        <v>1.1973238900774034E-4</v>
      </c>
      <c r="U1537" s="22">
        <f>Constants!$H69*'Activity data'!AN11*Constants!$H87*EF!$H212*MMVolatEF*NtoN2O*kgtoGg</f>
        <v>1.1993816652481025E-4</v>
      </c>
      <c r="V1537" s="22">
        <f>Constants!$H69*'Activity data'!AO11*Constants!$H87*EF!$H212*MMVolatEF*NtoN2O*kgtoGg</f>
        <v>1.2017030175701969E-4</v>
      </c>
      <c r="W1537" s="22">
        <f>Constants!$H69*'Activity data'!AP11*Constants!$H87*EF!$H212*MMVolatEF*NtoN2O*kgtoGg</f>
        <v>1.2043143682964787E-4</v>
      </c>
      <c r="X1537" s="22">
        <f>Constants!$H69*'Activity data'!AQ11*Constants!$H87*EF!$H212*MMVolatEF*NtoN2O*kgtoGg</f>
        <v>1.2071612652319093E-4</v>
      </c>
      <c r="Y1537" s="22">
        <f>Constants!$H69*'Activity data'!AR11*Constants!$H87*EF!$H212*MMVolatEF*NtoN2O*kgtoGg</f>
        <v>1.2088927246048491E-4</v>
      </c>
      <c r="Z1537" s="22">
        <f>Constants!$H69*'Activity data'!AS11*Constants!$H87*EF!$H212*MMVolatEF*NtoN2O*kgtoGg</f>
        <v>1.2108266651499932E-4</v>
      </c>
      <c r="AA1537" s="22">
        <f>Constants!$H69*'Activity data'!AT11*Constants!$H87*EF!$H212*MMVolatEF*NtoN2O*kgtoGg</f>
        <v>1.2129489002398719E-4</v>
      </c>
      <c r="AB1537" s="22">
        <f>Constants!$H69*'Activity data'!AU11*Constants!$H87*EF!$H212*MMVolatEF*NtoN2O*kgtoGg</f>
        <v>1.2153074787723059E-4</v>
      </c>
      <c r="AC1537" s="22">
        <f>Constants!$H69*'Activity data'!AV11*Constants!$H87*EF!$H212*MMVolatEF*NtoN2O*kgtoGg</f>
        <v>1.2178444503760319E-4</v>
      </c>
      <c r="AD1537" s="22">
        <f>Constants!$H69*'Activity data'!AW11*Constants!$H87*EF!$H212*MMVolatEF*NtoN2O*kgtoGg</f>
        <v>1.2195021859922819E-4</v>
      </c>
      <c r="AE1537" s="22">
        <f>Constants!$H69*'Activity data'!AX11*Constants!$H87*EF!$H212*MMVolatEF*NtoN2O*kgtoGg</f>
        <v>1.2213630016303642E-4</v>
      </c>
      <c r="AF1537" s="22">
        <f>Constants!$H69*'Activity data'!AY11*Constants!$H87*EF!$H212*MMVolatEF*NtoN2O*kgtoGg</f>
        <v>1.2233971704233787E-4</v>
      </c>
      <c r="AG1537" s="22">
        <f>Constants!$H69*'Activity data'!AZ11*Constants!$H87*EF!$H212*MMVolatEF*NtoN2O*kgtoGg</f>
        <v>1.2256258176640642E-4</v>
      </c>
      <c r="AH1537" s="22">
        <f>Constants!$H69*'Activity data'!BA11*Constants!$H87*EF!$H212*MMVolatEF*NtoN2O*kgtoGg</f>
        <v>1.2279204268449652E-4</v>
      </c>
      <c r="AI1537" s="22">
        <f>Constants!$H69*'Activity data'!BB11*Constants!$H87*EF!$H212*MMVolatEF*NtoN2O*kgtoGg</f>
        <v>1.2293267358180957E-4</v>
      </c>
      <c r="AJ1537" s="22">
        <f>Constants!$H69*'Activity data'!BC11*Constants!$H87*EF!$H212*MMVolatEF*NtoN2O*kgtoGg</f>
        <v>1.230880284078129E-4</v>
      </c>
      <c r="AK1537" s="22">
        <f>Constants!$H69*'Activity data'!BD11*Constants!$H87*EF!$H212*MMVolatEF*NtoN2O*kgtoGg</f>
        <v>1.2325414703713089E-4</v>
      </c>
      <c r="AL1537" s="22">
        <f>Constants!$H69*'Activity data'!BE11*Constants!$H87*EF!$H212*MMVolatEF*NtoN2O*kgtoGg</f>
        <v>1.2343300581478905E-4</v>
      </c>
      <c r="AM1537" s="22">
        <f>Constants!$H69*'Activity data'!BF11*Constants!$H87*EF!$H212*MMVolatEF*NtoN2O*kgtoGg</f>
        <v>1.2362298848343737E-4</v>
      </c>
      <c r="AN1537" s="22">
        <f>Constants!$H69*'Activity data'!BG11*Constants!$H87*EF!$H212*MMVolatEF*NtoN2O*kgtoGg</f>
        <v>1.2373316293630814E-4</v>
      </c>
      <c r="AO1537" s="22">
        <f>Constants!$H69*'Activity data'!BH11*Constants!$H87*EF!$H212*MMVolatEF*NtoN2O*kgtoGg</f>
        <v>1.2385166980530415E-4</v>
      </c>
      <c r="AP1537" s="22">
        <f>Constants!$H69*'Activity data'!BI11*Constants!$H87*EF!$H212*MMVolatEF*NtoN2O*kgtoGg</f>
        <v>1.2398002361906419E-4</v>
      </c>
      <c r="AQ1537" s="22">
        <f>Constants!$H69*'Activity data'!BJ11*Constants!$H87*EF!$H212*MMVolatEF*NtoN2O*kgtoGg</f>
        <v>1.2411840156820918E-4</v>
      </c>
      <c r="AR1537" s="22">
        <f>Constants!$H69*'Activity data'!BK11*Constants!$H87*EF!$H212*MMVolatEF*NtoN2O*kgtoGg</f>
        <v>1.2426670691930035E-4</v>
      </c>
      <c r="AS1537" s="22">
        <f>Constants!$H69*'Activity data'!BL11*Constants!$H87*EF!$H212*MMVolatEF*NtoN2O*kgtoGg</f>
        <v>1.2433302167931155E-4</v>
      </c>
      <c r="AT1537" s="22">
        <f>Constants!$H69*'Activity data'!BM11*Constants!$H87*EF!$H212*MMVolatEF*NtoN2O*kgtoGg</f>
        <v>1.2439474489368146E-4</v>
      </c>
      <c r="AU1537" s="22">
        <f>Constants!$H69*'Activity data'!BN11*Constants!$H87*EF!$H212*MMVolatEF*NtoN2O*kgtoGg</f>
        <v>1.2446317135013558E-4</v>
      </c>
      <c r="AV1537" s="22">
        <f>Constants!$H69*'Activity data'!BO11*Constants!$H87*EF!$H212*MMVolatEF*NtoN2O*kgtoGg</f>
        <v>1.2453939785824996E-4</v>
      </c>
      <c r="AW1537" s="22">
        <f>Constants!$H69*'Activity data'!BP11*Constants!$H87*EF!$H212*MMVolatEF*NtoN2O*kgtoGg</f>
        <v>1.24622639719568E-4</v>
      </c>
    </row>
    <row r="1538" spans="1:49" x14ac:dyDescent="0.2">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8.2041591156770978E-4</v>
      </c>
      <c r="T1538" s="22">
        <f>Constants!$H70*'Activity data'!AM12*Constants!$H88*EF!$H213*MMVolatEF*NtoN2O*kgtoGg</f>
        <v>8.216653384055813E-4</v>
      </c>
      <c r="U1538" s="22">
        <f>Constants!$H70*'Activity data'!AN12*Constants!$H88*EF!$H213*MMVolatEF*NtoN2O*kgtoGg</f>
        <v>8.2307748974241456E-4</v>
      </c>
      <c r="V1538" s="22">
        <f>Constants!$H70*'Activity data'!AO12*Constants!$H88*EF!$H213*MMVolatEF*NtoN2O*kgtoGg</f>
        <v>8.246705212997898E-4</v>
      </c>
      <c r="W1538" s="22">
        <f>Constants!$H70*'Activity data'!AP12*Constants!$H88*EF!$H213*MMVolatEF*NtoN2O*kgtoGg</f>
        <v>8.2646256470257108E-4</v>
      </c>
      <c r="X1538" s="22">
        <f>Constants!$H70*'Activity data'!AQ12*Constants!$H88*EF!$H213*MMVolatEF*NtoN2O*kgtoGg</f>
        <v>8.284162520491963E-4</v>
      </c>
      <c r="Y1538" s="22">
        <f>Constants!$H70*'Activity data'!AR12*Constants!$H88*EF!$H213*MMVolatEF*NtoN2O*kgtoGg</f>
        <v>8.2960446867411488E-4</v>
      </c>
      <c r="Z1538" s="22">
        <f>Constants!$H70*'Activity data'!AS12*Constants!$H88*EF!$H213*MMVolatEF*NtoN2O*kgtoGg</f>
        <v>8.3093163831104511E-4</v>
      </c>
      <c r="AA1538" s="22">
        <f>Constants!$H70*'Activity data'!AT12*Constants!$H88*EF!$H213*MMVolatEF*NtoN2O*kgtoGg</f>
        <v>8.323880253653359E-4</v>
      </c>
      <c r="AB1538" s="22">
        <f>Constants!$H70*'Activity data'!AU12*Constants!$H88*EF!$H213*MMVolatEF*NtoN2O*kgtoGg</f>
        <v>8.3400660346610628E-4</v>
      </c>
      <c r="AC1538" s="22">
        <f>Constants!$H70*'Activity data'!AV12*Constants!$H88*EF!$H213*MMVolatEF*NtoN2O*kgtoGg</f>
        <v>8.3574760408304538E-4</v>
      </c>
      <c r="AD1538" s="22">
        <f>Constants!$H70*'Activity data'!AW12*Constants!$H88*EF!$H213*MMVolatEF*NtoN2O*kgtoGg</f>
        <v>8.3688522766794265E-4</v>
      </c>
      <c r="AE1538" s="22">
        <f>Constants!$H70*'Activity data'!AX12*Constants!$H88*EF!$H213*MMVolatEF*NtoN2O*kgtoGg</f>
        <v>8.3816221522631858E-4</v>
      </c>
      <c r="AF1538" s="22">
        <f>Constants!$H70*'Activity data'!AY12*Constants!$H88*EF!$H213*MMVolatEF*NtoN2O*kgtoGg</f>
        <v>8.3955816665060555E-4</v>
      </c>
      <c r="AG1538" s="22">
        <f>Constants!$H70*'Activity data'!AZ12*Constants!$H88*EF!$H213*MMVolatEF*NtoN2O*kgtoGg</f>
        <v>8.4108757920503671E-4</v>
      </c>
      <c r="AH1538" s="22">
        <f>Constants!$H70*'Activity data'!BA12*Constants!$H88*EF!$H213*MMVolatEF*NtoN2O*kgtoGg</f>
        <v>8.4266225824114254E-4</v>
      </c>
      <c r="AI1538" s="22">
        <f>Constants!$H70*'Activity data'!BB12*Constants!$H88*EF!$H213*MMVolatEF*NtoN2O*kgtoGg</f>
        <v>8.436273399102601E-4</v>
      </c>
      <c r="AJ1538" s="22">
        <f>Constants!$H70*'Activity data'!BC12*Constants!$H88*EF!$H213*MMVolatEF*NtoN2O*kgtoGg</f>
        <v>8.4469346476368369E-4</v>
      </c>
      <c r="AK1538" s="22">
        <f>Constants!$H70*'Activity data'!BD12*Constants!$H88*EF!$H213*MMVolatEF*NtoN2O*kgtoGg</f>
        <v>8.4583345638086619E-4</v>
      </c>
      <c r="AL1538" s="22">
        <f>Constants!$H70*'Activity data'!BE12*Constants!$H88*EF!$H213*MMVolatEF*NtoN2O*kgtoGg</f>
        <v>8.4706087745956699E-4</v>
      </c>
      <c r="AM1538" s="22">
        <f>Constants!$H70*'Activity data'!BF12*Constants!$H88*EF!$H213*MMVolatEF*NtoN2O*kgtoGg</f>
        <v>8.483646364091695E-4</v>
      </c>
      <c r="AN1538" s="22">
        <f>Constants!$H70*'Activity data'!BG12*Constants!$H88*EF!$H213*MMVolatEF*NtoN2O*kgtoGg</f>
        <v>8.4912071026564152E-4</v>
      </c>
      <c r="AO1538" s="22">
        <f>Constants!$H70*'Activity data'!BH12*Constants!$H88*EF!$H213*MMVolatEF*NtoN2O*kgtoGg</f>
        <v>8.4993396545434991E-4</v>
      </c>
      <c r="AP1538" s="22">
        <f>Constants!$H70*'Activity data'!BI12*Constants!$H88*EF!$H213*MMVolatEF*NtoN2O*kgtoGg</f>
        <v>8.5081479545108508E-4</v>
      </c>
      <c r="AQ1538" s="22">
        <f>Constants!$H70*'Activity data'!BJ12*Constants!$H88*EF!$H213*MMVolatEF*NtoN2O*kgtoGg</f>
        <v>8.5176441622917501E-4</v>
      </c>
      <c r="AR1538" s="22">
        <f>Constants!$H70*'Activity data'!BK12*Constants!$H88*EF!$H213*MMVolatEF*NtoN2O*kgtoGg</f>
        <v>8.5278216395392656E-4</v>
      </c>
      <c r="AS1538" s="22">
        <f>Constants!$H70*'Activity data'!BL12*Constants!$H88*EF!$H213*MMVolatEF*NtoN2O*kgtoGg</f>
        <v>8.5323725000188266E-4</v>
      </c>
      <c r="AT1538" s="22">
        <f>Constants!$H70*'Activity data'!BM12*Constants!$H88*EF!$H213*MMVolatEF*NtoN2O*kgtoGg</f>
        <v>8.5366082649812602E-4</v>
      </c>
      <c r="AU1538" s="22">
        <f>Constants!$H70*'Activity data'!BN12*Constants!$H88*EF!$H213*MMVolatEF*NtoN2O*kgtoGg</f>
        <v>8.5413040409500023E-4</v>
      </c>
      <c r="AV1538" s="22">
        <f>Constants!$H70*'Activity data'!BO12*Constants!$H88*EF!$H213*MMVolatEF*NtoN2O*kgtoGg</f>
        <v>8.546535096648827E-4</v>
      </c>
      <c r="AW1538" s="22">
        <f>Constants!$H70*'Activity data'!BP12*Constants!$H88*EF!$H213*MMVolatEF*NtoN2O*kgtoGg</f>
        <v>8.5522475820269445E-4</v>
      </c>
    </row>
    <row r="1539" spans="1:49" x14ac:dyDescent="0.2">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1.4486129996083081E-5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1.4639017833045651E-5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1.4890706011157255E-5</v>
      </c>
      <c r="R1539" s="22">
        <f>Constants!$H71*'Activity data'!AK13*Constants!$H89*EF!$H214*MMVolatEF*NtoN2O*kgtoGg</f>
        <v>1.4988675221399694E-5</v>
      </c>
      <c r="S1539" s="22">
        <f>Constants!$H71*'Activity data'!AL13*Constants!$H89*EF!$H214*MMVolatEF*NtoN2O*kgtoGg</f>
        <v>1.5078679643027028E-5</v>
      </c>
      <c r="T1539" s="22">
        <f>Constants!$H71*'Activity data'!AM13*Constants!$H89*EF!$H214*MMVolatEF*NtoN2O*kgtoGg</f>
        <v>1.5122495296339113E-5</v>
      </c>
      <c r="U1539" s="22">
        <f>Constants!$H71*'Activity data'!AN13*Constants!$H89*EF!$H214*MMVolatEF*NtoN2O*kgtoGg</f>
        <v>1.516958973789732E-5</v>
      </c>
      <c r="V1539" s="22">
        <f>Constants!$H71*'Activity data'!AO13*Constants!$H89*EF!$H214*MMVolatEF*NtoN2O*kgtoGg</f>
        <v>1.5220538890996556E-5</v>
      </c>
      <c r="W1539" s="22">
        <f>Constants!$H71*'Activity data'!AP13*Constants!$H89*EF!$H214*MMVolatEF*NtoN2O*kgtoGg</f>
        <v>1.5275902163367261E-5</v>
      </c>
      <c r="X1539" s="22">
        <f>Constants!$H71*'Activity data'!AQ13*Constants!$H89*EF!$H214*MMVolatEF*NtoN2O*kgtoGg</f>
        <v>1.5334694454120534E-5</v>
      </c>
      <c r="Y1539" s="22">
        <f>Constants!$H71*'Activity data'!AR13*Constants!$H89*EF!$H214*MMVolatEF*NtoN2O*kgtoGg</f>
        <v>1.5371448915304841E-5</v>
      </c>
      <c r="Z1539" s="22">
        <f>Constants!$H71*'Activity data'!AS13*Constants!$H89*EF!$H214*MMVolatEF*NtoN2O*kgtoGg</f>
        <v>1.5411207509365297E-5</v>
      </c>
      <c r="AA1539" s="22">
        <f>Constants!$H71*'Activity data'!AT13*Constants!$H89*EF!$H214*MMVolatEF*NtoN2O*kgtoGg</f>
        <v>1.5453736398701918E-5</v>
      </c>
      <c r="AB1539" s="22">
        <f>Constants!$H71*'Activity data'!AU13*Constants!$H89*EF!$H214*MMVolatEF*NtoN2O*kgtoGg</f>
        <v>1.5499966763922933E-5</v>
      </c>
      <c r="AC1539" s="22">
        <f>Constants!$H71*'Activity data'!AV13*Constants!$H89*EF!$H214*MMVolatEF*NtoN2O*kgtoGg</f>
        <v>1.5548833641447303E-5</v>
      </c>
      <c r="AD1539" s="22">
        <f>Constants!$H71*'Activity data'!AW13*Constants!$H89*EF!$H214*MMVolatEF*NtoN2O*kgtoGg</f>
        <v>1.5580602349578564E-5</v>
      </c>
      <c r="AE1539" s="22">
        <f>Constants!$H71*'Activity data'!AX13*Constants!$H89*EF!$H214*MMVolatEF*NtoN2O*kgtoGg</f>
        <v>1.5615591404277508E-5</v>
      </c>
      <c r="AF1539" s="22">
        <f>Constants!$H71*'Activity data'!AY13*Constants!$H89*EF!$H214*MMVolatEF*NtoN2O*kgtoGg</f>
        <v>1.5653259744642323E-5</v>
      </c>
      <c r="AG1539" s="22">
        <f>Constants!$H71*'Activity data'!AZ13*Constants!$H89*EF!$H214*MMVolatEF*NtoN2O*kgtoGg</f>
        <v>1.5694012741398928E-5</v>
      </c>
      <c r="AH1539" s="22">
        <f>Constants!$H71*'Activity data'!BA13*Constants!$H89*EF!$H214*MMVolatEF*NtoN2O*kgtoGg</f>
        <v>1.5735477279761714E-5</v>
      </c>
      <c r="AI1539" s="22">
        <f>Constants!$H71*'Activity data'!BB13*Constants!$H89*EF!$H214*MMVolatEF*NtoN2O*kgtoGg</f>
        <v>1.5760021720349279E-5</v>
      </c>
      <c r="AJ1539" s="22">
        <f>Constants!$H71*'Activity data'!BC13*Constants!$H89*EF!$H214*MMVolatEF*NtoN2O*kgtoGg</f>
        <v>1.5786883711006113E-5</v>
      </c>
      <c r="AK1539" s="22">
        <f>Constants!$H71*'Activity data'!BD13*Constants!$H89*EF!$H214*MMVolatEF*NtoN2O*kgtoGg</f>
        <v>1.5815340273420816E-5</v>
      </c>
      <c r="AL1539" s="22">
        <f>Constants!$H71*'Activity data'!BE13*Constants!$H89*EF!$H214*MMVolatEF*NtoN2O*kgtoGg</f>
        <v>1.5845764593107772E-5</v>
      </c>
      <c r="AM1539" s="22">
        <f>Constants!$H71*'Activity data'!BF13*Constants!$H89*EF!$H214*MMVolatEF*NtoN2O*kgtoGg</f>
        <v>1.5877866318833775E-5</v>
      </c>
      <c r="AN1539" s="22">
        <f>Constants!$H71*'Activity data'!BG13*Constants!$H89*EF!$H214*MMVolatEF*NtoN2O*kgtoGg</f>
        <v>1.5894983838021428E-5</v>
      </c>
      <c r="AO1539" s="22">
        <f>Constants!$H71*'Activity data'!BH13*Constants!$H89*EF!$H214*MMVolatEF*NtoN2O*kgtoGg</f>
        <v>1.5913339031971955E-5</v>
      </c>
      <c r="AP1539" s="22">
        <f>Constants!$H71*'Activity data'!BI13*Constants!$H89*EF!$H214*MMVolatEF*NtoN2O*kgtoGg</f>
        <v>1.593321505910849E-5</v>
      </c>
      <c r="AQ1539" s="22">
        <f>Constants!$H71*'Activity data'!BJ13*Constants!$H89*EF!$H214*MMVolatEF*NtoN2O*kgtoGg</f>
        <v>1.5954648527995344E-5</v>
      </c>
      <c r="AR1539" s="22">
        <f>Constants!$H71*'Activity data'!BK13*Constants!$H89*EF!$H214*MMVolatEF*NtoN2O*kgtoGg</f>
        <v>1.5977625288303394E-5</v>
      </c>
      <c r="AS1539" s="22">
        <f>Constants!$H71*'Activity data'!BL13*Constants!$H89*EF!$H214*MMVolatEF*NtoN2O*kgtoGg</f>
        <v>1.5985441440203981E-5</v>
      </c>
      <c r="AT1539" s="22">
        <f>Constants!$H71*'Activity data'!BM13*Constants!$H89*EF!$H214*MMVolatEF*NtoN2O*kgtoGg</f>
        <v>1.5992226212116376E-5</v>
      </c>
      <c r="AU1539" s="22">
        <f>Constants!$H71*'Activity data'!BN13*Constants!$H89*EF!$H214*MMVolatEF*NtoN2O*kgtoGg</f>
        <v>1.6000039436891757E-5</v>
      </c>
      <c r="AV1539" s="22">
        <f>Constants!$H71*'Activity data'!BO13*Constants!$H89*EF!$H214*MMVolatEF*NtoN2O*kgtoGg</f>
        <v>1.6009082551352237E-5</v>
      </c>
      <c r="AW1539" s="22">
        <f>Constants!$H71*'Activity data'!BP13*Constants!$H89*EF!$H214*MMVolatEF*NtoN2O*kgtoGg</f>
        <v>1.6019215529788255E-5</v>
      </c>
    </row>
    <row r="1540" spans="1:49" x14ac:dyDescent="0.2">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1.4738364076719785E-3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1.4893914013429299E-3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1.5149984613639165E-3</v>
      </c>
      <c r="R1540" s="22">
        <f>Constants!$H72*'Activity data'!AK14*Constants!$H90*EF!$H215*MMVolatEF*NtoN2O*kgtoGg</f>
        <v>1.5249659674490626E-3</v>
      </c>
      <c r="S1540" s="22">
        <f>Constants!$H72*'Activity data'!AL14*Constants!$H90*EF!$H215*MMVolatEF*NtoN2O*kgtoGg</f>
        <v>1.5341231262956069E-3</v>
      </c>
      <c r="T1540" s="22">
        <f>Constants!$H72*'Activity data'!AM14*Constants!$H90*EF!$H215*MMVolatEF*NtoN2O*kgtoGg</f>
        <v>1.5385809839218152E-3</v>
      </c>
      <c r="U1540" s="22">
        <f>Constants!$H72*'Activity data'!AN14*Constants!$H90*EF!$H215*MMVolatEF*NtoN2O*kgtoGg</f>
        <v>1.5433724294346084E-3</v>
      </c>
      <c r="V1540" s="22">
        <f>Constants!$H72*'Activity data'!AO14*Constants!$H90*EF!$H215*MMVolatEF*NtoN2O*kgtoGg</f>
        <v>1.5485560579674195E-3</v>
      </c>
      <c r="W1540" s="22">
        <f>Constants!$H72*'Activity data'!AP14*Constants!$H90*EF!$H215*MMVolatEF*NtoN2O*kgtoGg</f>
        <v>1.5541887843401544E-3</v>
      </c>
      <c r="X1540" s="22">
        <f>Constants!$H72*'Activity data'!AQ14*Constants!$H90*EF!$H215*MMVolatEF*NtoN2O*kgtoGg</f>
        <v>1.5601703831954754E-3</v>
      </c>
      <c r="Y1540" s="22">
        <f>Constants!$H72*'Activity data'!AR14*Constants!$H90*EF!$H215*MMVolatEF*NtoN2O*kgtoGg</f>
        <v>1.5639098265839071E-3</v>
      </c>
      <c r="Z1540" s="22">
        <f>Constants!$H72*'Activity data'!AS14*Constants!$H90*EF!$H215*MMVolatEF*NtoN2O*kgtoGg</f>
        <v>1.5679549140889886E-3</v>
      </c>
      <c r="AA1540" s="22">
        <f>Constants!$H72*'Activity data'!AT14*Constants!$H90*EF!$H215*MMVolatEF*NtoN2O*kgtoGg</f>
        <v>1.5722818547901358E-3</v>
      </c>
      <c r="AB1540" s="22">
        <f>Constants!$H72*'Activity data'!AU14*Constants!$H90*EF!$H215*MMVolatEF*NtoN2O*kgtoGg</f>
        <v>1.5769853881300361E-3</v>
      </c>
      <c r="AC1540" s="22">
        <f>Constants!$H72*'Activity data'!AV14*Constants!$H90*EF!$H215*MMVolatEF*NtoN2O*kgtoGg</f>
        <v>1.5819571634243445E-3</v>
      </c>
      <c r="AD1540" s="22">
        <f>Constants!$H72*'Activity data'!AW14*Constants!$H90*EF!$H215*MMVolatEF*NtoN2O*kgtoGg</f>
        <v>1.5851893502596976E-3</v>
      </c>
      <c r="AE1540" s="22">
        <f>Constants!$H72*'Activity data'!AX14*Constants!$H90*EF!$H215*MMVolatEF*NtoN2O*kgtoGg</f>
        <v>1.5887491790545015E-3</v>
      </c>
      <c r="AF1540" s="22">
        <f>Constants!$H72*'Activity data'!AY14*Constants!$H90*EF!$H215*MMVolatEF*NtoN2O*kgtoGg</f>
        <v>1.5925816016174124E-3</v>
      </c>
      <c r="AG1540" s="22">
        <f>Constants!$H72*'Activity data'!AZ14*Constants!$H90*EF!$H215*MMVolatEF*NtoN2O*kgtoGg</f>
        <v>1.5967278608569652E-3</v>
      </c>
      <c r="AH1540" s="22">
        <f>Constants!$H72*'Activity data'!BA14*Constants!$H90*EF!$H215*MMVolatEF*NtoN2O*kgtoGg</f>
        <v>1.6009465132011667E-3</v>
      </c>
      <c r="AI1540" s="22">
        <f>Constants!$H72*'Activity data'!BB14*Constants!$H90*EF!$H215*MMVolatEF*NtoN2O*kgtoGg</f>
        <v>1.6034436943084516E-3</v>
      </c>
      <c r="AJ1540" s="22">
        <f>Constants!$H72*'Activity data'!BC14*Constants!$H90*EF!$H215*MMVolatEF*NtoN2O*kgtoGg</f>
        <v>1.6061766657662043E-3</v>
      </c>
      <c r="AK1540" s="22">
        <f>Constants!$H72*'Activity data'!BD14*Constants!$H90*EF!$H215*MMVolatEF*NtoN2O*kgtoGg</f>
        <v>1.6090718708855374E-3</v>
      </c>
      <c r="AL1540" s="22">
        <f>Constants!$H72*'Activity data'!BE14*Constants!$H90*EF!$H215*MMVolatEF*NtoN2O*kgtoGg</f>
        <v>1.6121672780125896E-3</v>
      </c>
      <c r="AM1540" s="22">
        <f>Constants!$H72*'Activity data'!BF14*Constants!$H90*EF!$H215*MMVolatEF*NtoN2O*kgtoGg</f>
        <v>1.6154333464612968E-3</v>
      </c>
      <c r="AN1540" s="22">
        <f>Constants!$H72*'Activity data'!BG14*Constants!$H90*EF!$H215*MMVolatEF*NtoN2O*kgtoGg</f>
        <v>1.6171749035917807E-3</v>
      </c>
      <c r="AO1540" s="22">
        <f>Constants!$H72*'Activity data'!BH14*Constants!$H90*EF!$H215*MMVolatEF*NtoN2O*kgtoGg</f>
        <v>1.6190423832513916E-3</v>
      </c>
      <c r="AP1540" s="22">
        <f>Constants!$H72*'Activity data'!BI14*Constants!$H90*EF!$H215*MMVolatEF*NtoN2O*kgtoGg</f>
        <v>1.6210645943209887E-3</v>
      </c>
      <c r="AQ1540" s="22">
        <f>Constants!$H72*'Activity data'!BJ14*Constants!$H90*EF!$H215*MMVolatEF*NtoN2O*kgtoGg</f>
        <v>1.6232452614002358E-3</v>
      </c>
      <c r="AR1540" s="22">
        <f>Constants!$H72*'Activity data'!BK14*Constants!$H90*EF!$H215*MMVolatEF*NtoN2O*kgtoGg</f>
        <v>1.6255829448175118E-3</v>
      </c>
      <c r="AS1540" s="22">
        <f>Constants!$H72*'Activity data'!BL14*Constants!$H90*EF!$H215*MMVolatEF*NtoN2O*kgtoGg</f>
        <v>1.6263781695767885E-3</v>
      </c>
      <c r="AT1540" s="22">
        <f>Constants!$H72*'Activity data'!BM14*Constants!$H90*EF!$H215*MMVolatEF*NtoN2O*kgtoGg</f>
        <v>1.6270684604871241E-3</v>
      </c>
      <c r="AU1540" s="22">
        <f>Constants!$H72*'Activity data'!BN14*Constants!$H90*EF!$H215*MMVolatEF*NtoN2O*kgtoGg</f>
        <v>1.6278633874371373E-3</v>
      </c>
      <c r="AV1540" s="22">
        <f>Constants!$H72*'Activity data'!BO14*Constants!$H90*EF!$H215*MMVolatEF*NtoN2O*kgtoGg</f>
        <v>1.6287834448530387E-3</v>
      </c>
      <c r="AW1540" s="22">
        <f>Constants!$H72*'Activity data'!BP14*Constants!$H90*EF!$H215*MMVolatEF*NtoN2O*kgtoGg</f>
        <v>1.6298143863495728E-3</v>
      </c>
    </row>
    <row r="1541" spans="1:49" x14ac:dyDescent="0.2">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2">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2">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0.13004550543955873</v>
      </c>
      <c r="M1543" s="22">
        <f>Constants!$H75*'Activity data'!AF17*Constants!$H93*EF!$H218*MMVolatEF*NtoN2O*kgtoGg</f>
        <v>0.13010384136507713</v>
      </c>
      <c r="N1543" s="22">
        <f>Constants!$H75*'Activity data'!AG17*Constants!$H93*EF!$H218*MMVolatEF*NtoN2O*kgtoGg</f>
        <v>0.1289093884029483</v>
      </c>
      <c r="O1543" s="22">
        <f>Constants!$H75*'Activity data'!AH17*Constants!$H93*EF!$H218*MMVolatEF*NtoN2O*kgtoGg</f>
        <v>0.12695857121838477</v>
      </c>
      <c r="P1543" s="22">
        <f>Constants!$H75*'Activity data'!AI17*Constants!$H93*EF!$H218*MMVolatEF*NtoN2O*kgtoGg</f>
        <v>0.12428257569245395</v>
      </c>
      <c r="Q1543" s="22">
        <f>Constants!$H75*'Activity data'!AJ17*Constants!$H93*EF!$H218*MMVolatEF*NtoN2O*kgtoGg</f>
        <v>0.12233950618032065</v>
      </c>
      <c r="R1543" s="22">
        <f>Constants!$H75*'Activity data'!AK17*Constants!$H93*EF!$H218*MMVolatEF*NtoN2O*kgtoGg</f>
        <v>0.12056837226162823</v>
      </c>
      <c r="S1543" s="22">
        <f>Constants!$H75*'Activity data'!AL17*Constants!$H93*EF!$H218*MMVolatEF*NtoN2O*kgtoGg</f>
        <v>0.10742568641023791</v>
      </c>
      <c r="T1543" s="22">
        <f>Constants!$H75*'Activity data'!AM17*Constants!$H93*EF!$H218*MMVolatEF*NtoN2O*kgtoGg</f>
        <v>0.1091029492210569</v>
      </c>
      <c r="U1543" s="22">
        <f>Constants!$H75*'Activity data'!AN17*Constants!$H93*EF!$H218*MMVolatEF*NtoN2O*kgtoGg</f>
        <v>0.1098152981393777</v>
      </c>
      <c r="V1543" s="22">
        <f>Constants!$H75*'Activity data'!AO17*Constants!$H93*EF!$H218*MMVolatEF*NtoN2O*kgtoGg</f>
        <v>0.11028443328369632</v>
      </c>
      <c r="W1543" s="22">
        <f>Constants!$H75*'Activity data'!AP17*Constants!$H93*EF!$H218*MMVolatEF*NtoN2O*kgtoGg</f>
        <v>0.11115311990923482</v>
      </c>
      <c r="X1543" s="22">
        <f>Constants!$H75*'Activity data'!AQ17*Constants!$H93*EF!$H218*MMVolatEF*NtoN2O*kgtoGg</f>
        <v>0.11180012354863146</v>
      </c>
      <c r="Y1543" s="22">
        <f>Constants!$H75*'Activity data'!AR17*Constants!$H93*EF!$H218*MMVolatEF*NtoN2O*kgtoGg</f>
        <v>0.11213950095917391</v>
      </c>
      <c r="Z1543" s="22">
        <f>Constants!$H75*'Activity data'!AS17*Constants!$H93*EF!$H218*MMVolatEF*NtoN2O*kgtoGg</f>
        <v>0.11234743559515332</v>
      </c>
      <c r="AA1543" s="22">
        <f>Constants!$H75*'Activity data'!AT17*Constants!$H93*EF!$H218*MMVolatEF*NtoN2O*kgtoGg</f>
        <v>0.11237564219545433</v>
      </c>
      <c r="AB1543" s="22">
        <f>Constants!$H75*'Activity data'!AU17*Constants!$H93*EF!$H218*MMVolatEF*NtoN2O*kgtoGg</f>
        <v>0.1130282053559263</v>
      </c>
      <c r="AC1543" s="22">
        <f>Constants!$H75*'Activity data'!AV17*Constants!$H93*EF!$H218*MMVolatEF*NtoN2O*kgtoGg</f>
        <v>0.11359821524900583</v>
      </c>
      <c r="AD1543" s="22">
        <f>Constants!$H75*'Activity data'!AW17*Constants!$H93*EF!$H218*MMVolatEF*NtoN2O*kgtoGg</f>
        <v>0.11441835566605747</v>
      </c>
      <c r="AE1543" s="22">
        <f>Constants!$H75*'Activity data'!AX17*Constants!$H93*EF!$H218*MMVolatEF*NtoN2O*kgtoGg</f>
        <v>0.11580372782809943</v>
      </c>
      <c r="AF1543" s="22">
        <f>Constants!$H75*'Activity data'!AY17*Constants!$H93*EF!$H218*MMVolatEF*NtoN2O*kgtoGg</f>
        <v>0.11742607569995514</v>
      </c>
      <c r="AG1543" s="22">
        <f>Constants!$H75*'Activity data'!AZ17*Constants!$H93*EF!$H218*MMVolatEF*NtoN2O*kgtoGg</f>
        <v>0.11962260335271972</v>
      </c>
      <c r="AH1543" s="22">
        <f>Constants!$H75*'Activity data'!BA17*Constants!$H93*EF!$H218*MMVolatEF*NtoN2O*kgtoGg</f>
        <v>0.12080838440395283</v>
      </c>
      <c r="AI1543" s="22">
        <f>Constants!$H75*'Activity data'!BB17*Constants!$H93*EF!$H218*MMVolatEF*NtoN2O*kgtoGg</f>
        <v>0.12184404408189208</v>
      </c>
      <c r="AJ1543" s="22">
        <f>Constants!$H75*'Activity data'!BC17*Constants!$H93*EF!$H218*MMVolatEF*NtoN2O*kgtoGg</f>
        <v>0.12314557152083414</v>
      </c>
      <c r="AK1543" s="22">
        <f>Constants!$H75*'Activity data'!BD17*Constants!$H93*EF!$H218*MMVolatEF*NtoN2O*kgtoGg</f>
        <v>0.12427557755093979</v>
      </c>
      <c r="AL1543" s="22">
        <f>Constants!$H75*'Activity data'!BE17*Constants!$H93*EF!$H218*MMVolatEF*NtoN2O*kgtoGg</f>
        <v>0.1255259175330139</v>
      </c>
      <c r="AM1543" s="22">
        <f>Constants!$H75*'Activity data'!BF17*Constants!$H93*EF!$H218*MMVolatEF*NtoN2O*kgtoGg</f>
        <v>0.12674552603750175</v>
      </c>
      <c r="AN1543" s="22">
        <f>Constants!$H75*'Activity data'!BG17*Constants!$H93*EF!$H218*MMVolatEF*NtoN2O*kgtoGg</f>
        <v>0.12838752833674963</v>
      </c>
      <c r="AO1543" s="22">
        <f>Constants!$H75*'Activity data'!BH17*Constants!$H93*EF!$H218*MMVolatEF*NtoN2O*kgtoGg</f>
        <v>0.12981338825169941</v>
      </c>
      <c r="AP1543" s="22">
        <f>Constants!$H75*'Activity data'!BI17*Constants!$H93*EF!$H218*MMVolatEF*NtoN2O*kgtoGg</f>
        <v>0.13123798099286382</v>
      </c>
      <c r="AQ1543" s="22">
        <f>Constants!$H75*'Activity data'!BJ17*Constants!$H93*EF!$H218*MMVolatEF*NtoN2O*kgtoGg</f>
        <v>0.13271316927423235</v>
      </c>
      <c r="AR1543" s="22">
        <f>Constants!$H75*'Activity data'!BK17*Constants!$H93*EF!$H218*MMVolatEF*NtoN2O*kgtoGg</f>
        <v>0.13425553565091783</v>
      </c>
      <c r="AS1543" s="22">
        <f>Constants!$H75*'Activity data'!BL17*Constants!$H93*EF!$H218*MMVolatEF*NtoN2O*kgtoGg</f>
        <v>0.1362655431555625</v>
      </c>
      <c r="AT1543" s="22">
        <f>Constants!$H75*'Activity data'!BM17*Constants!$H93*EF!$H218*MMVolatEF*NtoN2O*kgtoGg</f>
        <v>0.1368880254632967</v>
      </c>
      <c r="AU1543" s="22">
        <f>Constants!$H75*'Activity data'!BN17*Constants!$H93*EF!$H218*MMVolatEF*NtoN2O*kgtoGg</f>
        <v>0.13738521125796219</v>
      </c>
      <c r="AV1543" s="22">
        <f>Constants!$H75*'Activity data'!BO17*Constants!$H93*EF!$H218*MMVolatEF*NtoN2O*kgtoGg</f>
        <v>0.13789795385940914</v>
      </c>
      <c r="AW1543" s="22">
        <f>Constants!$H75*'Activity data'!BP17*Constants!$H93*EF!$H218*MMVolatEF*NtoN2O*kgtoGg</f>
        <v>0.13836722215964953</v>
      </c>
    </row>
    <row r="1544" spans="1:49" x14ac:dyDescent="0.2">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1.2724633182830881E-2</v>
      </c>
      <c r="L1544" s="22">
        <f>Constants!$H76*'Activity data'!AE18*Constants!$H94*EF!$H219*MMVolatEF*NtoN2O*kgtoGg</f>
        <v>1.2655466337890216E-2</v>
      </c>
      <c r="M1544" s="22">
        <f>Constants!$H76*'Activity data'!AF18*Constants!$H94*EF!$H219*MMVolatEF*NtoN2O*kgtoGg</f>
        <v>1.266114333794641E-2</v>
      </c>
      <c r="N1544" s="22">
        <f>Constants!$H76*'Activity data'!AG18*Constants!$H94*EF!$H219*MMVolatEF*NtoN2O*kgtoGg</f>
        <v>1.2544904339887072E-2</v>
      </c>
      <c r="O1544" s="22">
        <f>Constants!$H76*'Activity data'!AH18*Constants!$H94*EF!$H219*MMVolatEF*NtoN2O*kgtoGg</f>
        <v>1.2355059245839619E-2</v>
      </c>
      <c r="P1544" s="22">
        <f>Constants!$H76*'Activity data'!AI18*Constants!$H94*EF!$H219*MMVolatEF*NtoN2O*kgtoGg</f>
        <v>1.209464293091744E-2</v>
      </c>
      <c r="Q1544" s="22">
        <f>Constants!$H76*'Activity data'!AJ18*Constants!$H94*EF!$H219*MMVolatEF*NtoN2O*kgtoGg</f>
        <v>1.1905551806853851E-2</v>
      </c>
      <c r="R1544" s="22">
        <f>Constants!$H76*'Activity data'!AK18*Constants!$H94*EF!$H219*MMVolatEF*NtoN2O*kgtoGg</f>
        <v>1.1733192711380727E-2</v>
      </c>
      <c r="S1544" s="22">
        <f>Constants!$H76*'Activity data'!AL18*Constants!$H94*EF!$H219*MMVolatEF*NtoN2O*kgtoGg</f>
        <v>1.0454203346699911E-2</v>
      </c>
      <c r="T1544" s="22">
        <f>Constants!$H76*'Activity data'!AM18*Constants!$H94*EF!$H219*MMVolatEF*NtoN2O*kgtoGg</f>
        <v>1.0617427311806347E-2</v>
      </c>
      <c r="U1544" s="22">
        <f>Constants!$H76*'Activity data'!AN18*Constants!$H94*EF!$H219*MMVolatEF*NtoN2O*kgtoGg</f>
        <v>1.0686750028698176E-2</v>
      </c>
      <c r="V1544" s="22">
        <f>Constants!$H76*'Activity data'!AO18*Constants!$H94*EF!$H219*MMVolatEF*NtoN2O*kgtoGg</f>
        <v>1.0732404232638389E-2</v>
      </c>
      <c r="W1544" s="22">
        <f>Constants!$H76*'Activity data'!AP18*Constants!$H94*EF!$H219*MMVolatEF*NtoN2O*kgtoGg</f>
        <v>1.0816941059270873E-2</v>
      </c>
      <c r="X1544" s="22">
        <f>Constants!$H76*'Activity data'!AQ18*Constants!$H94*EF!$H219*MMVolatEF*NtoN2O*kgtoGg</f>
        <v>1.087990465613799E-2</v>
      </c>
      <c r="Y1544" s="22">
        <f>Constants!$H76*'Activity data'!AR18*Constants!$H94*EF!$H219*MMVolatEF*NtoN2O*kgtoGg</f>
        <v>1.0912931398434408E-2</v>
      </c>
      <c r="Z1544" s="22">
        <f>Constants!$H76*'Activity data'!AS18*Constants!$H94*EF!$H219*MMVolatEF*NtoN2O*kgtoGg</f>
        <v>1.0933166698202938E-2</v>
      </c>
      <c r="AA1544" s="22">
        <f>Constants!$H76*'Activity data'!AT18*Constants!$H94*EF!$H219*MMVolatEF*NtoN2O*kgtoGg</f>
        <v>1.0935911642593046E-2</v>
      </c>
      <c r="AB1544" s="22">
        <f>Constants!$H76*'Activity data'!AU18*Constants!$H94*EF!$H219*MMVolatEF*NtoN2O*kgtoGg</f>
        <v>1.0999416268014638E-2</v>
      </c>
      <c r="AC1544" s="22">
        <f>Constants!$H76*'Activity data'!AV18*Constants!$H94*EF!$H219*MMVolatEF*NtoN2O*kgtoGg</f>
        <v>1.1054887166372485E-2</v>
      </c>
      <c r="AD1544" s="22">
        <f>Constants!$H76*'Activity data'!AW18*Constants!$H94*EF!$H219*MMVolatEF*NtoN2O*kgtoGg</f>
        <v>1.1134699685884465E-2</v>
      </c>
      <c r="AE1544" s="22">
        <f>Constants!$H76*'Activity data'!AX18*Constants!$H94*EF!$H219*MMVolatEF*NtoN2O*kgtoGg</f>
        <v>1.1269518115040561E-2</v>
      </c>
      <c r="AF1544" s="22">
        <f>Constants!$H76*'Activity data'!AY18*Constants!$H94*EF!$H219*MMVolatEF*NtoN2O*kgtoGg</f>
        <v>1.1427397995711722E-2</v>
      </c>
      <c r="AG1544" s="22">
        <f>Constants!$H76*'Activity data'!AZ18*Constants!$H94*EF!$H219*MMVolatEF*NtoN2O*kgtoGg</f>
        <v>1.1641154570195772E-2</v>
      </c>
      <c r="AH1544" s="22">
        <f>Constants!$H76*'Activity data'!BA18*Constants!$H94*EF!$H219*MMVolatEF*NtoN2O*kgtoGg</f>
        <v>1.1756549655379731E-2</v>
      </c>
      <c r="AI1544" s="22">
        <f>Constants!$H76*'Activity data'!BB18*Constants!$H94*EF!$H219*MMVolatEF*NtoN2O*kgtoGg</f>
        <v>1.1857335577564188E-2</v>
      </c>
      <c r="AJ1544" s="22">
        <f>Constants!$H76*'Activity data'!BC18*Constants!$H94*EF!$H219*MMVolatEF*NtoN2O*kgtoGg</f>
        <v>1.1983994600770704E-2</v>
      </c>
      <c r="AK1544" s="22">
        <f>Constants!$H76*'Activity data'!BD18*Constants!$H94*EF!$H219*MMVolatEF*NtoN2O*kgtoGg</f>
        <v>1.209396190204173E-2</v>
      </c>
      <c r="AL1544" s="22">
        <f>Constants!$H76*'Activity data'!BE18*Constants!$H94*EF!$H219*MMVolatEF*NtoN2O*kgtoGg</f>
        <v>1.2215639583254724E-2</v>
      </c>
      <c r="AM1544" s="22">
        <f>Constants!$H76*'Activity data'!BF18*Constants!$H94*EF!$H219*MMVolatEF*NtoN2O*kgtoGg</f>
        <v>1.2334326609936505E-2</v>
      </c>
      <c r="AN1544" s="22">
        <f>Constants!$H76*'Activity data'!BG18*Constants!$H94*EF!$H219*MMVolatEF*NtoN2O*kgtoGg</f>
        <v>1.2494119174505589E-2</v>
      </c>
      <c r="AO1544" s="22">
        <f>Constants!$H76*'Activity data'!BH18*Constants!$H94*EF!$H219*MMVolatEF*NtoN2O*kgtoGg</f>
        <v>1.2632877696725955E-2</v>
      </c>
      <c r="AP1544" s="22">
        <f>Constants!$H76*'Activity data'!BI18*Constants!$H94*EF!$H219*MMVolatEF*NtoN2O*kgtoGg</f>
        <v>1.2771512903072156E-2</v>
      </c>
      <c r="AQ1544" s="22">
        <f>Constants!$H76*'Activity data'!BJ18*Constants!$H94*EF!$H219*MMVolatEF*NtoN2O*kgtoGg</f>
        <v>1.2915071848641296E-2</v>
      </c>
      <c r="AR1544" s="22">
        <f>Constants!$H76*'Activity data'!BK18*Constants!$H94*EF!$H219*MMVolatEF*NtoN2O*kgtoGg</f>
        <v>1.3065168276002324E-2</v>
      </c>
      <c r="AS1544" s="22">
        <f>Constants!$H76*'Activity data'!BL18*Constants!$H94*EF!$H219*MMVolatEF*NtoN2O*kgtoGg</f>
        <v>1.3260773516090847E-2</v>
      </c>
      <c r="AT1544" s="22">
        <f>Constants!$H76*'Activity data'!BM18*Constants!$H94*EF!$H219*MMVolatEF*NtoN2O*kgtoGg</f>
        <v>1.3321350802978501E-2</v>
      </c>
      <c r="AU1544" s="22">
        <f>Constants!$H76*'Activity data'!BN18*Constants!$H94*EF!$H219*MMVolatEF*NtoN2O*kgtoGg</f>
        <v>1.3369734774933539E-2</v>
      </c>
      <c r="AV1544" s="22">
        <f>Constants!$H76*'Activity data'!BO18*Constants!$H94*EF!$H219*MMVolatEF*NtoN2O*kgtoGg</f>
        <v>1.3419632668064721E-2</v>
      </c>
      <c r="AW1544" s="22">
        <f>Constants!$H76*'Activity data'!BP18*Constants!$H94*EF!$H219*MMVolatEF*NtoN2O*kgtoGg</f>
        <v>1.3465299830163544E-2</v>
      </c>
    </row>
    <row r="1545" spans="1:49" x14ac:dyDescent="0.2">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6.4453339767617107E-2</v>
      </c>
      <c r="L1545" s="22">
        <f>Constants!$H77*'Activity data'!AE19*Constants!$H95*EF!$H220*MMVolatEF*NtoN2O*kgtoGg</f>
        <v>6.5763803942104557E-2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6.9415657765503513E-2</v>
      </c>
      <c r="P1545" s="22">
        <f>Constants!$H77*'Activity data'!AI19*Constants!$H95*EF!$H220*MMVolatEF*NtoN2O*kgtoGg</f>
        <v>7.0122113289878343E-2</v>
      </c>
      <c r="Q1545" s="22">
        <f>Constants!$H77*'Activity data'!AJ19*Constants!$H95*EF!$H220*MMVolatEF*NtoN2O*kgtoGg</f>
        <v>7.1027984276732931E-2</v>
      </c>
      <c r="R1545" s="22">
        <f>Constants!$H77*'Activity data'!AK19*Constants!$H95*EF!$H220*MMVolatEF*NtoN2O*kgtoGg</f>
        <v>7.1969839340941838E-2</v>
      </c>
      <c r="S1545" s="22">
        <f>Constants!$H77*'Activity data'!AL19*Constants!$H95*EF!$H220*MMVolatEF*NtoN2O*kgtoGg</f>
        <v>6.9091020117855437E-2</v>
      </c>
      <c r="T1545" s="22">
        <f>Constants!$H77*'Activity data'!AM19*Constants!$H95*EF!$H220*MMVolatEF*NtoN2O*kgtoGg</f>
        <v>7.0923520025616846E-2</v>
      </c>
      <c r="U1545" s="22">
        <f>Constants!$H77*'Activity data'!AN19*Constants!$H95*EF!$H220*MMVolatEF*NtoN2O*kgtoGg</f>
        <v>7.2452558917721649E-2</v>
      </c>
      <c r="V1545" s="22">
        <f>Constants!$H77*'Activity data'!AO19*Constants!$H95*EF!$H220*MMVolatEF*NtoN2O*kgtoGg</f>
        <v>7.3914725789307509E-2</v>
      </c>
      <c r="W1545" s="22">
        <f>Constants!$H77*'Activity data'!AP19*Constants!$H95*EF!$H220*MMVolatEF*NtoN2O*kgtoGg</f>
        <v>7.5540335927502686E-2</v>
      </c>
      <c r="X1545" s="22">
        <f>Constants!$H77*'Activity data'!AQ19*Constants!$H95*EF!$H220*MMVolatEF*NtoN2O*kgtoGg</f>
        <v>7.710742274610026E-2</v>
      </c>
      <c r="Y1545" s="22">
        <f>Constants!$H77*'Activity data'!AR19*Constants!$H95*EF!$H220*MMVolatEF*NtoN2O*kgtoGg</f>
        <v>7.8514475152186416E-2</v>
      </c>
      <c r="Z1545" s="22">
        <f>Constants!$H77*'Activity data'!AS19*Constants!$H95*EF!$H220*MMVolatEF*NtoN2O*kgtoGg</f>
        <v>7.9886368180485237E-2</v>
      </c>
      <c r="AA1545" s="22">
        <f>Constants!$H77*'Activity data'!AT19*Constants!$H95*EF!$H220*MMVolatEF*NtoN2O*kgtoGg</f>
        <v>8.1201368710931643E-2</v>
      </c>
      <c r="AB1545" s="22">
        <f>Constants!$H77*'Activity data'!AU19*Constants!$H95*EF!$H220*MMVolatEF*NtoN2O*kgtoGg</f>
        <v>8.2782551319957556E-2</v>
      </c>
      <c r="AC1545" s="22">
        <f>Constants!$H77*'Activity data'!AV19*Constants!$H95*EF!$H220*MMVolatEF*NtoN2O*kgtoGg</f>
        <v>8.4352893309328145E-2</v>
      </c>
      <c r="AD1545" s="22">
        <f>Constants!$H77*'Activity data'!AW19*Constants!$H95*EF!$H220*MMVolatEF*NtoN2O*kgtoGg</f>
        <v>8.5998825916539595E-2</v>
      </c>
      <c r="AE1545" s="22">
        <f>Constants!$H77*'Activity data'!AX19*Constants!$H95*EF!$H220*MMVolatEF*NtoN2O*kgtoGg</f>
        <v>8.791554994164491E-2</v>
      </c>
      <c r="AF1545" s="22">
        <f>Constants!$H77*'Activity data'!AY19*Constants!$H95*EF!$H220*MMVolatEF*NtoN2O*kgtoGg</f>
        <v>8.9973918009766785E-2</v>
      </c>
      <c r="AG1545" s="22">
        <f>Constants!$H77*'Activity data'!AZ19*Constants!$H95*EF!$H220*MMVolatEF*NtoN2O*kgtoGg</f>
        <v>9.2332462068458354E-2</v>
      </c>
      <c r="AH1545" s="22">
        <f>Constants!$H77*'Activity data'!BA19*Constants!$H95*EF!$H220*MMVolatEF*NtoN2O*kgtoGg</f>
        <v>9.4282044413809288E-2</v>
      </c>
      <c r="AI1545" s="22">
        <f>Constants!$H77*'Activity data'!BB19*Constants!$H95*EF!$H220*MMVolatEF*NtoN2O*kgtoGg</f>
        <v>9.6147404966029248E-2</v>
      </c>
      <c r="AJ1545" s="22">
        <f>Constants!$H77*'Activity data'!BC19*Constants!$H95*EF!$H220*MMVolatEF*NtoN2O*kgtoGg</f>
        <v>9.8173701325843382E-2</v>
      </c>
      <c r="AK1545" s="22">
        <f>Constants!$H77*'Activity data'!BD19*Constants!$H95*EF!$H220*MMVolatEF*NtoN2O*kgtoGg</f>
        <v>0.1001572245577764</v>
      </c>
      <c r="AL1545" s="22">
        <f>Constants!$H77*'Activity data'!BE19*Constants!$H95*EF!$H220*MMVolatEF*NtoN2O*kgtoGg</f>
        <v>0.10223848995104871</v>
      </c>
      <c r="AM1545" s="22">
        <f>Constants!$H77*'Activity data'!BF19*Constants!$H95*EF!$H220*MMVolatEF*NtoN2O*kgtoGg</f>
        <v>0.10434595485218236</v>
      </c>
      <c r="AN1545" s="22">
        <f>Constants!$H77*'Activity data'!BG19*Constants!$H95*EF!$H220*MMVolatEF*NtoN2O*kgtoGg</f>
        <v>0.10666367827206967</v>
      </c>
      <c r="AO1545" s="22">
        <f>Constants!$H77*'Activity data'!BH19*Constants!$H95*EF!$H220*MMVolatEF*NtoN2O*kgtoGg</f>
        <v>0.10891945161625204</v>
      </c>
      <c r="AP1545" s="22">
        <f>Constants!$H77*'Activity data'!BI19*Constants!$H95*EF!$H220*MMVolatEF*NtoN2O*kgtoGg</f>
        <v>0.11122270700738313</v>
      </c>
      <c r="AQ1545" s="22">
        <f>Constants!$H77*'Activity data'!BJ19*Constants!$H95*EF!$H220*MMVolatEF*NtoN2O*kgtoGg</f>
        <v>0.11360290610560657</v>
      </c>
      <c r="AR1545" s="22">
        <f>Constants!$H77*'Activity data'!BK19*Constants!$H95*EF!$H220*MMVolatEF*NtoN2O*kgtoGg</f>
        <v>0.11607217368997393</v>
      </c>
      <c r="AS1545" s="22">
        <f>Constants!$H77*'Activity data'!BL19*Constants!$H95*EF!$H220*MMVolatEF*NtoN2O*kgtoGg</f>
        <v>0.11880939144121157</v>
      </c>
      <c r="AT1545" s="22">
        <f>Constants!$H77*'Activity data'!BM19*Constants!$H95*EF!$H220*MMVolatEF*NtoN2O*kgtoGg</f>
        <v>0.12081746755875615</v>
      </c>
      <c r="AU1545" s="22">
        <f>Constants!$H77*'Activity data'!BN19*Constants!$H95*EF!$H220*MMVolatEF*NtoN2O*kgtoGg</f>
        <v>0.12279062605907758</v>
      </c>
      <c r="AV1545" s="22">
        <f>Constants!$H77*'Activity data'!BO19*Constants!$H95*EF!$H220*MMVolatEF*NtoN2O*kgtoGg</f>
        <v>0.12480975001742217</v>
      </c>
      <c r="AW1545" s="22">
        <f>Constants!$H77*'Activity data'!BP19*Constants!$H95*EF!$H220*MMVolatEF*NtoN2O*kgtoGg</f>
        <v>0.1268408444448812</v>
      </c>
    </row>
    <row r="1546" spans="1:49" x14ac:dyDescent="0.2">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0.31034319165291718</v>
      </c>
      <c r="L1546" s="22">
        <f>Constants!$H78*'Activity data'!AE20*Constants!$H96*EF!$H221*MMVolatEF*NtoN2O*kgtoGg</f>
        <v>0.31442985679016988</v>
      </c>
      <c r="M1546" s="22">
        <f>Constants!$H78*'Activity data'!AF20*Constants!$H96*EF!$H221*MMVolatEF*NtoN2O*kgtoGg</f>
        <v>0.32099421325528477</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0.31577785743754239</v>
      </c>
      <c r="R1546" s="22">
        <f>Constants!$H78*'Activity data'!AK20*Constants!$H96*EF!$H221*MMVolatEF*NtoN2O*kgtoGg</f>
        <v>0.31441607582114922</v>
      </c>
      <c r="S1546" s="22">
        <f>Constants!$H78*'Activity data'!AL20*Constants!$H96*EF!$H221*MMVolatEF*NtoN2O*kgtoGg</f>
        <v>0.26879192155029241</v>
      </c>
      <c r="T1546" s="22">
        <f>Constants!$H78*'Activity data'!AM20*Constants!$H96*EF!$H221*MMVolatEF*NtoN2O*kgtoGg</f>
        <v>0.28063901740950847</v>
      </c>
      <c r="U1546" s="22">
        <f>Constants!$H78*'Activity data'!AN20*Constants!$H96*EF!$H221*MMVolatEF*NtoN2O*kgtoGg</f>
        <v>0.28880309945041127</v>
      </c>
      <c r="V1546" s="22">
        <f>Constants!$H78*'Activity data'!AO20*Constants!$H96*EF!$H221*MMVolatEF*NtoN2O*kgtoGg</f>
        <v>0.29604855006817871</v>
      </c>
      <c r="W1546" s="22">
        <f>Constants!$H78*'Activity data'!AP20*Constants!$H96*EF!$H221*MMVolatEF*NtoN2O*kgtoGg</f>
        <v>0.30496938447162802</v>
      </c>
      <c r="X1546" s="22">
        <f>Constants!$H78*'Activity data'!AQ20*Constants!$H96*EF!$H221*MMVolatEF*NtoN2O*kgtoGg</f>
        <v>0.31306661968905752</v>
      </c>
      <c r="Y1546" s="22">
        <f>Constants!$H78*'Activity data'!AR20*Constants!$H96*EF!$H221*MMVolatEF*NtoN2O*kgtoGg</f>
        <v>0.32021357019479407</v>
      </c>
      <c r="Z1546" s="22">
        <f>Constants!$H78*'Activity data'!AS20*Constants!$H96*EF!$H221*MMVolatEF*NtoN2O*kgtoGg</f>
        <v>0.32685390014438859</v>
      </c>
      <c r="AA1546" s="22">
        <f>Constants!$H78*'Activity data'!AT20*Constants!$H96*EF!$H221*MMVolatEF*NtoN2O*kgtoGg</f>
        <v>0.33276450713212152</v>
      </c>
      <c r="AB1546" s="22">
        <f>Constants!$H78*'Activity data'!AU20*Constants!$H96*EF!$H221*MMVolatEF*NtoN2O*kgtoGg</f>
        <v>0.34142456701129209</v>
      </c>
      <c r="AC1546" s="22">
        <f>Constants!$H78*'Activity data'!AV20*Constants!$H96*EF!$H221*MMVolatEF*NtoN2O*kgtoGg</f>
        <v>0.34982483105719137</v>
      </c>
      <c r="AD1546" s="22">
        <f>Constants!$H78*'Activity data'!AW20*Constants!$H96*EF!$H221*MMVolatEF*NtoN2O*kgtoGg</f>
        <v>0.35965297279223607</v>
      </c>
      <c r="AE1546" s="22">
        <f>Constants!$H78*'Activity data'!AX20*Constants!$H96*EF!$H221*MMVolatEF*NtoN2O*kgtoGg</f>
        <v>0.37217634319205956</v>
      </c>
      <c r="AF1546" s="22">
        <f>Constants!$H78*'Activity data'!AY20*Constants!$H96*EF!$H221*MMVolatEF*NtoN2O*kgtoGg</f>
        <v>0.3859945703932357</v>
      </c>
      <c r="AG1546" s="22">
        <f>Constants!$H78*'Activity data'!AZ20*Constants!$H96*EF!$H221*MMVolatEF*NtoN2O*kgtoGg</f>
        <v>0.40272226665089866</v>
      </c>
      <c r="AH1546" s="22">
        <f>Constants!$H78*'Activity data'!BA20*Constants!$H96*EF!$H221*MMVolatEF*NtoN2O*kgtoGg</f>
        <v>0.41501766533472662</v>
      </c>
      <c r="AI1546" s="22">
        <f>Constants!$H78*'Activity data'!BB20*Constants!$H96*EF!$H221*MMVolatEF*NtoN2O*kgtoGg</f>
        <v>0.42700130219026528</v>
      </c>
      <c r="AJ1546" s="22">
        <f>Constants!$H78*'Activity data'!BC20*Constants!$H96*EF!$H221*MMVolatEF*NtoN2O*kgtoGg</f>
        <v>0.44046546100421546</v>
      </c>
      <c r="AK1546" s="22">
        <f>Constants!$H78*'Activity data'!BD20*Constants!$H96*EF!$H221*MMVolatEF*NtoN2O*kgtoGg</f>
        <v>0.45333055520989524</v>
      </c>
      <c r="AL1546" s="22">
        <f>Constants!$H78*'Activity data'!BE20*Constants!$H96*EF!$H221*MMVolatEF*NtoN2O*kgtoGg</f>
        <v>0.46701619271583805</v>
      </c>
      <c r="AM1546" s="22">
        <f>Constants!$H78*'Activity data'!BF20*Constants!$H96*EF!$H221*MMVolatEF*NtoN2O*kgtoGg</f>
        <v>0.48079646315959662</v>
      </c>
      <c r="AN1546" s="22">
        <f>Constants!$H78*'Activity data'!BG20*Constants!$H96*EF!$H221*MMVolatEF*NtoN2O*kgtoGg</f>
        <v>0.49715144699339536</v>
      </c>
      <c r="AO1546" s="22">
        <f>Constants!$H78*'Activity data'!BH20*Constants!$H96*EF!$H221*MMVolatEF*NtoN2O*kgtoGg</f>
        <v>0.51271284356388047</v>
      </c>
      <c r="AP1546" s="22">
        <f>Constants!$H78*'Activity data'!BI20*Constants!$H96*EF!$H221*MMVolatEF*NtoN2O*kgtoGg</f>
        <v>0.52856616956956437</v>
      </c>
      <c r="AQ1546" s="22">
        <f>Constants!$H78*'Activity data'!BJ20*Constants!$H96*EF!$H221*MMVolatEF*NtoN2O*kgtoGg</f>
        <v>0.54499431888614669</v>
      </c>
      <c r="AR1546" s="22">
        <f>Constants!$H78*'Activity data'!BK20*Constants!$H96*EF!$H221*MMVolatEF*NtoN2O*kgtoGg</f>
        <v>0.56210625186052299</v>
      </c>
      <c r="AS1546" s="22">
        <f>Constants!$H78*'Activity data'!BL20*Constants!$H96*EF!$H221*MMVolatEF*NtoN2O*kgtoGg</f>
        <v>0.58227066272581418</v>
      </c>
      <c r="AT1546" s="22">
        <f>Constants!$H78*'Activity data'!BM20*Constants!$H96*EF!$H221*MMVolatEF*NtoN2O*kgtoGg</f>
        <v>0.59525693388734258</v>
      </c>
      <c r="AU1546" s="22">
        <f>Constants!$H78*'Activity data'!BN20*Constants!$H96*EF!$H221*MMVolatEF*NtoN2O*kgtoGg</f>
        <v>0.60778527419801665</v>
      </c>
      <c r="AV1546" s="22">
        <f>Constants!$H78*'Activity data'!BO20*Constants!$H96*EF!$H221*MMVolatEF*NtoN2O*kgtoGg</f>
        <v>0.62062894178535877</v>
      </c>
      <c r="AW1546" s="22">
        <f>Constants!$H78*'Activity data'!BP20*Constants!$H96*EF!$H221*MMVolatEF*NtoN2O*kgtoGg</f>
        <v>0.63346374044156473</v>
      </c>
    </row>
    <row r="1547" spans="1:49" x14ac:dyDescent="0.2">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8.9709854381943815E-2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9.1174361291842948E-2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9.2016609055475651E-2</v>
      </c>
      <c r="S1547" s="22">
        <f>Constants!$H63*'Activity data'!AL5*Constants!$H81*FracLEACHMM*MMLeachEF*NtoN2O*kgtoGg</f>
        <v>8.9497634351969751E-2</v>
      </c>
      <c r="T1547" s="22">
        <f>Constants!$H63*'Activity data'!AM5*Constants!$H81*FracLEACHMM*MMLeachEF*NtoN2O*kgtoGg</f>
        <v>9.0526156863539653E-2</v>
      </c>
      <c r="U1547" s="22">
        <f>Constants!$H63*'Activity data'!AN5*Constants!$H81*FracLEACHMM*MMLeachEF*NtoN2O*kgtoGg</f>
        <v>9.133211275409571E-2</v>
      </c>
      <c r="V1547" s="22">
        <f>Constants!$H63*'Activity data'!AO5*Constants!$H81*FracLEACHMM*MMLeachEF*NtoN2O*kgtoGg</f>
        <v>9.2095667401537948E-2</v>
      </c>
      <c r="W1547" s="22">
        <f>Constants!$H63*'Activity data'!AP5*Constants!$H81*FracLEACHMM*MMLeachEF*NtoN2O*kgtoGg</f>
        <v>9.2988337377843094E-2</v>
      </c>
      <c r="X1547" s="22">
        <f>Constants!$H63*'Activity data'!AQ5*Constants!$H81*FracLEACHMM*MMLeachEF*NtoN2O*kgtoGg</f>
        <v>9.3843223396191833E-2</v>
      </c>
      <c r="Y1547" s="22">
        <f>Constants!$H63*'Activity data'!AR5*Constants!$H81*FracLEACHMM*MMLeachEF*NtoN2O*kgtoGg</f>
        <v>9.4560210431129388E-2</v>
      </c>
      <c r="Z1547" s="22">
        <f>Constants!$H63*'Activity data'!AS5*Constants!$H81*FracLEACHMM*MMLeachEF*NtoN2O*kgtoGg</f>
        <v>9.5257283424355771E-2</v>
      </c>
      <c r="AA1547" s="22">
        <f>Constants!$H63*'Activity data'!AT5*Constants!$H81*FracLEACHMM*MMLeachEF*NtoN2O*kgtoGg</f>
        <v>9.5918466483612935E-2</v>
      </c>
      <c r="AB1547" s="22">
        <f>Constants!$H63*'Activity data'!AU5*Constants!$H81*FracLEACHMM*MMLeachEF*NtoN2O*kgtoGg</f>
        <v>9.6778548113850782E-2</v>
      </c>
      <c r="AC1547" s="22">
        <f>Constants!$H63*'Activity data'!AV5*Constants!$H81*FracLEACHMM*MMLeachEF*NtoN2O*kgtoGg</f>
        <v>9.7634207071548518E-2</v>
      </c>
      <c r="AD1547" s="22">
        <f>Constants!$H63*'Activity data'!AW5*Constants!$H81*FracLEACHMM*MMLeachEF*NtoN2O*kgtoGg</f>
        <v>9.8526906814348045E-2</v>
      </c>
      <c r="AE1547" s="22">
        <f>Constants!$H63*'Activity data'!AX5*Constants!$H81*FracLEACHMM*MMLeachEF*NtoN2O*kgtoGg</f>
        <v>9.9615980454525591E-2</v>
      </c>
      <c r="AF1547" s="22">
        <f>Constants!$H63*'Activity data'!AY5*Constants!$H81*FracLEACHMM*MMLeachEF*NtoN2O*kgtoGg</f>
        <v>0.1008065868820634</v>
      </c>
      <c r="AG1547" s="22">
        <f>Constants!$H63*'Activity data'!AZ5*Constants!$H81*FracLEACHMM*MMLeachEF*NtoN2O*kgtoGg</f>
        <v>0.10221006700957981</v>
      </c>
      <c r="AH1547" s="22">
        <f>Constants!$H63*'Activity data'!BA5*Constants!$H81*FracLEACHMM*MMLeachEF*NtoN2O*kgtoGg</f>
        <v>0.10332162680247739</v>
      </c>
      <c r="AI1547" s="22">
        <f>Constants!$H63*'Activity data'!BB5*Constants!$H81*FracLEACHMM*MMLeachEF*NtoN2O*kgtoGg</f>
        <v>0.10435425380397972</v>
      </c>
      <c r="AJ1547" s="22">
        <f>Constants!$H63*'Activity data'!BC5*Constants!$H81*FracLEACHMM*MMLeachEF*NtoN2O*kgtoGg</f>
        <v>0.10550009187328319</v>
      </c>
      <c r="AK1547" s="22">
        <f>Constants!$H63*'Activity data'!BD5*Constants!$H81*FracLEACHMM*MMLeachEF*NtoN2O*kgtoGg</f>
        <v>0.10661516318950658</v>
      </c>
      <c r="AL1547" s="22">
        <f>Constants!$H63*'Activity data'!BE5*Constants!$H81*FracLEACHMM*MMLeachEF*NtoN2O*kgtoGg</f>
        <v>0.10779775034487957</v>
      </c>
      <c r="AM1547" s="22">
        <f>Constants!$H63*'Activity data'!BF5*Constants!$H81*FracLEACHMM*MMLeachEF*NtoN2O*kgtoGg</f>
        <v>0.10899733735251546</v>
      </c>
      <c r="AN1547" s="22">
        <f>Constants!$H63*'Activity data'!BG5*Constants!$H81*FracLEACHMM*MMLeachEF*NtoN2O*kgtoGg</f>
        <v>0.11032305770963274</v>
      </c>
      <c r="AO1547" s="22">
        <f>Constants!$H63*'Activity data'!BH5*Constants!$H81*FracLEACHMM*MMLeachEF*NtoN2O*kgtoGg</f>
        <v>0.1116034974988518</v>
      </c>
      <c r="AP1547" s="22">
        <f>Constants!$H63*'Activity data'!BI5*Constants!$H81*FracLEACHMM*MMLeachEF*NtoN2O*kgtoGg</f>
        <v>0.11291437639210956</v>
      </c>
      <c r="AQ1547" s="22">
        <f>Constants!$H63*'Activity data'!BJ5*Constants!$H81*FracLEACHMM*MMLeachEF*NtoN2O*kgtoGg</f>
        <v>0.11427557081956052</v>
      </c>
      <c r="AR1547" s="22">
        <f>Constants!$H63*'Activity data'!BK5*Constants!$H81*FracLEACHMM*MMLeachEF*NtoN2O*kgtoGg</f>
        <v>0.11569486271533871</v>
      </c>
      <c r="AS1547" s="22">
        <f>Constants!$H63*'Activity data'!BL5*Constants!$H81*FracLEACHMM*MMLeachEF*NtoN2O*kgtoGg</f>
        <v>0.11727523367677491</v>
      </c>
      <c r="AT1547" s="22">
        <f>Constants!$H63*'Activity data'!BM5*Constants!$H81*FracLEACHMM*MMLeachEF*NtoN2O*kgtoGg</f>
        <v>0.11835610910450192</v>
      </c>
      <c r="AU1547" s="22">
        <f>Constants!$H63*'Activity data'!BN5*Constants!$H81*FracLEACHMM*MMLeachEF*NtoN2O*kgtoGg</f>
        <v>0.11941212579472428</v>
      </c>
      <c r="AV1547" s="22">
        <f>Constants!$H63*'Activity data'!BO5*Constants!$H81*FracLEACHMM*MMLeachEF*NtoN2O*kgtoGg</f>
        <v>0.120498066178682</v>
      </c>
      <c r="AW1547" s="22">
        <f>Constants!$H63*'Activity data'!BP5*Constants!$H81*FracLEACHMM*MMLeachEF*NtoN2O*kgtoGg</f>
        <v>0.12159075101335114</v>
      </c>
    </row>
    <row r="1548" spans="1:49" x14ac:dyDescent="0.2">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2.7090100081973278E-2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2.7786681470952927E-2</v>
      </c>
      <c r="S1548" s="22">
        <f>Constants!$H64*'Activity data'!AL6*Constants!$H82*FracLEACHMM*MMLeachEF*NtoN2O*kgtoGg</f>
        <v>2.7026015016948877E-2</v>
      </c>
      <c r="T1548" s="22">
        <f>Constants!$H64*'Activity data'!AM6*Constants!$H82*FracLEACHMM*MMLeachEF*NtoN2O*kgtoGg</f>
        <v>2.7336602721799708E-2</v>
      </c>
      <c r="U1548" s="22">
        <f>Constants!$H64*'Activity data'!AN6*Constants!$H82*FracLEACHMM*MMLeachEF*NtoN2O*kgtoGg</f>
        <v>2.7579980953625429E-2</v>
      </c>
      <c r="V1548" s="22">
        <f>Constants!$H64*'Activity data'!AO6*Constants!$H82*FracLEACHMM*MMLeachEF*NtoN2O*kgtoGg</f>
        <v>2.7810555085751417E-2</v>
      </c>
      <c r="W1548" s="22">
        <f>Constants!$H64*'Activity data'!AP6*Constants!$H82*FracLEACHMM*MMLeachEF*NtoN2O*kgtoGg</f>
        <v>2.8080118771534705E-2</v>
      </c>
      <c r="X1548" s="22">
        <f>Constants!$H64*'Activity data'!AQ6*Constants!$H82*FracLEACHMM*MMLeachEF*NtoN2O*kgtoGg</f>
        <v>2.8338272660595177E-2</v>
      </c>
      <c r="Y1548" s="22">
        <f>Constants!$H64*'Activity data'!AR6*Constants!$H82*FracLEACHMM*MMLeachEF*NtoN2O*kgtoGg</f>
        <v>2.8554784555166308E-2</v>
      </c>
      <c r="Z1548" s="22">
        <f>Constants!$H64*'Activity data'!AS6*Constants!$H82*FracLEACHMM*MMLeachEF*NtoN2O*kgtoGg</f>
        <v>2.8765282914360448E-2</v>
      </c>
      <c r="AA1548" s="22">
        <f>Constants!$H64*'Activity data'!AT6*Constants!$H82*FracLEACHMM*MMLeachEF*NtoN2O*kgtoGg</f>
        <v>2.8964943424024437E-2</v>
      </c>
      <c r="AB1548" s="22">
        <f>Constants!$H64*'Activity data'!AU6*Constants!$H82*FracLEACHMM*MMLeachEF*NtoN2O*kgtoGg</f>
        <v>2.9224666256062608E-2</v>
      </c>
      <c r="AC1548" s="22">
        <f>Constants!$H64*'Activity data'!AV6*Constants!$H82*FracLEACHMM*MMLeachEF*NtoN2O*kgtoGg</f>
        <v>2.9483053553196983E-2</v>
      </c>
      <c r="AD1548" s="22">
        <f>Constants!$H64*'Activity data'!AW6*Constants!$H82*FracLEACHMM*MMLeachEF*NtoN2O*kgtoGg</f>
        <v>2.9752626227706403E-2</v>
      </c>
      <c r="AE1548" s="22">
        <f>Constants!$H64*'Activity data'!AX6*Constants!$H82*FracLEACHMM*MMLeachEF*NtoN2O*kgtoGg</f>
        <v>3.0081498837213019E-2</v>
      </c>
      <c r="AF1548" s="22">
        <f>Constants!$H64*'Activity data'!AY6*Constants!$H82*FracLEACHMM*MMLeachEF*NtoN2O*kgtoGg</f>
        <v>3.0441031772612943E-2</v>
      </c>
      <c r="AG1548" s="22">
        <f>Constants!$H64*'Activity data'!AZ6*Constants!$H82*FracLEACHMM*MMLeachEF*NtoN2O*kgtoGg</f>
        <v>3.0864847164795019E-2</v>
      </c>
      <c r="AH1548" s="22">
        <f>Constants!$H64*'Activity data'!BA6*Constants!$H82*FracLEACHMM*MMLeachEF*NtoN2O*kgtoGg</f>
        <v>3.1200510021948794E-2</v>
      </c>
      <c r="AI1548" s="22">
        <f>Constants!$H64*'Activity data'!BB6*Constants!$H82*FracLEACHMM*MMLeachEF*NtoN2O*kgtoGg</f>
        <v>3.1512337178628218E-2</v>
      </c>
      <c r="AJ1548" s="22">
        <f>Constants!$H64*'Activity data'!BC6*Constants!$H82*FracLEACHMM*MMLeachEF*NtoN2O*kgtoGg</f>
        <v>3.1858351205615788E-2</v>
      </c>
      <c r="AK1548" s="22">
        <f>Constants!$H64*'Activity data'!BD6*Constants!$H82*FracLEACHMM*MMLeachEF*NtoN2O*kgtoGg</f>
        <v>3.2195074453726519E-2</v>
      </c>
      <c r="AL1548" s="22">
        <f>Constants!$H64*'Activity data'!BE6*Constants!$H82*FracLEACHMM*MMLeachEF*NtoN2O*kgtoGg</f>
        <v>3.2552185772381829E-2</v>
      </c>
      <c r="AM1548" s="22">
        <f>Constants!$H64*'Activity data'!BF6*Constants!$H82*FracLEACHMM*MMLeachEF*NtoN2O*kgtoGg</f>
        <v>3.2914430615133806E-2</v>
      </c>
      <c r="AN1548" s="22">
        <f>Constants!$H64*'Activity data'!BG6*Constants!$H82*FracLEACHMM*MMLeachEF*NtoN2O*kgtoGg</f>
        <v>3.331476452942278E-2</v>
      </c>
      <c r="AO1548" s="22">
        <f>Constants!$H64*'Activity data'!BH6*Constants!$H82*FracLEACHMM*MMLeachEF*NtoN2O*kgtoGg</f>
        <v>3.370142486097568E-2</v>
      </c>
      <c r="AP1548" s="22">
        <f>Constants!$H64*'Activity data'!BI6*Constants!$H82*FracLEACHMM*MMLeachEF*NtoN2O*kgtoGg</f>
        <v>3.4097277029707398E-2</v>
      </c>
      <c r="AQ1548" s="22">
        <f>Constants!$H64*'Activity data'!BJ6*Constants!$H82*FracLEACHMM*MMLeachEF*NtoN2O*kgtoGg</f>
        <v>3.4508323213259036E-2</v>
      </c>
      <c r="AR1548" s="22">
        <f>Constants!$H64*'Activity data'!BK6*Constants!$H82*FracLEACHMM*MMLeachEF*NtoN2O*kgtoGg</f>
        <v>3.4936913358311179E-2</v>
      </c>
      <c r="AS1548" s="22">
        <f>Constants!$H64*'Activity data'!BL6*Constants!$H82*FracLEACHMM*MMLeachEF*NtoN2O*kgtoGg</f>
        <v>3.5414145294611905E-2</v>
      </c>
      <c r="AT1548" s="22">
        <f>Constants!$H64*'Activity data'!BM6*Constants!$H82*FracLEACHMM*MMLeachEF*NtoN2O*kgtoGg</f>
        <v>3.5740542251947324E-2</v>
      </c>
      <c r="AU1548" s="22">
        <f>Constants!$H64*'Activity data'!BN6*Constants!$H82*FracLEACHMM*MMLeachEF*NtoN2O*kgtoGg</f>
        <v>3.6059432501223176E-2</v>
      </c>
      <c r="AV1548" s="22">
        <f>Constants!$H64*'Activity data'!BO6*Constants!$H82*FracLEACHMM*MMLeachEF*NtoN2O*kgtoGg</f>
        <v>3.638735894684221E-2</v>
      </c>
      <c r="AW1548" s="22">
        <f>Constants!$H64*'Activity data'!BP6*Constants!$H82*FracLEACHMM*MMLeachEF*NtoN2O*kgtoGg</f>
        <v>3.6717322045469181E-2</v>
      </c>
    </row>
    <row r="1549" spans="1:49" x14ac:dyDescent="0.2">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1.4564639612104711E-3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1.4802406304505133E-3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1.4939147526814823E-3</v>
      </c>
      <c r="S1549" s="22">
        <f>Constants!$H65*'Activity data'!AL7*Constants!$H83*FracLEACHMM*MMLeachEF*NtoN2O*kgtoGg</f>
        <v>1.4530185111243717E-3</v>
      </c>
      <c r="T1549" s="22">
        <f>Constants!$H65*'Activity data'!AM7*Constants!$H83*FracLEACHMM*MMLeachEF*NtoN2O*kgtoGg</f>
        <v>1.4697168547089842E-3</v>
      </c>
      <c r="U1549" s="22">
        <f>Constants!$H65*'Activity data'!AN7*Constants!$H83*FracLEACHMM*MMLeachEF*NtoN2O*kgtoGg</f>
        <v>1.4828017684791316E-3</v>
      </c>
      <c r="V1549" s="22">
        <f>Constants!$H65*'Activity data'!AO7*Constants!$H83*FracLEACHMM*MMLeachEF*NtoN2O*kgtoGg</f>
        <v>1.4951982864990986E-3</v>
      </c>
      <c r="W1549" s="22">
        <f>Constants!$H65*'Activity data'!AP7*Constants!$H83*FracLEACHMM*MMLeachEF*NtoN2O*kgtoGg</f>
        <v>1.5096910271093734E-3</v>
      </c>
      <c r="X1549" s="22">
        <f>Constants!$H65*'Activity data'!AQ7*Constants!$H83*FracLEACHMM*MMLeachEF*NtoN2O*kgtoGg</f>
        <v>1.5235703348537217E-3</v>
      </c>
      <c r="Y1549" s="22">
        <f>Constants!$H65*'Activity data'!AR7*Constants!$H83*FracLEACHMM*MMLeachEF*NtoN2O*kgtoGg</f>
        <v>1.5352108149797475E-3</v>
      </c>
      <c r="Z1549" s="22">
        <f>Constants!$H65*'Activity data'!AS7*Constants!$H83*FracLEACHMM*MMLeachEF*NtoN2O*kgtoGg</f>
        <v>1.5465279852054938E-3</v>
      </c>
      <c r="AA1549" s="22">
        <f>Constants!$H65*'Activity data'!AT7*Constants!$H83*FracLEACHMM*MMLeachEF*NtoN2O*kgtoGg</f>
        <v>1.5572624725614869E-3</v>
      </c>
      <c r="AB1549" s="22">
        <f>Constants!$H65*'Activity data'!AU7*Constants!$H83*FracLEACHMM*MMLeachEF*NtoN2O*kgtoGg</f>
        <v>1.5712261324823602E-3</v>
      </c>
      <c r="AC1549" s="22">
        <f>Constants!$H65*'Activity data'!AV7*Constants!$H83*FracLEACHMM*MMLeachEF*NtoN2O*kgtoGg</f>
        <v>1.5851179891079189E-3</v>
      </c>
      <c r="AD1549" s="22">
        <f>Constants!$H65*'Activity data'!AW7*Constants!$H83*FracLEACHMM*MMLeachEF*NtoN2O*kgtoGg</f>
        <v>1.5996112129853511E-3</v>
      </c>
      <c r="AE1549" s="22">
        <f>Constants!$H65*'Activity data'!AX7*Constants!$H83*FracLEACHMM*MMLeachEF*NtoN2O*kgtoGg</f>
        <v>1.6172926206629243E-3</v>
      </c>
      <c r="AF1549" s="22">
        <f>Constants!$H65*'Activity data'!AY7*Constants!$H83*FracLEACHMM*MMLeachEF*NtoN2O*kgtoGg</f>
        <v>1.636622440844233E-3</v>
      </c>
      <c r="AG1549" s="22">
        <f>Constants!$H65*'Activity data'!AZ7*Constants!$H83*FracLEACHMM*MMLeachEF*NtoN2O*kgtoGg</f>
        <v>1.6594083236225038E-3</v>
      </c>
      <c r="AH1549" s="22">
        <f>Constants!$H65*'Activity data'!BA7*Constants!$H83*FracLEACHMM*MMLeachEF*NtoN2O*kgtoGg</f>
        <v>1.6774548001243291E-3</v>
      </c>
      <c r="AI1549" s="22">
        <f>Constants!$H65*'Activity data'!BB7*Constants!$H83*FracLEACHMM*MMLeachEF*NtoN2O*kgtoGg</f>
        <v>1.6942197812228126E-3</v>
      </c>
      <c r="AJ1549" s="22">
        <f>Constants!$H65*'Activity data'!BC7*Constants!$H83*FracLEACHMM*MMLeachEF*NtoN2O*kgtoGg</f>
        <v>1.7128227748941451E-3</v>
      </c>
      <c r="AK1549" s="22">
        <f>Constants!$H65*'Activity data'!BD7*Constants!$H83*FracLEACHMM*MMLeachEF*NtoN2O*kgtoGg</f>
        <v>1.7309262619352049E-3</v>
      </c>
      <c r="AL1549" s="22">
        <f>Constants!$H65*'Activity data'!BE7*Constants!$H83*FracLEACHMM*MMLeachEF*NtoN2O*kgtoGg</f>
        <v>1.7501258870450394E-3</v>
      </c>
      <c r="AM1549" s="22">
        <f>Constants!$H65*'Activity data'!BF7*Constants!$H83*FracLEACHMM*MMLeachEF*NtoN2O*kgtoGg</f>
        <v>1.7696015093943904E-3</v>
      </c>
      <c r="AN1549" s="22">
        <f>Constants!$H65*'Activity data'!BG7*Constants!$H83*FracLEACHMM*MMLeachEF*NtoN2O*kgtoGg</f>
        <v>1.7911249410852239E-3</v>
      </c>
      <c r="AO1549" s="22">
        <f>Constants!$H65*'Activity data'!BH7*Constants!$H83*FracLEACHMM*MMLeachEF*NtoN2O*kgtoGg</f>
        <v>1.8119132304024437E-3</v>
      </c>
      <c r="AP1549" s="22">
        <f>Constants!$H65*'Activity data'!BI7*Constants!$H83*FracLEACHMM*MMLeachEF*NtoN2O*kgtoGg</f>
        <v>1.8331957068783579E-3</v>
      </c>
      <c r="AQ1549" s="22">
        <f>Constants!$H65*'Activity data'!BJ7*Constants!$H83*FracLEACHMM*MMLeachEF*NtoN2O*kgtoGg</f>
        <v>1.8552950697793623E-3</v>
      </c>
      <c r="AR1549" s="22">
        <f>Constants!$H65*'Activity data'!BK7*Constants!$H83*FracLEACHMM*MMLeachEF*NtoN2O*kgtoGg</f>
        <v>1.8783376609292489E-3</v>
      </c>
      <c r="AS1549" s="22">
        <f>Constants!$H65*'Activity data'!BL7*Constants!$H83*FracLEACHMM*MMLeachEF*NtoN2O*kgtoGg</f>
        <v>1.9039954146569001E-3</v>
      </c>
      <c r="AT1549" s="22">
        <f>Constants!$H65*'Activity data'!BM7*Constants!$H83*FracLEACHMM*MMLeachEF*NtoN2O*kgtoGg</f>
        <v>1.9215437221186409E-3</v>
      </c>
      <c r="AU1549" s="22">
        <f>Constants!$H65*'Activity data'!BN7*Constants!$H83*FracLEACHMM*MMLeachEF*NtoN2O*kgtoGg</f>
        <v>1.938688441194845E-3</v>
      </c>
      <c r="AV1549" s="22">
        <f>Constants!$H65*'Activity data'!BO7*Constants!$H83*FracLEACHMM*MMLeachEF*NtoN2O*kgtoGg</f>
        <v>1.9563189796028518E-3</v>
      </c>
      <c r="AW1549" s="22">
        <f>Constants!$H65*'Activity data'!BP7*Constants!$H83*FracLEACHMM*MMLeachEF*NtoN2O*kgtoGg</f>
        <v>1.9740590160082297E-3</v>
      </c>
    </row>
    <row r="1550" spans="1:49" x14ac:dyDescent="0.2">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3.030301439269115E-2</v>
      </c>
      <c r="L1550" s="22">
        <f>Constants!$H66*'Activity data'!AE8*Constants!$H84*FracLEACHMM*MMLeachEF*NtoN2O*kgtoGg</f>
        <v>3.0040206026371367E-2</v>
      </c>
      <c r="M1550" s="22">
        <f>Constants!$H66*'Activity data'!AF8*Constants!$H84*FracLEACHMM*MMLeachEF*NtoN2O*kgtoGg</f>
        <v>2.99401628371932E-2</v>
      </c>
      <c r="N1550" s="22">
        <f>Constants!$H66*'Activity data'!AG8*Constants!$H84*FracLEACHMM*MMLeachEF*NtoN2O*kgtoGg</f>
        <v>2.9540351153331298E-2</v>
      </c>
      <c r="O1550" s="22">
        <f>Constants!$H66*'Activity data'!AH8*Constants!$H84*FracLEACHMM*MMLeachEF*NtoN2O*kgtoGg</f>
        <v>2.896001473012887E-2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2.4017837723924858E-2</v>
      </c>
      <c r="T1550" s="22">
        <f>Constants!$H66*'Activity data'!AM8*Constants!$H84*FracLEACHMM*MMLeachEF*NtoN2O*kgtoGg</f>
        <v>2.4477250922769193E-2</v>
      </c>
      <c r="U1550" s="22">
        <f>Constants!$H66*'Activity data'!AN8*Constants!$H84*FracLEACHMM*MMLeachEF*NtoN2O*kgtoGg</f>
        <v>2.4722881599244746E-2</v>
      </c>
      <c r="V1550" s="22">
        <f>Constants!$H66*'Activity data'!AO8*Constants!$H84*FracLEACHMM*MMLeachEF*NtoN2O*kgtoGg</f>
        <v>2.4911965822405392E-2</v>
      </c>
      <c r="W1550" s="22">
        <f>Constants!$H66*'Activity data'!AP8*Constants!$H84*FracLEACHMM*MMLeachEF*NtoN2O*kgtoGg</f>
        <v>2.5185541319014813E-2</v>
      </c>
      <c r="X1550" s="22">
        <f>Constants!$H66*'Activity data'!AQ8*Constants!$H84*FracLEACHMM*MMLeachEF*NtoN2O*kgtoGg</f>
        <v>2.5407562443653844E-2</v>
      </c>
      <c r="Y1550" s="22">
        <f>Constants!$H66*'Activity data'!AR8*Constants!$H84*FracLEACHMM*MMLeachEF*NtoN2O*kgtoGg</f>
        <v>2.5550689603830473E-2</v>
      </c>
      <c r="Z1550" s="22">
        <f>Constants!$H66*'Activity data'!AS8*Constants!$H84*FracLEACHMM*MMLeachEF*NtoN2O*kgtoGg</f>
        <v>2.5662103388614917E-2</v>
      </c>
      <c r="AA1550" s="22">
        <f>Constants!$H66*'Activity data'!AT8*Constants!$H84*FracLEACHMM*MMLeachEF*NtoN2O*kgtoGg</f>
        <v>2.5731155592918373E-2</v>
      </c>
      <c r="AB1550" s="22">
        <f>Constants!$H66*'Activity data'!AU8*Constants!$H84*FracLEACHMM*MMLeachEF*NtoN2O*kgtoGg</f>
        <v>2.593557725784186E-2</v>
      </c>
      <c r="AC1550" s="22">
        <f>Constants!$H66*'Activity data'!AV8*Constants!$H84*FracLEACHMM*MMLeachEF*NtoN2O*kgtoGg</f>
        <v>2.611950739638573E-2</v>
      </c>
      <c r="AD1550" s="22">
        <f>Constants!$H66*'Activity data'!AW8*Constants!$H84*FracLEACHMM*MMLeachEF*NtoN2O*kgtoGg</f>
        <v>2.6128993823789925E-2</v>
      </c>
      <c r="AE1550" s="22">
        <f>Constants!$H66*'Activity data'!AX8*Constants!$H84*FracLEACHMM*MMLeachEF*NtoN2O*kgtoGg</f>
        <v>2.6252210081774377E-2</v>
      </c>
      <c r="AF1550" s="22">
        <f>Constants!$H66*'Activity data'!AY8*Constants!$H84*FracLEACHMM*MMLeachEF*NtoN2O*kgtoGg</f>
        <v>2.641514740098018E-2</v>
      </c>
      <c r="AG1550" s="22">
        <f>Constants!$H66*'Activity data'!AZ8*Constants!$H84*FracLEACHMM*MMLeachEF*NtoN2O*kgtoGg</f>
        <v>2.6688702803580544E-2</v>
      </c>
      <c r="AH1550" s="22">
        <f>Constants!$H66*'Activity data'!BA8*Constants!$H84*FracLEACHMM*MMLeachEF*NtoN2O*kgtoGg</f>
        <v>2.6732393968630815E-2</v>
      </c>
      <c r="AI1550" s="22">
        <f>Constants!$H66*'Activity data'!BB8*Constants!$H84*FracLEACHMM*MMLeachEF*NtoN2O*kgtoGg</f>
        <v>2.6727807661606592E-2</v>
      </c>
      <c r="AJ1550" s="22">
        <f>Constants!$H66*'Activity data'!BC8*Constants!$H84*FracLEACHMM*MMLeachEF*NtoN2O*kgtoGg</f>
        <v>2.6767943392537564E-2</v>
      </c>
      <c r="AK1550" s="22">
        <f>Constants!$H66*'Activity data'!BD8*Constants!$H84*FracLEACHMM*MMLeachEF*NtoN2O*kgtoGg</f>
        <v>2.6760535459775924E-2</v>
      </c>
      <c r="AL1550" s="22">
        <f>Constants!$H66*'Activity data'!BE8*Constants!$H84*FracLEACHMM*MMLeachEF*NtoN2O*kgtoGg</f>
        <v>2.6766203431131164E-2</v>
      </c>
      <c r="AM1550" s="22">
        <f>Constants!$H66*'Activity data'!BF8*Constants!$H84*FracLEACHMM*MMLeachEF*NtoN2O*kgtoGg</f>
        <v>2.675334011268881E-2</v>
      </c>
      <c r="AN1550" s="22">
        <f>Constants!$H66*'Activity data'!BG8*Constants!$H84*FracLEACHMM*MMLeachEF*NtoN2O*kgtoGg</f>
        <v>2.694535805594156E-2</v>
      </c>
      <c r="AO1550" s="22">
        <f>Constants!$H66*'Activity data'!BH8*Constants!$H84*FracLEACHMM*MMLeachEF*NtoN2O*kgtoGg</f>
        <v>2.7085830082425877E-2</v>
      </c>
      <c r="AP1550" s="22">
        <f>Constants!$H66*'Activity data'!BI8*Constants!$H84*FracLEACHMM*MMLeachEF*NtoN2O*kgtoGg</f>
        <v>2.7218197229606188E-2</v>
      </c>
      <c r="AQ1550" s="22">
        <f>Constants!$H66*'Activity data'!BJ8*Constants!$H84*FracLEACHMM*MMLeachEF*NtoN2O*kgtoGg</f>
        <v>2.7352587206499832E-2</v>
      </c>
      <c r="AR1550" s="22">
        <f>Constants!$H66*'Activity data'!BK8*Constants!$H84*FracLEACHMM*MMLeachEF*NtoN2O*kgtoGg</f>
        <v>2.7491914385096024E-2</v>
      </c>
      <c r="AS1550" s="22">
        <f>Constants!$H66*'Activity data'!BL8*Constants!$H84*FracLEACHMM*MMLeachEF*NtoN2O*kgtoGg</f>
        <v>2.7710256058660829E-2</v>
      </c>
      <c r="AT1550" s="22">
        <f>Constants!$H66*'Activity data'!BM8*Constants!$H84*FracLEACHMM*MMLeachEF*NtoN2O*kgtoGg</f>
        <v>2.7648758084134469E-2</v>
      </c>
      <c r="AU1550" s="22">
        <f>Constants!$H66*'Activity data'!BN8*Constants!$H84*FracLEACHMM*MMLeachEF*NtoN2O*kgtoGg</f>
        <v>2.7556553714589756E-2</v>
      </c>
      <c r="AV1550" s="22">
        <f>Constants!$H66*'Activity data'!BO8*Constants!$H84*FracLEACHMM*MMLeachEF*NtoN2O*kgtoGg</f>
        <v>2.7461054996500443E-2</v>
      </c>
      <c r="AW1550" s="22">
        <f>Constants!$H66*'Activity data'!BP8*Constants!$H84*FracLEACHMM*MMLeachEF*NtoN2O*kgtoGg</f>
        <v>2.7350835179335974E-2</v>
      </c>
    </row>
    <row r="1551" spans="1:49" x14ac:dyDescent="0.2">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4.0226293185258936E-2</v>
      </c>
      <c r="L1551" s="22">
        <f>Constants!$H67*'Activity data'!AE9*Constants!$H85*FracLEACHMM*MMLeachEF*NtoN2O*kgtoGg</f>
        <v>3.9877423391049029E-2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3.1882919944479234E-2</v>
      </c>
      <c r="T1551" s="22">
        <f>Constants!$H67*'Activity data'!AM9*Constants!$H85*FracLEACHMM*MMLeachEF*NtoN2O*kgtoGg</f>
        <v>3.2492776435665373E-2</v>
      </c>
      <c r="U1551" s="22">
        <f>Constants!$H67*'Activity data'!AN9*Constants!$H85*FracLEACHMM*MMLeachEF*NtoN2O*kgtoGg</f>
        <v>3.2818843389901528E-2</v>
      </c>
      <c r="V1551" s="22">
        <f>Constants!$H67*'Activity data'!AO9*Constants!$H85*FracLEACHMM*MMLeachEF*NtoN2O*kgtoGg</f>
        <v>3.3069846715808329E-2</v>
      </c>
      <c r="W1551" s="22">
        <f>Constants!$H67*'Activity data'!AP9*Constants!$H85*FracLEACHMM*MMLeachEF*NtoN2O*kgtoGg</f>
        <v>3.3433009534935908E-2</v>
      </c>
      <c r="X1551" s="22">
        <f>Constants!$H67*'Activity data'!AQ9*Constants!$H85*FracLEACHMM*MMLeachEF*NtoN2O*kgtoGg</f>
        <v>3.372773555582987E-2</v>
      </c>
      <c r="Y1551" s="22">
        <f>Constants!$H67*'Activity data'!AR9*Constants!$H85*FracLEACHMM*MMLeachEF*NtoN2O*kgtoGg</f>
        <v>3.3917732334151289E-2</v>
      </c>
      <c r="Z1551" s="22">
        <f>Constants!$H67*'Activity data'!AS9*Constants!$H85*FracLEACHMM*MMLeachEF*NtoN2O*kgtoGg</f>
        <v>3.4065630609667365E-2</v>
      </c>
      <c r="AA1551" s="22">
        <f>Constants!$H67*'Activity data'!AT9*Constants!$H85*FracLEACHMM*MMLeachEF*NtoN2O*kgtoGg</f>
        <v>3.4157295226903257E-2</v>
      </c>
      <c r="AB1551" s="22">
        <f>Constants!$H67*'Activity data'!AU9*Constants!$H85*FracLEACHMM*MMLeachEF*NtoN2O*kgtoGg</f>
        <v>3.4428658521658995E-2</v>
      </c>
      <c r="AC1551" s="22">
        <f>Constants!$H67*'Activity data'!AV9*Constants!$H85*FracLEACHMM*MMLeachEF*NtoN2O*kgtoGg</f>
        <v>3.4672819963249946E-2</v>
      </c>
      <c r="AD1551" s="22">
        <f>Constants!$H67*'Activity data'!AW9*Constants!$H85*FracLEACHMM*MMLeachEF*NtoN2O*kgtoGg</f>
        <v>3.4685412895593133E-2</v>
      </c>
      <c r="AE1551" s="22">
        <f>Constants!$H67*'Activity data'!AX9*Constants!$H85*FracLEACHMM*MMLeachEF*NtoN2O*kgtoGg</f>
        <v>3.4848978580994651E-2</v>
      </c>
      <c r="AF1551" s="22">
        <f>Constants!$H67*'Activity data'!AY9*Constants!$H85*FracLEACHMM*MMLeachEF*NtoN2O*kgtoGg</f>
        <v>3.5065272718873365E-2</v>
      </c>
      <c r="AG1551" s="22">
        <f>Constants!$H67*'Activity data'!AZ9*Constants!$H85*FracLEACHMM*MMLeachEF*NtoN2O*kgtoGg</f>
        <v>3.542840886383946E-2</v>
      </c>
      <c r="AH1551" s="22">
        <f>Constants!$H67*'Activity data'!BA9*Constants!$H85*FracLEACHMM*MMLeachEF*NtoN2O*kgtoGg</f>
        <v>3.5486407503583416E-2</v>
      </c>
      <c r="AI1551" s="22">
        <f>Constants!$H67*'Activity data'!BB9*Constants!$H85*FracLEACHMM*MMLeachEF*NtoN2O*kgtoGg</f>
        <v>3.5480319326064061E-2</v>
      </c>
      <c r="AJ1551" s="22">
        <f>Constants!$H67*'Activity data'!BC9*Constants!$H85*FracLEACHMM*MMLeachEF*NtoN2O*kgtoGg</f>
        <v>3.5533598239465607E-2</v>
      </c>
      <c r="AK1551" s="22">
        <f>Constants!$H67*'Activity data'!BD9*Constants!$H85*FracLEACHMM*MMLeachEF*NtoN2O*kgtoGg</f>
        <v>3.5523764443021973E-2</v>
      </c>
      <c r="AL1551" s="22">
        <f>Constants!$H67*'Activity data'!BE9*Constants!$H85*FracLEACHMM*MMLeachEF*NtoN2O*kgtoGg</f>
        <v>3.5531288495729951E-2</v>
      </c>
      <c r="AM1551" s="22">
        <f>Constants!$H67*'Activity data'!BF9*Constants!$H85*FracLEACHMM*MMLeachEF*NtoN2O*kgtoGg</f>
        <v>3.5514212847337627E-2</v>
      </c>
      <c r="AN1551" s="22">
        <f>Constants!$H67*'Activity data'!BG9*Constants!$H85*FracLEACHMM*MMLeachEF*NtoN2O*kgtoGg</f>
        <v>3.5769110593879244E-2</v>
      </c>
      <c r="AO1551" s="22">
        <f>Constants!$H67*'Activity data'!BH9*Constants!$H85*FracLEACHMM*MMLeachEF*NtoN2O*kgtoGg</f>
        <v>3.5955582766200436E-2</v>
      </c>
      <c r="AP1551" s="22">
        <f>Constants!$H67*'Activity data'!BI9*Constants!$H85*FracLEACHMM*MMLeachEF*NtoN2O*kgtoGg</f>
        <v>3.6131295967585977E-2</v>
      </c>
      <c r="AQ1551" s="22">
        <f>Constants!$H67*'Activity data'!BJ9*Constants!$H85*FracLEACHMM*MMLeachEF*NtoN2O*kgtoGg</f>
        <v>3.6309694411438075E-2</v>
      </c>
      <c r="AR1551" s="22">
        <f>Constants!$H67*'Activity data'!BK9*Constants!$H85*FracLEACHMM*MMLeachEF*NtoN2O*kgtoGg</f>
        <v>3.6494646834396953E-2</v>
      </c>
      <c r="AS1551" s="22">
        <f>Constants!$H67*'Activity data'!BL9*Constants!$H85*FracLEACHMM*MMLeachEF*NtoN2O*kgtoGg</f>
        <v>3.678448850036322E-2</v>
      </c>
      <c r="AT1551" s="22">
        <f>Constants!$H67*'Activity data'!BM9*Constants!$H85*FracLEACHMM*MMLeachEF*NtoN2O*kgtoGg</f>
        <v>3.6702851884231939E-2</v>
      </c>
      <c r="AU1551" s="22">
        <f>Constants!$H67*'Activity data'!BN9*Constants!$H85*FracLEACHMM*MMLeachEF*NtoN2O*kgtoGg</f>
        <v>3.6580453499892925E-2</v>
      </c>
      <c r="AV1551" s="22">
        <f>Constants!$H67*'Activity data'!BO9*Constants!$H85*FracLEACHMM*MMLeachEF*NtoN2O*kgtoGg</f>
        <v>3.6453681972054293E-2</v>
      </c>
      <c r="AW1551" s="22">
        <f>Constants!$H67*'Activity data'!BP9*Constants!$H85*FracLEACHMM*MMLeachEF*NtoN2O*kgtoGg</f>
        <v>3.6307368650791018E-2</v>
      </c>
    </row>
    <row r="1552" spans="1:49" x14ac:dyDescent="0.2">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4.3383434779753476E-2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4.7281576900430208E-2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4.5992827569741108E-2</v>
      </c>
      <c r="T1552" s="22">
        <f>Constants!$H68*'Activity data'!AM10*Constants!$H86*FracLEACHMM*MMLeachEF*NtoN2O*kgtoGg</f>
        <v>4.8001865047769987E-2</v>
      </c>
      <c r="U1552" s="22">
        <f>Constants!$H68*'Activity data'!AN10*Constants!$H86*FracLEACHMM*MMLeachEF*NtoN2O*kgtoGg</f>
        <v>4.9635626095010099E-2</v>
      </c>
      <c r="V1552" s="22">
        <f>Constants!$H68*'Activity data'!AO10*Constants!$H86*FracLEACHMM*MMLeachEF*NtoN2O*kgtoGg</f>
        <v>5.1188596767602117E-2</v>
      </c>
      <c r="W1552" s="22">
        <f>Constants!$H68*'Activity data'!AP10*Constants!$H86*FracLEACHMM*MMLeachEF*NtoN2O*kgtoGg</f>
        <v>5.2950508165481844E-2</v>
      </c>
      <c r="X1552" s="22">
        <f>Constants!$H68*'Activity data'!AQ10*Constants!$H86*FracLEACHMM*MMLeachEF*NtoN2O*kgtoGg</f>
        <v>5.4642195463321171E-2</v>
      </c>
      <c r="Y1552" s="22">
        <f>Constants!$H68*'Activity data'!AR10*Constants!$H86*FracLEACHMM*MMLeachEF*NtoN2O*kgtoGg</f>
        <v>5.6197330304744171E-2</v>
      </c>
      <c r="Z1552" s="22">
        <f>Constants!$H68*'Activity data'!AS10*Constants!$H86*FracLEACHMM*MMLeachEF*NtoN2O*kgtoGg</f>
        <v>5.7711583863191099E-2</v>
      </c>
      <c r="AA1552" s="22">
        <f>Constants!$H68*'Activity data'!AT10*Constants!$H86*FracLEACHMM*MMLeachEF*NtoN2O*kgtoGg</f>
        <v>5.9156834222417472E-2</v>
      </c>
      <c r="AB1552" s="22">
        <f>Constants!$H68*'Activity data'!AU10*Constants!$H86*FracLEACHMM*MMLeachEF*NtoN2O*kgtoGg</f>
        <v>6.0945336152729353E-2</v>
      </c>
      <c r="AC1552" s="22">
        <f>Constants!$H68*'Activity data'!AV10*Constants!$H86*FracLEACHMM*MMLeachEF*NtoN2O*kgtoGg</f>
        <v>6.2724727985271067E-2</v>
      </c>
      <c r="AD1552" s="22">
        <f>Constants!$H68*'Activity data'!AW10*Constants!$H86*FracLEACHMM*MMLeachEF*NtoN2O*kgtoGg</f>
        <v>6.4828386585152428E-2</v>
      </c>
      <c r="AE1552" s="22">
        <f>Constants!$H68*'Activity data'!AX10*Constants!$H86*FracLEACHMM*MMLeachEF*NtoN2O*kgtoGg</f>
        <v>6.7298261230859621E-2</v>
      </c>
      <c r="AF1552" s="22">
        <f>Constants!$H68*'Activity data'!AY10*Constants!$H86*FracLEACHMM*MMLeachEF*NtoN2O*kgtoGg</f>
        <v>6.9971651409000274E-2</v>
      </c>
      <c r="AG1552" s="22">
        <f>Constants!$H68*'Activity data'!AZ10*Constants!$H86*FracLEACHMM*MMLeachEF*NtoN2O*kgtoGg</f>
        <v>7.3058736585267875E-2</v>
      </c>
      <c r="AH1552" s="22">
        <f>Constants!$H68*'Activity data'!BA10*Constants!$H86*FracLEACHMM*MMLeachEF*NtoN2O*kgtoGg</f>
        <v>7.563301385599043E-2</v>
      </c>
      <c r="AI1552" s="22">
        <f>Constants!$H68*'Activity data'!BB10*Constants!$H86*FracLEACHMM*MMLeachEF*NtoN2O*kgtoGg</f>
        <v>7.8167775440571283E-2</v>
      </c>
      <c r="AJ1552" s="22">
        <f>Constants!$H68*'Activity data'!BC10*Constants!$H86*FracLEACHMM*MMLeachEF*NtoN2O*kgtoGg</f>
        <v>8.0935873308178169E-2</v>
      </c>
      <c r="AK1552" s="22">
        <f>Constants!$H68*'Activity data'!BD10*Constants!$H86*FracLEACHMM*MMLeachEF*NtoN2O*kgtoGg</f>
        <v>8.3668525365720503E-2</v>
      </c>
      <c r="AL1552" s="22">
        <f>Constants!$H68*'Activity data'!BE10*Constants!$H86*FracLEACHMM*MMLeachEF*NtoN2O*kgtoGg</f>
        <v>8.6553364339565772E-2</v>
      </c>
      <c r="AM1552" s="22">
        <f>Constants!$H68*'Activity data'!BF10*Constants!$H86*FracLEACHMM*MMLeachEF*NtoN2O*kgtoGg</f>
        <v>8.9495828472457392E-2</v>
      </c>
      <c r="AN1552" s="22">
        <f>Constants!$H68*'Activity data'!BG10*Constants!$H86*FracLEACHMM*MMLeachEF*NtoN2O*kgtoGg</f>
        <v>9.2681440579714905E-2</v>
      </c>
      <c r="AO1552" s="22">
        <f>Constants!$H68*'Activity data'!BH10*Constants!$H86*FracLEACHMM*MMLeachEF*NtoN2O*kgtoGg</f>
        <v>9.5802357584515191E-2</v>
      </c>
      <c r="AP1552" s="22">
        <f>Constants!$H68*'Activity data'!BI10*Constants!$H86*FracLEACHMM*MMLeachEF*NtoN2O*kgtoGg</f>
        <v>9.9006841589941233E-2</v>
      </c>
      <c r="AQ1552" s="22">
        <f>Constants!$H68*'Activity data'!BJ10*Constants!$H86*FracLEACHMM*MMLeachEF*NtoN2O*kgtoGg</f>
        <v>0.10233590350911345</v>
      </c>
      <c r="AR1552" s="22">
        <f>Constants!$H68*'Activity data'!BK10*Constants!$H86*FracLEACHMM*MMLeachEF*NtoN2O*kgtoGg</f>
        <v>0.10580733136333606</v>
      </c>
      <c r="AS1552" s="22">
        <f>Constants!$H68*'Activity data'!BL10*Constants!$H86*FracLEACHMM*MMLeachEF*NtoN2O*kgtoGg</f>
        <v>0.10972241500262403</v>
      </c>
      <c r="AT1552" s="22">
        <f>Constants!$H68*'Activity data'!BM10*Constants!$H86*FracLEACHMM*MMLeachEF*NtoN2O*kgtoGg</f>
        <v>0.11265304371652905</v>
      </c>
      <c r="AU1552" s="22">
        <f>Constants!$H68*'Activity data'!BN10*Constants!$H86*FracLEACHMM*MMLeachEF*NtoN2O*kgtoGg</f>
        <v>0.11555235138269004</v>
      </c>
      <c r="AV1552" s="22">
        <f>Constants!$H68*'Activity data'!BO10*Constants!$H86*FracLEACHMM*MMLeachEF*NtoN2O*kgtoGg</f>
        <v>0.11853253196869915</v>
      </c>
      <c r="AW1552" s="22">
        <f>Constants!$H68*'Activity data'!BP10*Constants!$H86*FracLEACHMM*MMLeachEF*NtoN2O*kgtoGg</f>
        <v>0.12154670327230575</v>
      </c>
    </row>
    <row r="1553" spans="1:49" x14ac:dyDescent="0.2">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4.4831371338441527E-3</v>
      </c>
      <c r="T1553" s="22">
        <f>Constants!$H69*'Activity data'!AM11*Constants!$H87*FracLEACHMM*MMLeachEF*NtoN2O*kgtoGg</f>
        <v>4.4899645877902617E-3</v>
      </c>
      <c r="U1553" s="22">
        <f>Constants!$H69*'Activity data'!AN11*Constants!$H87*FracLEACHMM*MMLeachEF*NtoN2O*kgtoGg</f>
        <v>4.4976812446803844E-3</v>
      </c>
      <c r="V1553" s="22">
        <f>Constants!$H69*'Activity data'!AO11*Constants!$H87*FracLEACHMM*MMLeachEF*NtoN2O*kgtoGg</f>
        <v>4.5063863158882386E-3</v>
      </c>
      <c r="W1553" s="22">
        <f>Constants!$H69*'Activity data'!AP11*Constants!$H87*FracLEACHMM*MMLeachEF*NtoN2O*kgtoGg</f>
        <v>4.5161788811117947E-3</v>
      </c>
      <c r="X1553" s="22">
        <f>Constants!$H69*'Activity data'!AQ11*Constants!$H87*FracLEACHMM*MMLeachEF*NtoN2O*kgtoGg</f>
        <v>4.5268547446196596E-3</v>
      </c>
      <c r="Y1553" s="22">
        <f>Constants!$H69*'Activity data'!AR11*Constants!$H87*FracLEACHMM*MMLeachEF*NtoN2O*kgtoGg</f>
        <v>4.5333477172681842E-3</v>
      </c>
      <c r="Z1553" s="22">
        <f>Constants!$H69*'Activity data'!AS11*Constants!$H87*FracLEACHMM*MMLeachEF*NtoN2O*kgtoGg</f>
        <v>4.5405999943124754E-3</v>
      </c>
      <c r="AA1553" s="22">
        <f>Constants!$H69*'Activity data'!AT11*Constants!$H87*FracLEACHMM*MMLeachEF*NtoN2O*kgtoGg</f>
        <v>4.5485583758995193E-3</v>
      </c>
      <c r="AB1553" s="22">
        <f>Constants!$H69*'Activity data'!AU11*Constants!$H87*FracLEACHMM*MMLeachEF*NtoN2O*kgtoGg</f>
        <v>4.5574030453961476E-3</v>
      </c>
      <c r="AC1553" s="22">
        <f>Constants!$H69*'Activity data'!AV11*Constants!$H87*FracLEACHMM*MMLeachEF*NtoN2O*kgtoGg</f>
        <v>4.5669166889101189E-3</v>
      </c>
      <c r="AD1553" s="22">
        <f>Constants!$H69*'Activity data'!AW11*Constants!$H87*FracLEACHMM*MMLeachEF*NtoN2O*kgtoGg</f>
        <v>4.5731331974710569E-3</v>
      </c>
      <c r="AE1553" s="22">
        <f>Constants!$H69*'Activity data'!AX11*Constants!$H87*FracLEACHMM*MMLeachEF*NtoN2O*kgtoGg</f>
        <v>4.5801112561138658E-3</v>
      </c>
      <c r="AF1553" s="22">
        <f>Constants!$H69*'Activity data'!AY11*Constants!$H87*FracLEACHMM*MMLeachEF*NtoN2O*kgtoGg</f>
        <v>4.5877393890876687E-3</v>
      </c>
      <c r="AG1553" s="22">
        <f>Constants!$H69*'Activity data'!AZ11*Constants!$H87*FracLEACHMM*MMLeachEF*NtoN2O*kgtoGg</f>
        <v>4.5960968162402412E-3</v>
      </c>
      <c r="AH1553" s="22">
        <f>Constants!$H69*'Activity data'!BA11*Constants!$H87*FracLEACHMM*MMLeachEF*NtoN2O*kgtoGg</f>
        <v>4.60470160066862E-3</v>
      </c>
      <c r="AI1553" s="22">
        <f>Constants!$H69*'Activity data'!BB11*Constants!$H87*FracLEACHMM*MMLeachEF*NtoN2O*kgtoGg</f>
        <v>4.6099752593178585E-3</v>
      </c>
      <c r="AJ1553" s="22">
        <f>Constants!$H69*'Activity data'!BC11*Constants!$H87*FracLEACHMM*MMLeachEF*NtoN2O*kgtoGg</f>
        <v>4.6158010652929838E-3</v>
      </c>
      <c r="AK1553" s="22">
        <f>Constants!$H69*'Activity data'!BD11*Constants!$H87*FracLEACHMM*MMLeachEF*NtoN2O*kgtoGg</f>
        <v>4.6220305138924079E-3</v>
      </c>
      <c r="AL1553" s="22">
        <f>Constants!$H69*'Activity data'!BE11*Constants!$H87*FracLEACHMM*MMLeachEF*NtoN2O*kgtoGg</f>
        <v>4.6287377180545888E-3</v>
      </c>
      <c r="AM1553" s="22">
        <f>Constants!$H69*'Activity data'!BF11*Constants!$H87*FracLEACHMM*MMLeachEF*NtoN2O*kgtoGg</f>
        <v>4.635862068128902E-3</v>
      </c>
      <c r="AN1553" s="22">
        <f>Constants!$H69*'Activity data'!BG11*Constants!$H87*FracLEACHMM*MMLeachEF*NtoN2O*kgtoGg</f>
        <v>4.6399936101115553E-3</v>
      </c>
      <c r="AO1553" s="22">
        <f>Constants!$H69*'Activity data'!BH11*Constants!$H87*FracLEACHMM*MMLeachEF*NtoN2O*kgtoGg</f>
        <v>4.6444376176989054E-3</v>
      </c>
      <c r="AP1553" s="22">
        <f>Constants!$H69*'Activity data'!BI11*Constants!$H87*FracLEACHMM*MMLeachEF*NtoN2O*kgtoGg</f>
        <v>4.6492508857149065E-3</v>
      </c>
      <c r="AQ1553" s="22">
        <f>Constants!$H69*'Activity data'!BJ11*Constants!$H87*FracLEACHMM*MMLeachEF*NtoN2O*kgtoGg</f>
        <v>4.6544400588078442E-3</v>
      </c>
      <c r="AR1553" s="22">
        <f>Constants!$H69*'Activity data'!BK11*Constants!$H87*FracLEACHMM*MMLeachEF*NtoN2O*kgtoGg</f>
        <v>4.6600015094737631E-3</v>
      </c>
      <c r="AS1553" s="22">
        <f>Constants!$H69*'Activity data'!BL11*Constants!$H87*FracLEACHMM*MMLeachEF*NtoN2O*kgtoGg</f>
        <v>4.6624883129741824E-3</v>
      </c>
      <c r="AT1553" s="22">
        <f>Constants!$H69*'Activity data'!BM11*Constants!$H87*FracLEACHMM*MMLeachEF*NtoN2O*kgtoGg</f>
        <v>4.6648029335130551E-3</v>
      </c>
      <c r="AU1553" s="22">
        <f>Constants!$H69*'Activity data'!BN11*Constants!$H87*FracLEACHMM*MMLeachEF*NtoN2O*kgtoGg</f>
        <v>4.6673689256300846E-3</v>
      </c>
      <c r="AV1553" s="22">
        <f>Constants!$H69*'Activity data'!BO11*Constants!$H87*FracLEACHMM*MMLeachEF*NtoN2O*kgtoGg</f>
        <v>4.6702274196843731E-3</v>
      </c>
      <c r="AW1553" s="22">
        <f>Constants!$H69*'Activity data'!BP11*Constants!$H87*FracLEACHMM*MMLeachEF*NtoN2O*kgtoGg</f>
        <v>4.6733489894838004E-3</v>
      </c>
    </row>
    <row r="1554" spans="1:49" x14ac:dyDescent="0.2">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3.7291632343986812E-3</v>
      </c>
      <c r="T1554" s="22">
        <f>Constants!$H70*'Activity data'!AM12*Constants!$H88*FracLEACHMM*MMLeachEF*NtoN2O*kgtoGg</f>
        <v>3.7348424472980965E-3</v>
      </c>
      <c r="U1554" s="22">
        <f>Constants!$H70*'Activity data'!AN12*Constants!$H88*FracLEACHMM*MMLeachEF*NtoN2O*kgtoGg</f>
        <v>3.7412613170109757E-3</v>
      </c>
      <c r="V1554" s="22">
        <f>Constants!$H70*'Activity data'!AO12*Constants!$H88*FracLEACHMM*MMLeachEF*NtoN2O*kgtoGg</f>
        <v>3.7485023695444986E-3</v>
      </c>
      <c r="W1554" s="22">
        <f>Constants!$H70*'Activity data'!AP12*Constants!$H88*FracLEACHMM*MMLeachEF*NtoN2O*kgtoGg</f>
        <v>3.7566480213753234E-3</v>
      </c>
      <c r="X1554" s="22">
        <f>Constants!$H70*'Activity data'!AQ12*Constants!$H88*FracLEACHMM*MMLeachEF*NtoN2O*kgtoGg</f>
        <v>3.7655284184054385E-3</v>
      </c>
      <c r="Y1554" s="22">
        <f>Constants!$H70*'Activity data'!AR12*Constants!$H88*FracLEACHMM*MMLeachEF*NtoN2O*kgtoGg</f>
        <v>3.770929403064159E-3</v>
      </c>
      <c r="Z1554" s="22">
        <f>Constants!$H70*'Activity data'!AS12*Constants!$H88*FracLEACHMM*MMLeachEF*NtoN2O*kgtoGg</f>
        <v>3.7769619923229323E-3</v>
      </c>
      <c r="AA1554" s="22">
        <f>Constants!$H70*'Activity data'!AT12*Constants!$H88*FracLEACHMM*MMLeachEF*NtoN2O*kgtoGg</f>
        <v>3.7835819334787997E-3</v>
      </c>
      <c r="AB1554" s="22">
        <f>Constants!$H70*'Activity data'!AU12*Constants!$H88*FracLEACHMM*MMLeachEF*NtoN2O*kgtoGg</f>
        <v>3.7909391066641191E-3</v>
      </c>
      <c r="AC1554" s="22">
        <f>Constants!$H70*'Activity data'!AV12*Constants!$H88*FracLEACHMM*MMLeachEF*NtoN2O*kgtoGg</f>
        <v>3.7988527458320239E-3</v>
      </c>
      <c r="AD1554" s="22">
        <f>Constants!$H70*'Activity data'!AW12*Constants!$H88*FracLEACHMM*MMLeachEF*NtoN2O*kgtoGg</f>
        <v>3.8040237621270109E-3</v>
      </c>
      <c r="AE1554" s="22">
        <f>Constants!$H70*'Activity data'!AX12*Constants!$H88*FracLEACHMM*MMLeachEF*NtoN2O*kgtoGg</f>
        <v>3.8098282510287203E-3</v>
      </c>
      <c r="AF1554" s="22">
        <f>Constants!$H70*'Activity data'!AY12*Constants!$H88*FracLEACHMM*MMLeachEF*NtoN2O*kgtoGg</f>
        <v>3.8161734847754797E-3</v>
      </c>
      <c r="AG1554" s="22">
        <f>Constants!$H70*'Activity data'!AZ12*Constants!$H88*FracLEACHMM*MMLeachEF*NtoN2O*kgtoGg</f>
        <v>3.823125360022894E-3</v>
      </c>
      <c r="AH1554" s="22">
        <f>Constants!$H70*'Activity data'!BA12*Constants!$H88*FracLEACHMM*MMLeachEF*NtoN2O*kgtoGg</f>
        <v>3.8302829920051928E-3</v>
      </c>
      <c r="AI1554" s="22">
        <f>Constants!$H70*'Activity data'!BB12*Constants!$H88*FracLEACHMM*MMLeachEF*NtoN2O*kgtoGg</f>
        <v>3.834669726864819E-3</v>
      </c>
      <c r="AJ1554" s="22">
        <f>Constants!$H70*'Activity data'!BC12*Constants!$H88*FracLEACHMM*MMLeachEF*NtoN2O*kgtoGg</f>
        <v>3.8395157489258354E-3</v>
      </c>
      <c r="AK1554" s="22">
        <f>Constants!$H70*'Activity data'!BD12*Constants!$H88*FracLEACHMM*MMLeachEF*NtoN2O*kgtoGg</f>
        <v>3.8446975290039364E-3</v>
      </c>
      <c r="AL1554" s="22">
        <f>Constants!$H70*'Activity data'!BE12*Constants!$H88*FracLEACHMM*MMLeachEF*NtoN2O*kgtoGg</f>
        <v>3.8502767157253038E-3</v>
      </c>
      <c r="AM1554" s="22">
        <f>Constants!$H70*'Activity data'!BF12*Constants!$H88*FracLEACHMM*MMLeachEF*NtoN2O*kgtoGg</f>
        <v>3.8562028927689521E-3</v>
      </c>
      <c r="AN1554" s="22">
        <f>Constants!$H70*'Activity data'!BG12*Constants!$H88*FracLEACHMM*MMLeachEF*NtoN2O*kgtoGg</f>
        <v>3.8596395921165526E-3</v>
      </c>
      <c r="AO1554" s="22">
        <f>Constants!$H70*'Activity data'!BH12*Constants!$H88*FracLEACHMM*MMLeachEF*NtoN2O*kgtoGg</f>
        <v>3.8633362066106815E-3</v>
      </c>
      <c r="AP1554" s="22">
        <f>Constants!$H70*'Activity data'!BI12*Constants!$H88*FracLEACHMM*MMLeachEF*NtoN2O*kgtoGg</f>
        <v>3.8673399793231139E-3</v>
      </c>
      <c r="AQ1554" s="22">
        <f>Constants!$H70*'Activity data'!BJ12*Constants!$H88*FracLEACHMM*MMLeachEF*NtoN2O*kgtoGg</f>
        <v>3.8716564374053405E-3</v>
      </c>
      <c r="AR1554" s="22">
        <f>Constants!$H70*'Activity data'!BK12*Constants!$H88*FracLEACHMM*MMLeachEF*NtoN2O*kgtoGg</f>
        <v>3.8762825634269383E-3</v>
      </c>
      <c r="AS1554" s="22">
        <f>Constants!$H70*'Activity data'!BL12*Constants!$H88*FracLEACHMM*MMLeachEF*NtoN2O*kgtoGg</f>
        <v>3.8783511363721934E-3</v>
      </c>
      <c r="AT1554" s="22">
        <f>Constants!$H70*'Activity data'!BM12*Constants!$H88*FracLEACHMM*MMLeachEF*NtoN2O*kgtoGg</f>
        <v>3.8802764840823911E-3</v>
      </c>
      <c r="AU1554" s="22">
        <f>Constants!$H70*'Activity data'!BN12*Constants!$H88*FracLEACHMM*MMLeachEF*NtoN2O*kgtoGg</f>
        <v>3.8824109277045466E-3</v>
      </c>
      <c r="AV1554" s="22">
        <f>Constants!$H70*'Activity data'!BO12*Constants!$H88*FracLEACHMM*MMLeachEF*NtoN2O*kgtoGg</f>
        <v>3.8847886802949221E-3</v>
      </c>
      <c r="AW1554" s="22">
        <f>Constants!$H70*'Activity data'!BP12*Constants!$H88*FracLEACHMM*MMLeachEF*NtoN2O*kgtoGg</f>
        <v>3.8873852645577018E-3</v>
      </c>
    </row>
    <row r="1555" spans="1:49" x14ac:dyDescent="0.2">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5.4322987485311551E-4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5.4896316873921192E-4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5.5840147541839707E-4</v>
      </c>
      <c r="R1555" s="22">
        <f>Constants!$H71*'Activity data'!AK13*Constants!$H89*FracLEACHMM*MMLeachEF*NtoN2O*kgtoGg</f>
        <v>5.620753208024884E-4</v>
      </c>
      <c r="S1555" s="22">
        <f>Constants!$H71*'Activity data'!AL13*Constants!$H89*FracLEACHMM*MMLeachEF*NtoN2O*kgtoGg</f>
        <v>5.6545048661351359E-4</v>
      </c>
      <c r="T1555" s="22">
        <f>Constants!$H71*'Activity data'!AM13*Constants!$H89*FracLEACHMM*MMLeachEF*NtoN2O*kgtoGg</f>
        <v>5.6709357361271675E-4</v>
      </c>
      <c r="U1555" s="22">
        <f>Constants!$H71*'Activity data'!AN13*Constants!$H89*FracLEACHMM*MMLeachEF*NtoN2O*kgtoGg</f>
        <v>5.688596151711496E-4</v>
      </c>
      <c r="V1555" s="22">
        <f>Constants!$H71*'Activity data'!AO13*Constants!$H89*FracLEACHMM*MMLeachEF*NtoN2O*kgtoGg</f>
        <v>5.7077020841237065E-4</v>
      </c>
      <c r="W1555" s="22">
        <f>Constants!$H71*'Activity data'!AP13*Constants!$H89*FracLEACHMM*MMLeachEF*NtoN2O*kgtoGg</f>
        <v>5.7284633112627235E-4</v>
      </c>
      <c r="X1555" s="22">
        <f>Constants!$H71*'Activity data'!AQ13*Constants!$H89*FracLEACHMM*MMLeachEF*NtoN2O*kgtoGg</f>
        <v>5.7505104202951998E-4</v>
      </c>
      <c r="Y1555" s="22">
        <f>Constants!$H71*'Activity data'!AR13*Constants!$H89*FracLEACHMM*MMLeachEF*NtoN2O*kgtoGg</f>
        <v>5.7642933432393154E-4</v>
      </c>
      <c r="Z1555" s="22">
        <f>Constants!$H71*'Activity data'!AS13*Constants!$H89*FracLEACHMM*MMLeachEF*NtoN2O*kgtoGg</f>
        <v>5.7792028160119863E-4</v>
      </c>
      <c r="AA1555" s="22">
        <f>Constants!$H71*'Activity data'!AT13*Constants!$H89*FracLEACHMM*MMLeachEF*NtoN2O*kgtoGg</f>
        <v>5.7951511495132196E-4</v>
      </c>
      <c r="AB1555" s="22">
        <f>Constants!$H71*'Activity data'!AU13*Constants!$H89*FracLEACHMM*MMLeachEF*NtoN2O*kgtoGg</f>
        <v>5.8124875364710992E-4</v>
      </c>
      <c r="AC1555" s="22">
        <f>Constants!$H71*'Activity data'!AV13*Constants!$H89*FracLEACHMM*MMLeachEF*NtoN2O*kgtoGg</f>
        <v>5.8308126155427384E-4</v>
      </c>
      <c r="AD1555" s="22">
        <f>Constants!$H71*'Activity data'!AW13*Constants!$H89*FracLEACHMM*MMLeachEF*NtoN2O*kgtoGg</f>
        <v>5.8427258810919626E-4</v>
      </c>
      <c r="AE1555" s="22">
        <f>Constants!$H71*'Activity data'!AX13*Constants!$H89*FracLEACHMM*MMLeachEF*NtoN2O*kgtoGg</f>
        <v>5.8558467766040652E-4</v>
      </c>
      <c r="AF1555" s="22">
        <f>Constants!$H71*'Activity data'!AY13*Constants!$H89*FracLEACHMM*MMLeachEF*NtoN2O*kgtoGg</f>
        <v>5.8699724042408691E-4</v>
      </c>
      <c r="AG1555" s="22">
        <f>Constants!$H71*'Activity data'!AZ13*Constants!$H89*FracLEACHMM*MMLeachEF*NtoN2O*kgtoGg</f>
        <v>5.8852547780245982E-4</v>
      </c>
      <c r="AH1555" s="22">
        <f>Constants!$H71*'Activity data'!BA13*Constants!$H89*FracLEACHMM*MMLeachEF*NtoN2O*kgtoGg</f>
        <v>5.9008039799106414E-4</v>
      </c>
      <c r="AI1555" s="22">
        <f>Constants!$H71*'Activity data'!BB13*Constants!$H89*FracLEACHMM*MMLeachEF*NtoN2O*kgtoGg</f>
        <v>5.9100081451309786E-4</v>
      </c>
      <c r="AJ1555" s="22">
        <f>Constants!$H71*'Activity data'!BC13*Constants!$H89*FracLEACHMM*MMLeachEF*NtoN2O*kgtoGg</f>
        <v>5.9200813916272929E-4</v>
      </c>
      <c r="AK1555" s="22">
        <f>Constants!$H71*'Activity data'!BD13*Constants!$H89*FracLEACHMM*MMLeachEF*NtoN2O*kgtoGg</f>
        <v>5.9307526025328071E-4</v>
      </c>
      <c r="AL1555" s="22">
        <f>Constants!$H71*'Activity data'!BE13*Constants!$H89*FracLEACHMM*MMLeachEF*NtoN2O*kgtoGg</f>
        <v>5.942161722415414E-4</v>
      </c>
      <c r="AM1555" s="22">
        <f>Constants!$H71*'Activity data'!BF13*Constants!$H89*FracLEACHMM*MMLeachEF*NtoN2O*kgtoGg</f>
        <v>5.9541998695626641E-4</v>
      </c>
      <c r="AN1555" s="22">
        <f>Constants!$H71*'Activity data'!BG13*Constants!$H89*FracLEACHMM*MMLeachEF*NtoN2O*kgtoGg</f>
        <v>5.9606189392580344E-4</v>
      </c>
      <c r="AO1555" s="22">
        <f>Constants!$H71*'Activity data'!BH13*Constants!$H89*FracLEACHMM*MMLeachEF*NtoN2O*kgtoGg</f>
        <v>5.9675021369894824E-4</v>
      </c>
      <c r="AP1555" s="22">
        <f>Constants!$H71*'Activity data'!BI13*Constants!$H89*FracLEACHMM*MMLeachEF*NtoN2O*kgtoGg</f>
        <v>5.9749556471656829E-4</v>
      </c>
      <c r="AQ1555" s="22">
        <f>Constants!$H71*'Activity data'!BJ13*Constants!$H89*FracLEACHMM*MMLeachEF*NtoN2O*kgtoGg</f>
        <v>5.9829931979982535E-4</v>
      </c>
      <c r="AR1555" s="22">
        <f>Constants!$H71*'Activity data'!BK13*Constants!$H89*FracLEACHMM*MMLeachEF*NtoN2O*kgtoGg</f>
        <v>5.9916094831137718E-4</v>
      </c>
      <c r="AS1555" s="22">
        <f>Constants!$H71*'Activity data'!BL13*Constants!$H89*FracLEACHMM*MMLeachEF*NtoN2O*kgtoGg</f>
        <v>5.9945405400764929E-4</v>
      </c>
      <c r="AT1555" s="22">
        <f>Constants!$H71*'Activity data'!BM13*Constants!$H89*FracLEACHMM*MMLeachEF*NtoN2O*kgtoGg</f>
        <v>5.9970848295436412E-4</v>
      </c>
      <c r="AU1555" s="22">
        <f>Constants!$H71*'Activity data'!BN13*Constants!$H89*FracLEACHMM*MMLeachEF*NtoN2O*kgtoGg</f>
        <v>6.00001478883441E-4</v>
      </c>
      <c r="AV1555" s="22">
        <f>Constants!$H71*'Activity data'!BO13*Constants!$H89*FracLEACHMM*MMLeachEF*NtoN2O*kgtoGg</f>
        <v>6.0034059567570894E-4</v>
      </c>
      <c r="AW1555" s="22">
        <f>Constants!$H71*'Activity data'!BP13*Constants!$H89*FracLEACHMM*MMLeachEF*NtoN2O*kgtoGg</f>
        <v>6.0072058236705953E-4</v>
      </c>
    </row>
    <row r="1556" spans="1:49" x14ac:dyDescent="0.2">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6.6992563985089938E-3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6.8863566425632549E-3</v>
      </c>
      <c r="R1556" s="22">
        <f>Constants!$H72*'Activity data'!AK14*Constants!$H90*FracLEACHMM*MMLeachEF*NtoN2O*kgtoGg</f>
        <v>6.9316634884048298E-3</v>
      </c>
      <c r="S1556" s="22">
        <f>Constants!$H72*'Activity data'!AL14*Constants!$H90*FracLEACHMM*MMLeachEF*NtoN2O*kgtoGg</f>
        <v>6.973286937707302E-3</v>
      </c>
      <c r="T1556" s="22">
        <f>Constants!$H72*'Activity data'!AM14*Constants!$H90*FracLEACHMM*MMLeachEF*NtoN2O*kgtoGg</f>
        <v>6.9935499269173423E-3</v>
      </c>
      <c r="U1556" s="22">
        <f>Constants!$H72*'Activity data'!AN14*Constants!$H90*FracLEACHMM*MMLeachEF*NtoN2O*kgtoGg</f>
        <v>7.0153292247027649E-3</v>
      </c>
      <c r="V1556" s="22">
        <f>Constants!$H72*'Activity data'!AO14*Constants!$H90*FracLEACHMM*MMLeachEF*NtoN2O*kgtoGg</f>
        <v>7.0388911725791786E-3</v>
      </c>
      <c r="W1556" s="22">
        <f>Constants!$H72*'Activity data'!AP14*Constants!$H90*FracLEACHMM*MMLeachEF*NtoN2O*kgtoGg</f>
        <v>7.0644944742734297E-3</v>
      </c>
      <c r="X1556" s="22">
        <f>Constants!$H72*'Activity data'!AQ14*Constants!$H90*FracLEACHMM*MMLeachEF*NtoN2O*kgtoGg</f>
        <v>7.0916835599794349E-3</v>
      </c>
      <c r="Y1556" s="22">
        <f>Constants!$H72*'Activity data'!AR14*Constants!$H90*FracLEACHMM*MMLeachEF*NtoN2O*kgtoGg</f>
        <v>7.1086810299268487E-3</v>
      </c>
      <c r="Z1556" s="22">
        <f>Constants!$H72*'Activity data'!AS14*Constants!$H90*FracLEACHMM*MMLeachEF*NtoN2O*kgtoGg</f>
        <v>7.1270677913135832E-3</v>
      </c>
      <c r="AA1556" s="22">
        <f>Constants!$H72*'Activity data'!AT14*Constants!$H90*FracLEACHMM*MMLeachEF*NtoN2O*kgtoGg</f>
        <v>7.1467357035915266E-3</v>
      </c>
      <c r="AB1556" s="22">
        <f>Constants!$H72*'Activity data'!AU14*Constants!$H90*FracLEACHMM*MMLeachEF*NtoN2O*kgtoGg</f>
        <v>7.1681154005910717E-3</v>
      </c>
      <c r="AC1556" s="22">
        <f>Constants!$H72*'Activity data'!AV14*Constants!$H90*FracLEACHMM*MMLeachEF*NtoN2O*kgtoGg</f>
        <v>7.1907143792015659E-3</v>
      </c>
      <c r="AD1556" s="22">
        <f>Constants!$H72*'Activity data'!AW14*Constants!$H90*FracLEACHMM*MMLeachEF*NtoN2O*kgtoGg</f>
        <v>7.2054061375440787E-3</v>
      </c>
      <c r="AE1556" s="22">
        <f>Constants!$H72*'Activity data'!AX14*Constants!$H90*FracLEACHMM*MMLeachEF*NtoN2O*kgtoGg</f>
        <v>7.2215871775204617E-3</v>
      </c>
      <c r="AF1556" s="22">
        <f>Constants!$H72*'Activity data'!AY14*Constants!$H90*FracLEACHMM*MMLeachEF*NtoN2O*kgtoGg</f>
        <v>7.2390072800791469E-3</v>
      </c>
      <c r="AG1556" s="22">
        <f>Constants!$H72*'Activity data'!AZ14*Constants!$H90*FracLEACHMM*MMLeachEF*NtoN2O*kgtoGg</f>
        <v>7.2578539129862047E-3</v>
      </c>
      <c r="AH1556" s="22">
        <f>Constants!$H72*'Activity data'!BA14*Constants!$H90*FracLEACHMM*MMLeachEF*NtoN2O*kgtoGg</f>
        <v>7.277029605459848E-3</v>
      </c>
      <c r="AI1556" s="22">
        <f>Constants!$H72*'Activity data'!BB14*Constants!$H90*FracLEACHMM*MMLeachEF*NtoN2O*kgtoGg</f>
        <v>7.2883804286747794E-3</v>
      </c>
      <c r="AJ1556" s="22">
        <f>Constants!$H72*'Activity data'!BC14*Constants!$H90*FracLEACHMM*MMLeachEF*NtoN2O*kgtoGg</f>
        <v>7.3008030262100192E-3</v>
      </c>
      <c r="AK1556" s="22">
        <f>Constants!$H72*'Activity data'!BD14*Constants!$H90*FracLEACHMM*MMLeachEF*NtoN2O*kgtoGg</f>
        <v>7.3139630494797169E-3</v>
      </c>
      <c r="AL1556" s="22">
        <f>Constants!$H72*'Activity data'!BE14*Constants!$H90*FracLEACHMM*MMLeachEF*NtoN2O*kgtoGg</f>
        <v>7.3280330818754061E-3</v>
      </c>
      <c r="AM1556" s="22">
        <f>Constants!$H72*'Activity data'!BF14*Constants!$H90*FracLEACHMM*MMLeachEF*NtoN2O*kgtoGg</f>
        <v>7.3428788475513491E-3</v>
      </c>
      <c r="AN1556" s="22">
        <f>Constants!$H72*'Activity data'!BG14*Constants!$H90*FracLEACHMM*MMLeachEF*NtoN2O*kgtoGg</f>
        <v>7.3507950163262765E-3</v>
      </c>
      <c r="AO1556" s="22">
        <f>Constants!$H72*'Activity data'!BH14*Constants!$H90*FracLEACHMM*MMLeachEF*NtoN2O*kgtoGg</f>
        <v>7.3592835602335977E-3</v>
      </c>
      <c r="AP1556" s="22">
        <f>Constants!$H72*'Activity data'!BI14*Constants!$H90*FracLEACHMM*MMLeachEF*NtoN2O*kgtoGg</f>
        <v>7.3684754287317664E-3</v>
      </c>
      <c r="AQ1556" s="22">
        <f>Constants!$H72*'Activity data'!BJ14*Constants!$H90*FracLEACHMM*MMLeachEF*NtoN2O*kgtoGg</f>
        <v>7.3783875518192519E-3</v>
      </c>
      <c r="AR1556" s="22">
        <f>Constants!$H72*'Activity data'!BK14*Constants!$H90*FracLEACHMM*MMLeachEF*NtoN2O*kgtoGg</f>
        <v>7.3890133855341444E-3</v>
      </c>
      <c r="AS1556" s="22">
        <f>Constants!$H72*'Activity data'!BL14*Constants!$H90*FracLEACHMM*MMLeachEF*NtoN2O*kgtoGg</f>
        <v>7.3926280435308569E-3</v>
      </c>
      <c r="AT1556" s="22">
        <f>Constants!$H72*'Activity data'!BM14*Constants!$H90*FracLEACHMM*MMLeachEF*NtoN2O*kgtoGg</f>
        <v>7.3957657294869287E-3</v>
      </c>
      <c r="AU1556" s="22">
        <f>Constants!$H72*'Activity data'!BN14*Constants!$H90*FracLEACHMM*MMLeachEF*NtoN2O*kgtoGg</f>
        <v>7.3993790338051698E-3</v>
      </c>
      <c r="AV1556" s="22">
        <f>Constants!$H72*'Activity data'!BO14*Constants!$H90*FracLEACHMM*MMLeachEF*NtoN2O*kgtoGg</f>
        <v>7.4035611129683564E-3</v>
      </c>
      <c r="AW1556" s="22">
        <f>Constants!$H72*'Activity data'!BP14*Constants!$H90*FracLEACHMM*MMLeachEF*NtoN2O*kgtoGg</f>
        <v>7.4082472106798752E-3</v>
      </c>
    </row>
    <row r="1557" spans="1:49" x14ac:dyDescent="0.2">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2">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2">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2.6729002214214585E-2</v>
      </c>
      <c r="M1559" s="22">
        <f>Constants!$H75*'Activity data'!AF17*Constants!$H93*FracLEACHMM*MMLeachEF*NtoN2O*kgtoGg</f>
        <v>2.6740992333189322E-2</v>
      </c>
      <c r="N1559" s="22">
        <f>Constants!$H75*'Activity data'!AG17*Constants!$H93*FracLEACHMM*MMLeachEF*NtoN2O*kgtoGg</f>
        <v>2.6495489531984443E-2</v>
      </c>
      <c r="O1559" s="22">
        <f>Constants!$H75*'Activity data'!AH17*Constants!$H93*FracLEACHMM*MMLeachEF*NtoN2O*kgtoGg</f>
        <v>2.609452683304702E-2</v>
      </c>
      <c r="P1559" s="22">
        <f>Constants!$H75*'Activity data'!AI17*Constants!$H93*FracLEACHMM*MMLeachEF*NtoN2O*kgtoGg</f>
        <v>2.5544514050244028E-2</v>
      </c>
      <c r="Q1559" s="22">
        <f>Constants!$H75*'Activity data'!AJ17*Constants!$H93*FracLEACHMM*MMLeachEF*NtoN2O*kgtoGg</f>
        <v>2.5145143775072754E-2</v>
      </c>
      <c r="R1559" s="22">
        <f>Constants!$H75*'Activity data'!AK17*Constants!$H93*FracLEACHMM*MMLeachEF*NtoN2O*kgtoGg</f>
        <v>2.4781112413324518E-2</v>
      </c>
      <c r="S1559" s="22">
        <f>Constants!$H75*'Activity data'!AL17*Constants!$H93*FracLEACHMM*MMLeachEF*NtoN2O*kgtoGg</f>
        <v>2.20798204460615E-2</v>
      </c>
      <c r="T1559" s="22">
        <f>Constants!$H75*'Activity data'!AM17*Constants!$H93*FracLEACHMM*MMLeachEF*NtoN2O*kgtoGg</f>
        <v>2.2424557938008405E-2</v>
      </c>
      <c r="U1559" s="22">
        <f>Constants!$H75*'Activity data'!AN17*Constants!$H93*FracLEACHMM*MMLeachEF*NtoN2O*kgtoGg</f>
        <v>2.2570971116616413E-2</v>
      </c>
      <c r="V1559" s="22">
        <f>Constants!$H75*'Activity data'!AO17*Constants!$H93*FracLEACHMM*MMLeachEF*NtoN2O*kgtoGg</f>
        <v>2.2667395166558576E-2</v>
      </c>
      <c r="W1559" s="22">
        <f>Constants!$H75*'Activity data'!AP17*Constants!$H93*FracLEACHMM*MMLeachEF*NtoN2O*kgtoGg</f>
        <v>2.284594133514007E-2</v>
      </c>
      <c r="X1559" s="22">
        <f>Constants!$H75*'Activity data'!AQ17*Constants!$H93*FracLEACHMM*MMLeachEF*NtoN2O*kgtoGg</f>
        <v>2.2978923721971391E-2</v>
      </c>
      <c r="Y1559" s="22">
        <f>Constants!$H75*'Activity data'!AR17*Constants!$H93*FracLEACHMM*MMLeachEF*NtoN2O*kgtoGg</f>
        <v>2.3048677917067804E-2</v>
      </c>
      <c r="Z1559" s="22">
        <f>Constants!$H75*'Activity data'!AS17*Constants!$H93*FracLEACHMM*MMLeachEF*NtoN2O*kgtoGg</f>
        <v>2.3091415921174294E-2</v>
      </c>
      <c r="AA1559" s="22">
        <f>Constants!$H75*'Activity data'!AT17*Constants!$H93*FracLEACHMM*MMLeachEF*NtoN2O*kgtoGg</f>
        <v>2.3097213386295078E-2</v>
      </c>
      <c r="AB1559" s="22">
        <f>Constants!$H75*'Activity data'!AU17*Constants!$H93*FracLEACHMM*MMLeachEF*NtoN2O*kgtoGg</f>
        <v>2.323133845353377E-2</v>
      </c>
      <c r="AC1559" s="22">
        <f>Constants!$H75*'Activity data'!AV17*Constants!$H93*FracLEACHMM*MMLeachEF*NtoN2O*kgtoGg</f>
        <v>2.3348495871952417E-2</v>
      </c>
      <c r="AD1559" s="22">
        <f>Constants!$H75*'Activity data'!AW17*Constants!$H93*FracLEACHMM*MMLeachEF*NtoN2O*kgtoGg</f>
        <v>2.3517064058520994E-2</v>
      </c>
      <c r="AE1559" s="22">
        <f>Constants!$H75*'Activity data'!AX17*Constants!$H93*FracLEACHMM*MMLeachEF*NtoN2O*kgtoGg</f>
        <v>2.3801807583193908E-2</v>
      </c>
      <c r="AF1559" s="22">
        <f>Constants!$H75*'Activity data'!AY17*Constants!$H93*FracLEACHMM*MMLeachEF*NtoN2O*kgtoGg</f>
        <v>2.4135258091248658E-2</v>
      </c>
      <c r="AG1559" s="22">
        <f>Constants!$H75*'Activity data'!AZ17*Constants!$H93*FracLEACHMM*MMLeachEF*NtoN2O*kgtoGg</f>
        <v>2.4586723078799614E-2</v>
      </c>
      <c r="AH1559" s="22">
        <f>Constants!$H75*'Activity data'!BA17*Constants!$H93*FracLEACHMM*MMLeachEF*NtoN2O*kgtoGg</f>
        <v>2.483044349217995E-2</v>
      </c>
      <c r="AI1559" s="22">
        <f>Constants!$H75*'Activity data'!BB17*Constants!$H93*FracLEACHMM*MMLeachEF*NtoN2O*kgtoGg</f>
        <v>2.5043308594524263E-2</v>
      </c>
      <c r="AJ1559" s="22">
        <f>Constants!$H75*'Activity data'!BC17*Constants!$H93*FracLEACHMM*MMLeachEF*NtoN2O*kgtoGg</f>
        <v>2.531081903004264E-2</v>
      </c>
      <c r="AK1559" s="22">
        <f>Constants!$H75*'Activity data'!BD17*Constants!$H93*FracLEACHMM*MMLeachEF*NtoN2O*kgtoGg</f>
        <v>2.5543075681886771E-2</v>
      </c>
      <c r="AL1559" s="22">
        <f>Constants!$H75*'Activity data'!BE17*Constants!$H93*FracLEACHMM*MMLeachEF*NtoN2O*kgtoGg</f>
        <v>2.5800065264390357E-2</v>
      </c>
      <c r="AM1559" s="22">
        <f>Constants!$H75*'Activity data'!BF17*Constants!$H93*FracLEACHMM*MMLeachEF*NtoN2O*kgtoGg</f>
        <v>2.6050738429193292E-2</v>
      </c>
      <c r="AN1559" s="22">
        <f>Constants!$H75*'Activity data'!BG17*Constants!$H93*FracLEACHMM*MMLeachEF*NtoN2O*kgtoGg</f>
        <v>2.6388228624982798E-2</v>
      </c>
      <c r="AO1559" s="22">
        <f>Constants!$H75*'Activity data'!BH17*Constants!$H93*FracLEACHMM*MMLeachEF*NtoN2O*kgtoGg</f>
        <v>2.6681293830850793E-2</v>
      </c>
      <c r="AP1559" s="22">
        <f>Constants!$H75*'Activity data'!BI17*Constants!$H93*FracLEACHMM*MMLeachEF*NtoN2O*kgtoGg</f>
        <v>2.6974098587187682E-2</v>
      </c>
      <c r="AQ1559" s="22">
        <f>Constants!$H75*'Activity data'!BJ17*Constants!$H93*FracLEACHMM*MMLeachEF*NtoN2O*kgtoGg</f>
        <v>2.7277302536496094E-2</v>
      </c>
      <c r="AR1559" s="22">
        <f>Constants!$H75*'Activity data'!BK17*Constants!$H93*FracLEACHMM*MMLeachEF*NtoN2O*kgtoGg</f>
        <v>2.759431398689733E-2</v>
      </c>
      <c r="AS1559" s="22">
        <f>Constants!$H75*'Activity data'!BL17*Constants!$H93*FracLEACHMM*MMLeachEF*NtoN2O*kgtoGg</f>
        <v>2.800744241344803E-2</v>
      </c>
      <c r="AT1559" s="22">
        <f>Constants!$H75*'Activity data'!BM17*Constants!$H93*FracLEACHMM*MMLeachEF*NtoN2O*kgtoGg</f>
        <v>2.8135384789660874E-2</v>
      </c>
      <c r="AU1559" s="22">
        <f>Constants!$H75*'Activity data'!BN17*Constants!$H93*FracLEACHMM*MMLeachEF*NtoN2O*kgtoGg</f>
        <v>2.8237574251430975E-2</v>
      </c>
      <c r="AV1559" s="22">
        <f>Constants!$H75*'Activity data'!BO17*Constants!$H93*FracLEACHMM*MMLeachEF*NtoN2O*kgtoGg</f>
        <v>2.8342961193356213E-2</v>
      </c>
      <c r="AW1559" s="22">
        <f>Constants!$H75*'Activity data'!BP17*Constants!$H93*FracLEACHMM*MMLeachEF*NtoN2O*kgtoGg</f>
        <v>2.8439412611602398E-2</v>
      </c>
    </row>
    <row r="1560" spans="1:49" x14ac:dyDescent="0.2">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3.9947810410006996E-3</v>
      </c>
      <c r="M1560" s="22">
        <f>Constants!$H76*'Activity data'!AF18*Constants!$H94*FracLEACHMM*MMLeachEF*NtoN2O*kgtoGg</f>
        <v>3.9965730233416704E-3</v>
      </c>
      <c r="N1560" s="22">
        <f>Constants!$H76*'Activity data'!AG18*Constants!$H94*FracLEACHMM*MMLeachEF*NtoN2O*kgtoGg</f>
        <v>3.9598814204188995E-3</v>
      </c>
      <c r="O1560" s="22">
        <f>Constants!$H76*'Activity data'!AH18*Constants!$H94*FracLEACHMM*MMLeachEF*NtoN2O*kgtoGg</f>
        <v>3.8999555700251322E-3</v>
      </c>
      <c r="P1560" s="22">
        <f>Constants!$H76*'Activity data'!AI18*Constants!$H94*FracLEACHMM*MMLeachEF*NtoN2O*kgtoGg</f>
        <v>3.8177534504158584E-3</v>
      </c>
      <c r="Q1560" s="22">
        <f>Constants!$H76*'Activity data'!AJ18*Constants!$H94*FracLEACHMM*MMLeachEF*NtoN2O*kgtoGg</f>
        <v>3.7580655955978051E-3</v>
      </c>
      <c r="R1560" s="22">
        <f>Constants!$H76*'Activity data'!AK18*Constants!$H94*FracLEACHMM*MMLeachEF*NtoN2O*kgtoGg</f>
        <v>3.7036593154610876E-3</v>
      </c>
      <c r="S1560" s="22">
        <f>Constants!$H76*'Activity data'!AL18*Constants!$H94*FracLEACHMM*MMLeachEF*NtoN2O*kgtoGg</f>
        <v>3.2999379250946686E-3</v>
      </c>
      <c r="T1560" s="22">
        <f>Constants!$H76*'Activity data'!AM18*Constants!$H94*FracLEACHMM*MMLeachEF*NtoN2O*kgtoGg</f>
        <v>3.3514606413530125E-3</v>
      </c>
      <c r="U1560" s="22">
        <f>Constants!$H76*'Activity data'!AN18*Constants!$H94*FracLEACHMM*MMLeachEF*NtoN2O*kgtoGg</f>
        <v>3.3733428120890697E-3</v>
      </c>
      <c r="V1560" s="22">
        <f>Constants!$H76*'Activity data'!AO18*Constants!$H94*FracLEACHMM*MMLeachEF*NtoN2O*kgtoGg</f>
        <v>3.3877538613126231E-3</v>
      </c>
      <c r="W1560" s="22">
        <f>Constants!$H76*'Activity data'!AP18*Constants!$H94*FracLEACHMM*MMLeachEF*NtoN2O*kgtoGg</f>
        <v>3.4144384656789365E-3</v>
      </c>
      <c r="X1560" s="22">
        <f>Constants!$H76*'Activity data'!AQ18*Constants!$H94*FracLEACHMM*MMLeachEF*NtoN2O*kgtoGg</f>
        <v>3.4343133384273955E-3</v>
      </c>
      <c r="Y1560" s="22">
        <f>Constants!$H76*'Activity data'!AR18*Constants!$H94*FracLEACHMM*MMLeachEF*NtoN2O*kgtoGg</f>
        <v>3.4447384464755082E-3</v>
      </c>
      <c r="Z1560" s="22">
        <f>Constants!$H76*'Activity data'!AS18*Constants!$H94*FracLEACHMM*MMLeachEF*NtoN2O*kgtoGg</f>
        <v>3.4511258517054724E-3</v>
      </c>
      <c r="AA1560" s="22">
        <f>Constants!$H76*'Activity data'!AT18*Constants!$H94*FracLEACHMM*MMLeachEF*NtoN2O*kgtoGg</f>
        <v>3.4519923114245724E-3</v>
      </c>
      <c r="AB1560" s="22">
        <f>Constants!$H76*'Activity data'!AU18*Constants!$H94*FracLEACHMM*MMLeachEF*NtoN2O*kgtoGg</f>
        <v>3.4720379633884583E-3</v>
      </c>
      <c r="AC1560" s="22">
        <f>Constants!$H76*'Activity data'!AV18*Constants!$H94*FracLEACHMM*MMLeachEF*NtoN2O*kgtoGg</f>
        <v>3.4895477166579812E-3</v>
      </c>
      <c r="AD1560" s="22">
        <f>Constants!$H76*'Activity data'!AW18*Constants!$H94*FracLEACHMM*MMLeachEF*NtoN2O*kgtoGg</f>
        <v>3.5147410624635305E-3</v>
      </c>
      <c r="AE1560" s="22">
        <f>Constants!$H76*'Activity data'!AX18*Constants!$H94*FracLEACHMM*MMLeachEF*NtoN2O*kgtoGg</f>
        <v>3.5572973847981574E-3</v>
      </c>
      <c r="AF1560" s="22">
        <f>Constants!$H76*'Activity data'!AY18*Constants!$H94*FracLEACHMM*MMLeachEF*NtoN2O*kgtoGg</f>
        <v>3.6071332057170833E-3</v>
      </c>
      <c r="AG1560" s="22">
        <f>Constants!$H76*'Activity data'!AZ18*Constants!$H94*FracLEACHMM*MMLeachEF*NtoN2O*kgtoGg</f>
        <v>3.6746068719052303E-3</v>
      </c>
      <c r="AH1560" s="22">
        <f>Constants!$H76*'Activity data'!BA18*Constants!$H94*FracLEACHMM*MMLeachEF*NtoN2O*kgtoGg</f>
        <v>3.7110320881880462E-3</v>
      </c>
      <c r="AI1560" s="22">
        <f>Constants!$H76*'Activity data'!BB18*Constants!$H94*FracLEACHMM*MMLeachEF*NtoN2O*kgtoGg</f>
        <v>3.7428458262513211E-3</v>
      </c>
      <c r="AJ1560" s="22">
        <f>Constants!$H76*'Activity data'!BC18*Constants!$H94*FracLEACHMM*MMLeachEF*NtoN2O*kgtoGg</f>
        <v>3.7828265785261059E-3</v>
      </c>
      <c r="AK1560" s="22">
        <f>Constants!$H76*'Activity data'!BD18*Constants!$H94*FracLEACHMM*MMLeachEF*NtoN2O*kgtoGg</f>
        <v>3.8175384791798387E-3</v>
      </c>
      <c r="AL1560" s="22">
        <f>Constants!$H76*'Activity data'!BE18*Constants!$H94*FracLEACHMM*MMLeachEF*NtoN2O*kgtoGg</f>
        <v>3.8559468381485868E-3</v>
      </c>
      <c r="AM1560" s="22">
        <f>Constants!$H76*'Activity data'!BF18*Constants!$H94*FracLEACHMM*MMLeachEF*NtoN2O*kgtoGg</f>
        <v>3.8934111773789473E-3</v>
      </c>
      <c r="AN1560" s="22">
        <f>Constants!$H76*'Activity data'!BG18*Constants!$H94*FracLEACHMM*MMLeachEF*NtoN2O*kgtoGg</f>
        <v>3.9438507495282793E-3</v>
      </c>
      <c r="AO1560" s="22">
        <f>Constants!$H76*'Activity data'!BH18*Constants!$H94*FracLEACHMM*MMLeachEF*NtoN2O*kgtoGg</f>
        <v>3.9876507881079406E-3</v>
      </c>
      <c r="AP1560" s="22">
        <f>Constants!$H76*'Activity data'!BI18*Constants!$H94*FracLEACHMM*MMLeachEF*NtoN2O*kgtoGg</f>
        <v>4.0314119012222708E-3</v>
      </c>
      <c r="AQ1560" s="22">
        <f>Constants!$H76*'Activity data'!BJ18*Constants!$H94*FracLEACHMM*MMLeachEF*NtoN2O*kgtoGg</f>
        <v>4.0767272249499047E-3</v>
      </c>
      <c r="AR1560" s="22">
        <f>Constants!$H76*'Activity data'!BK18*Constants!$H94*FracLEACHMM*MMLeachEF*NtoN2O*kgtoGg</f>
        <v>4.1241061477280058E-3</v>
      </c>
      <c r="AS1560" s="22">
        <f>Constants!$H76*'Activity data'!BL18*Constants!$H94*FracLEACHMM*MMLeachEF*NtoN2O*kgtoGg</f>
        <v>4.1858502260387767E-3</v>
      </c>
      <c r="AT1560" s="22">
        <f>Constants!$H76*'Activity data'!BM18*Constants!$H94*FracLEACHMM*MMLeachEF*NtoN2O*kgtoGg</f>
        <v>4.2049718443745261E-3</v>
      </c>
      <c r="AU1560" s="22">
        <f>Constants!$H76*'Activity data'!BN18*Constants!$H94*FracLEACHMM*MMLeachEF*NtoN2O*kgtoGg</f>
        <v>4.2202445627946769E-3</v>
      </c>
      <c r="AV1560" s="22">
        <f>Constants!$H76*'Activity data'!BO18*Constants!$H94*FracLEACHMM*MMLeachEF*NtoN2O*kgtoGg</f>
        <v>4.2359951603739652E-3</v>
      </c>
      <c r="AW1560" s="22">
        <f>Constants!$H76*'Activity data'!BP18*Constants!$H94*FracLEACHMM*MMLeachEF*NtoN2O*kgtoGg</f>
        <v>4.2504102999253611E-3</v>
      </c>
    </row>
    <row r="1561" spans="1:49" x14ac:dyDescent="0.2">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1.7066731126843742E-2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1.8014444056791572E-2</v>
      </c>
      <c r="P1561" s="22">
        <f>Constants!$H77*'Activity data'!AI19*Constants!$H95*FracLEACHMM*MMLeachEF*NtoN2O*kgtoGg</f>
        <v>1.8197780265539365E-2</v>
      </c>
      <c r="Q1561" s="22">
        <f>Constants!$H77*'Activity data'!AJ19*Constants!$H95*FracLEACHMM*MMLeachEF*NtoN2O*kgtoGg</f>
        <v>1.8432867891885713E-2</v>
      </c>
      <c r="R1561" s="22">
        <f>Constants!$H77*'Activity data'!AK19*Constants!$H95*FracLEACHMM*MMLeachEF*NtoN2O*kgtoGg</f>
        <v>1.8677293946611207E-2</v>
      </c>
      <c r="S1561" s="22">
        <f>Constants!$H77*'Activity data'!AL19*Constants!$H95*FracLEACHMM*MMLeachEF*NtoN2O*kgtoGg</f>
        <v>1.7930195532315427E-2</v>
      </c>
      <c r="T1561" s="22">
        <f>Constants!$H77*'Activity data'!AM19*Constants!$H95*FracLEACHMM*MMLeachEF*NtoN2O*kgtoGg</f>
        <v>1.8405757792115097E-2</v>
      </c>
      <c r="U1561" s="22">
        <f>Constants!$H77*'Activity data'!AN19*Constants!$H95*FracLEACHMM*MMLeachEF*NtoN2O*kgtoGg</f>
        <v>1.880256719318036E-2</v>
      </c>
      <c r="V1561" s="22">
        <f>Constants!$H77*'Activity data'!AO19*Constants!$H95*FracLEACHMM*MMLeachEF*NtoN2O*kgtoGg</f>
        <v>1.9182022263661121E-2</v>
      </c>
      <c r="W1561" s="22">
        <f>Constants!$H77*'Activity data'!AP19*Constants!$H95*FracLEACHMM*MMLeachEF*NtoN2O*kgtoGg</f>
        <v>1.9603893406791358E-2</v>
      </c>
      <c r="X1561" s="22">
        <f>Constants!$H77*'Activity data'!AQ19*Constants!$H95*FracLEACHMM*MMLeachEF*NtoN2O*kgtoGg</f>
        <v>2.0010576837223248E-2</v>
      </c>
      <c r="Y1561" s="22">
        <f>Constants!$H77*'Activity data'!AR19*Constants!$H95*FracLEACHMM*MMLeachEF*NtoN2O*kgtoGg</f>
        <v>2.0375728845723119E-2</v>
      </c>
      <c r="Z1561" s="22">
        <f>Constants!$H77*'Activity data'!AS19*Constants!$H95*FracLEACHMM*MMLeachEF*NtoN2O*kgtoGg</f>
        <v>2.0731756448222814E-2</v>
      </c>
      <c r="AA1561" s="22">
        <f>Constants!$H77*'Activity data'!AT19*Constants!$H95*FracLEACHMM*MMLeachEF*NtoN2O*kgtoGg</f>
        <v>2.1073019561660463E-2</v>
      </c>
      <c r="AB1561" s="22">
        <f>Constants!$H77*'Activity data'!AU19*Constants!$H95*FracLEACHMM*MMLeachEF*NtoN2O*kgtoGg</f>
        <v>2.148336106919314E-2</v>
      </c>
      <c r="AC1561" s="22">
        <f>Constants!$H77*'Activity data'!AV19*Constants!$H95*FracLEACHMM*MMLeachEF*NtoN2O*kgtoGg</f>
        <v>2.1890889267126682E-2</v>
      </c>
      <c r="AD1561" s="22">
        <f>Constants!$H77*'Activity data'!AW19*Constants!$H95*FracLEACHMM*MMLeachEF*NtoN2O*kgtoGg</f>
        <v>2.231803440740647E-2</v>
      </c>
      <c r="AE1561" s="22">
        <f>Constants!$H77*'Activity data'!AX19*Constants!$H95*FracLEACHMM*MMLeachEF*NtoN2O*kgtoGg</f>
        <v>2.2815454137105083E-2</v>
      </c>
      <c r="AF1561" s="22">
        <f>Constants!$H77*'Activity data'!AY19*Constants!$H95*FracLEACHMM*MMLeachEF*NtoN2O*kgtoGg</f>
        <v>2.3349632701496571E-2</v>
      </c>
      <c r="AG1561" s="22">
        <f>Constants!$H77*'Activity data'!AZ19*Constants!$H95*FracLEACHMM*MMLeachEF*NtoN2O*kgtoGg</f>
        <v>2.396171160946152E-2</v>
      </c>
      <c r="AH1561" s="22">
        <f>Constants!$H77*'Activity data'!BA19*Constants!$H95*FracLEACHMM*MMLeachEF*NtoN2O*kgtoGg</f>
        <v>2.4467658584898602E-2</v>
      </c>
      <c r="AI1561" s="22">
        <f>Constants!$H77*'Activity data'!BB19*Constants!$H95*FracLEACHMM*MMLeachEF*NtoN2O*kgtoGg</f>
        <v>2.4951748693606203E-2</v>
      </c>
      <c r="AJ1561" s="22">
        <f>Constants!$H77*'Activity data'!BC19*Constants!$H95*FracLEACHMM*MMLeachEF*NtoN2O*kgtoGg</f>
        <v>2.5477604150305377E-2</v>
      </c>
      <c r="AK1561" s="22">
        <f>Constants!$H77*'Activity data'!BD19*Constants!$H95*FracLEACHMM*MMLeachEF*NtoN2O*kgtoGg</f>
        <v>2.5992359314301834E-2</v>
      </c>
      <c r="AL1561" s="22">
        <f>Constants!$H77*'Activity data'!BE19*Constants!$H95*FracLEACHMM*MMLeachEF*NtoN2O*kgtoGg</f>
        <v>2.6532480091102609E-2</v>
      </c>
      <c r="AM1561" s="22">
        <f>Constants!$H77*'Activity data'!BF19*Constants!$H95*FracLEACHMM*MMLeachEF*NtoN2O*kgtoGg</f>
        <v>2.7079400048144214E-2</v>
      </c>
      <c r="AN1561" s="22">
        <f>Constants!$H77*'Activity data'!BG19*Constants!$H95*FracLEACHMM*MMLeachEF*NtoN2O*kgtoGg</f>
        <v>2.7680885364723965E-2</v>
      </c>
      <c r="AO1561" s="22">
        <f>Constants!$H77*'Activity data'!BH19*Constants!$H95*FracLEACHMM*MMLeachEF*NtoN2O*kgtoGg</f>
        <v>2.8266293672037732E-2</v>
      </c>
      <c r="AP1561" s="22">
        <f>Constants!$H77*'Activity data'!BI19*Constants!$H95*FracLEACHMM*MMLeachEF*NtoN2O*kgtoGg</f>
        <v>2.886402430987451E-2</v>
      </c>
      <c r="AQ1561" s="22">
        <f>Constants!$H77*'Activity data'!BJ19*Constants!$H95*FracLEACHMM*MMLeachEF*NtoN2O*kgtoGg</f>
        <v>2.9481723037787178E-2</v>
      </c>
      <c r="AR1561" s="22">
        <f>Constants!$H77*'Activity data'!BK19*Constants!$H95*FracLEACHMM*MMLeachEF*NtoN2O*kgtoGg</f>
        <v>3.0122536424733722E-2</v>
      </c>
      <c r="AS1561" s="22">
        <f>Constants!$H77*'Activity data'!BL19*Constants!$H95*FracLEACHMM*MMLeachEF*NtoN2O*kgtoGg</f>
        <v>3.0832887052217536E-2</v>
      </c>
      <c r="AT1561" s="22">
        <f>Constants!$H77*'Activity data'!BM19*Constants!$H95*FracLEACHMM*MMLeachEF*NtoN2O*kgtoGg</f>
        <v>3.1354014072341549E-2</v>
      </c>
      <c r="AU1561" s="22">
        <f>Constants!$H77*'Activity data'!BN19*Constants!$H95*FracLEACHMM*MMLeachEF*NtoN2O*kgtoGg</f>
        <v>3.1866079427096267E-2</v>
      </c>
      <c r="AV1561" s="22">
        <f>Constants!$H77*'Activity data'!BO19*Constants!$H95*FracLEACHMM*MMLeachEF*NtoN2O*kgtoGg</f>
        <v>3.2390073533933091E-2</v>
      </c>
      <c r="AW1561" s="22">
        <f>Constants!$H77*'Activity data'!BP19*Constants!$H95*FracLEACHMM*MMLeachEF*NtoN2O*kgtoGg</f>
        <v>3.2917174163896501E-2</v>
      </c>
    </row>
    <row r="1562" spans="1:49" x14ac:dyDescent="0.2">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7.758579791322931E-2</v>
      </c>
      <c r="L1562" s="22">
        <f>Constants!$H78*'Activity data'!AE20*Constants!$H96*FracLEACHMM*MMLeachEF*NtoN2O*kgtoGg</f>
        <v>7.860746419754247E-2</v>
      </c>
      <c r="M1562" s="22">
        <f>Constants!$H78*'Activity data'!AF20*Constants!$H96*FracLEACHMM*MMLeachEF*NtoN2O*kgtoGg</f>
        <v>8.0248553313821205E-2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7.8944464359385597E-2</v>
      </c>
      <c r="R1562" s="22">
        <f>Constants!$H78*'Activity data'!AK20*Constants!$H96*FracLEACHMM*MMLeachEF*NtoN2O*kgtoGg</f>
        <v>7.8604018955287305E-2</v>
      </c>
      <c r="S1562" s="22">
        <f>Constants!$H78*'Activity data'!AL20*Constants!$H96*FracLEACHMM*MMLeachEF*NtoN2O*kgtoGg</f>
        <v>6.7197980387573103E-2</v>
      </c>
      <c r="T1562" s="22">
        <f>Constants!$H78*'Activity data'!AM20*Constants!$H96*FracLEACHMM*MMLeachEF*NtoN2O*kgtoGg</f>
        <v>7.0159754352377118E-2</v>
      </c>
      <c r="U1562" s="22">
        <f>Constants!$H78*'Activity data'!AN20*Constants!$H96*FracLEACHMM*MMLeachEF*NtoN2O*kgtoGg</f>
        <v>7.2200774862602818E-2</v>
      </c>
      <c r="V1562" s="22">
        <f>Constants!$H78*'Activity data'!AO20*Constants!$H96*FracLEACHMM*MMLeachEF*NtoN2O*kgtoGg</f>
        <v>7.4012137517044677E-2</v>
      </c>
      <c r="W1562" s="22">
        <f>Constants!$H78*'Activity data'!AP20*Constants!$H96*FracLEACHMM*MMLeachEF*NtoN2O*kgtoGg</f>
        <v>7.624234611790702E-2</v>
      </c>
      <c r="X1562" s="22">
        <f>Constants!$H78*'Activity data'!AQ20*Constants!$H96*FracLEACHMM*MMLeachEF*NtoN2O*kgtoGg</f>
        <v>7.8266654922264395E-2</v>
      </c>
      <c r="Y1562" s="22">
        <f>Constants!$H78*'Activity data'!AR20*Constants!$H96*FracLEACHMM*MMLeachEF*NtoN2O*kgtoGg</f>
        <v>8.0053392548698518E-2</v>
      </c>
      <c r="Z1562" s="22">
        <f>Constants!$H78*'Activity data'!AS20*Constants!$H96*FracLEACHMM*MMLeachEF*NtoN2O*kgtoGg</f>
        <v>8.1713475036097147E-2</v>
      </c>
      <c r="AA1562" s="22">
        <f>Constants!$H78*'Activity data'!AT20*Constants!$H96*FracLEACHMM*MMLeachEF*NtoN2O*kgtoGg</f>
        <v>8.3191126783030381E-2</v>
      </c>
      <c r="AB1562" s="22">
        <f>Constants!$H78*'Activity data'!AU20*Constants!$H96*FracLEACHMM*MMLeachEF*NtoN2O*kgtoGg</f>
        <v>8.5356141752823037E-2</v>
      </c>
      <c r="AC1562" s="22">
        <f>Constants!$H78*'Activity data'!AV20*Constants!$H96*FracLEACHMM*MMLeachEF*NtoN2O*kgtoGg</f>
        <v>8.7456207764297841E-2</v>
      </c>
      <c r="AD1562" s="22">
        <f>Constants!$H78*'Activity data'!AW20*Constants!$H96*FracLEACHMM*MMLeachEF*NtoN2O*kgtoGg</f>
        <v>8.9913243198059017E-2</v>
      </c>
      <c r="AE1562" s="22">
        <f>Constants!$H78*'Activity data'!AX20*Constants!$H96*FracLEACHMM*MMLeachEF*NtoN2O*kgtoGg</f>
        <v>9.3044085798014903E-2</v>
      </c>
      <c r="AF1562" s="22">
        <f>Constants!$H78*'Activity data'!AY20*Constants!$H96*FracLEACHMM*MMLeachEF*NtoN2O*kgtoGg</f>
        <v>9.6498642598308926E-2</v>
      </c>
      <c r="AG1562" s="22">
        <f>Constants!$H78*'Activity data'!AZ20*Constants!$H96*FracLEACHMM*MMLeachEF*NtoN2O*kgtoGg</f>
        <v>0.10068056666272467</v>
      </c>
      <c r="AH1562" s="22">
        <f>Constants!$H78*'Activity data'!BA20*Constants!$H96*FracLEACHMM*MMLeachEF*NtoN2O*kgtoGg</f>
        <v>0.10375441633368165</v>
      </c>
      <c r="AI1562" s="22">
        <f>Constants!$H78*'Activity data'!BB20*Constants!$H96*FracLEACHMM*MMLeachEF*NtoN2O*kgtoGg</f>
        <v>0.10675032554756632</v>
      </c>
      <c r="AJ1562" s="22">
        <f>Constants!$H78*'Activity data'!BC20*Constants!$H96*FracLEACHMM*MMLeachEF*NtoN2O*kgtoGg</f>
        <v>0.11011636525105389</v>
      </c>
      <c r="AK1562" s="22">
        <f>Constants!$H78*'Activity data'!BD20*Constants!$H96*FracLEACHMM*MMLeachEF*NtoN2O*kgtoGg</f>
        <v>0.11333263880247381</v>
      </c>
      <c r="AL1562" s="22">
        <f>Constants!$H78*'Activity data'!BE20*Constants!$H96*FracLEACHMM*MMLeachEF*NtoN2O*kgtoGg</f>
        <v>0.11675404817895949</v>
      </c>
      <c r="AM1562" s="22">
        <f>Constants!$H78*'Activity data'!BF20*Constants!$H96*FracLEACHMM*MMLeachEF*NtoN2O*kgtoGg</f>
        <v>0.12019911578989917</v>
      </c>
      <c r="AN1562" s="22">
        <f>Constants!$H78*'Activity data'!BG20*Constants!$H96*FracLEACHMM*MMLeachEF*NtoN2O*kgtoGg</f>
        <v>0.12428786174834884</v>
      </c>
      <c r="AO1562" s="22">
        <f>Constants!$H78*'Activity data'!BH20*Constants!$H96*FracLEACHMM*MMLeachEF*NtoN2O*kgtoGg</f>
        <v>0.12817821089097012</v>
      </c>
      <c r="AP1562" s="22">
        <f>Constants!$H78*'Activity data'!BI20*Constants!$H96*FracLEACHMM*MMLeachEF*NtoN2O*kgtoGg</f>
        <v>0.13214154239239112</v>
      </c>
      <c r="AQ1562" s="22">
        <f>Constants!$H78*'Activity data'!BJ20*Constants!$H96*FracLEACHMM*MMLeachEF*NtoN2O*kgtoGg</f>
        <v>0.13624857972153667</v>
      </c>
      <c r="AR1562" s="22">
        <f>Constants!$H78*'Activity data'!BK20*Constants!$H96*FracLEACHMM*MMLeachEF*NtoN2O*kgtoGg</f>
        <v>0.14052656296513075</v>
      </c>
      <c r="AS1562" s="22">
        <f>Constants!$H78*'Activity data'!BL20*Constants!$H96*FracLEACHMM*MMLeachEF*NtoN2O*kgtoGg</f>
        <v>0.14556766568145355</v>
      </c>
      <c r="AT1562" s="22">
        <f>Constants!$H78*'Activity data'!BM20*Constants!$H96*FracLEACHMM*MMLeachEF*NtoN2O*kgtoGg</f>
        <v>0.14881423347183564</v>
      </c>
      <c r="AU1562" s="22">
        <f>Constants!$H78*'Activity data'!BN20*Constants!$H96*FracLEACHMM*MMLeachEF*NtoN2O*kgtoGg</f>
        <v>0.15194631854950416</v>
      </c>
      <c r="AV1562" s="22">
        <f>Constants!$H78*'Activity data'!BO20*Constants!$H96*FracLEACHMM*MMLeachEF*NtoN2O*kgtoGg</f>
        <v>0.15515723544633972</v>
      </c>
      <c r="AW1562" s="22">
        <f>Constants!$H78*'Activity data'!BP20*Constants!$H96*FracLEACHMM*MMLeachEF*NtoN2O*kgtoGg</f>
        <v>0.15836593511039121</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baseColWidth="10" defaultColWidth="8.83203125" defaultRowHeight="15" x14ac:dyDescent="0.2"/>
  <cols>
    <col min="1" max="3" width="9.1640625" style="96"/>
    <col min="4" max="4" width="34.5" customWidth="1"/>
    <col min="5" max="5" width="37" customWidth="1"/>
    <col min="6" max="6" width="27.5" customWidth="1"/>
    <col min="7" max="7" width="7.5" customWidth="1"/>
    <col min="8" max="8" width="26.1640625" customWidth="1"/>
    <col min="9" max="36" width="9.6640625" customWidth="1"/>
    <col min="37" max="37" width="9.5" customWidth="1"/>
    <col min="52" max="53" width="9.5" customWidth="1"/>
    <col min="54" max="54" width="9.6640625" customWidth="1"/>
  </cols>
  <sheetData>
    <row r="1" spans="1:75" ht="19" x14ac:dyDescent="0.25">
      <c r="D1" s="1" t="s">
        <v>312</v>
      </c>
    </row>
    <row r="3" spans="1:75" s="19" customFormat="1" ht="16" x14ac:dyDescent="0.2">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6" x14ac:dyDescent="0.2">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1171.26511604862</v>
      </c>
      <c r="AF4" s="40">
        <f t="shared" si="0"/>
        <v>1166.5593957177311</v>
      </c>
      <c r="AG4" s="40">
        <f t="shared" si="0"/>
        <v>1166.8343107149296</v>
      </c>
      <c r="AH4" s="40">
        <f t="shared" si="0"/>
        <v>1158.6000321770462</v>
      </c>
      <c r="AI4" s="40">
        <f t="shared" si="0"/>
        <v>1145.2621528294476</v>
      </c>
      <c r="AJ4" s="40">
        <f t="shared" si="0"/>
        <v>1127.1134954870122</v>
      </c>
      <c r="AK4" s="40">
        <f t="shared" si="0"/>
        <v>1113.6808905305425</v>
      </c>
      <c r="AL4" s="40">
        <f t="shared" si="0"/>
        <v>1101.2673361670934</v>
      </c>
      <c r="AM4" s="40">
        <f t="shared" si="0"/>
        <v>1014.9116518156596</v>
      </c>
      <c r="AN4" s="40">
        <f t="shared" si="0"/>
        <v>1022.6875467872547</v>
      </c>
      <c r="AO4" s="40">
        <f t="shared" ref="AO4:BQ4" si="1">SUM(AO5:AO10)</f>
        <v>1021.3371552590216</v>
      </c>
      <c r="AP4" s="40">
        <f t="shared" si="1"/>
        <v>1015.5703823254713</v>
      </c>
      <c r="AQ4" s="40">
        <f t="shared" si="1"/>
        <v>1009.4964433486999</v>
      </c>
      <c r="AR4" s="40">
        <f t="shared" si="1"/>
        <v>999.1513404907015</v>
      </c>
      <c r="AS4" s="40">
        <f t="shared" si="1"/>
        <v>983.53395128595582</v>
      </c>
      <c r="AT4" s="40">
        <f t="shared" si="1"/>
        <v>964.37858704165058</v>
      </c>
      <c r="AU4" s="40">
        <f t="shared" si="1"/>
        <v>941.47860977625294</v>
      </c>
      <c r="AV4" s="40">
        <f t="shared" si="1"/>
        <v>919.52412615287483</v>
      </c>
      <c r="AW4" s="40">
        <f t="shared" si="1"/>
        <v>894.32026474362056</v>
      </c>
      <c r="AX4" s="40">
        <f t="shared" si="1"/>
        <v>889.43956259616152</v>
      </c>
      <c r="AY4" s="40">
        <f t="shared" si="1"/>
        <v>887.29425650034932</v>
      </c>
      <c r="AZ4" s="40">
        <f t="shared" si="1"/>
        <v>886.01704172995733</v>
      </c>
      <c r="BA4" s="40">
        <f t="shared" si="1"/>
        <v>887.31382710197522</v>
      </c>
      <c r="BB4" s="40">
        <f t="shared" si="1"/>
        <v>882.88053645521984</v>
      </c>
      <c r="BC4" s="40">
        <f t="shared" si="1"/>
        <v>876.99123508359139</v>
      </c>
      <c r="BD4" s="40">
        <f t="shared" si="1"/>
        <v>872.08672254978956</v>
      </c>
      <c r="BE4" s="40">
        <f t="shared" si="1"/>
        <v>865.94951314077343</v>
      </c>
      <c r="BF4" s="40">
        <f t="shared" si="1"/>
        <v>860.02851244967826</v>
      </c>
      <c r="BG4" s="40">
        <f t="shared" si="1"/>
        <v>853.57242126797053</v>
      </c>
      <c r="BH4" s="40">
        <f t="shared" si="1"/>
        <v>854.17324704551254</v>
      </c>
      <c r="BI4" s="40">
        <f t="shared" si="1"/>
        <v>853.44598610845208</v>
      </c>
      <c r="BJ4" s="40">
        <f t="shared" si="1"/>
        <v>852.40693654866925</v>
      </c>
      <c r="BK4" s="40">
        <f t="shared" si="1"/>
        <v>851.28765154060466</v>
      </c>
      <c r="BL4" s="40">
        <f t="shared" si="1"/>
        <v>850.14996953680668</v>
      </c>
      <c r="BM4" s="40">
        <f t="shared" si="1"/>
        <v>850.49958512072214</v>
      </c>
      <c r="BN4" s="40">
        <f t="shared" si="1"/>
        <v>844.36323991788242</v>
      </c>
      <c r="BO4" s="40">
        <f t="shared" si="1"/>
        <v>837.44507366264588</v>
      </c>
      <c r="BP4" s="40">
        <f t="shared" si="1"/>
        <v>830.36753888589737</v>
      </c>
      <c r="BQ4" s="40">
        <f t="shared" si="1"/>
        <v>822.87621275774995</v>
      </c>
    </row>
    <row r="5" spans="1:75" x14ac:dyDescent="0.2">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977.48324710494353</v>
      </c>
      <c r="AF5" s="94">
        <f>IF($A5="Baseline",'Emissions summary'!AC5,SUMIF('Net zero emission reductions'!$A$4:$A$1448,$A$5,'Net zero emission reductions'!L$4:L$1448))</f>
        <v>972.58505850583788</v>
      </c>
      <c r="AG5" s="94">
        <f>IF($A5="Baseline",'Emissions summary'!AD5,SUMIF('Net zero emission reductions'!$A$4:$A$1448,$A$5,'Net zero emission reductions'!M$4:M$1448))</f>
        <v>972.49373775284266</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949.97028936128663</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817.30546488371999</v>
      </c>
      <c r="AN5" s="94">
        <f>IF($A5="Baseline",'Emissions summary'!AK5,SUMIF('Net zero emission reductions'!$A$4:$A$1448,$A$5,'Net zero emission reductions'!T$4:T$1448))</f>
        <v>824.77025650912321</v>
      </c>
      <c r="AO5" s="94">
        <f>IF($A5="Baseline",'Emissions summary'!AL5,SUMIF('Net zero emission reductions'!$A$4:$A$1448,$A$5,'Net zero emission reductions'!U$4:U$1448))</f>
        <v>823.36820287000239</v>
      </c>
      <c r="AP5" s="94">
        <f>IF($A5="Baseline",'Emissions summary'!AM5,SUMIF('Net zero emission reductions'!$A$4:$A$1448,$A$5,'Net zero emission reductions'!V$4:V$1448))</f>
        <v>817.771295834802</v>
      </c>
      <c r="AQ5" s="94">
        <f>IF($A5="Baseline",'Emissions summary'!AN5,SUMIF('Net zero emission reductions'!$A$4:$A$1448,$A$5,'Net zero emission reductions'!W$4:W$1448))</f>
        <v>812.05380660008655</v>
      </c>
      <c r="AR5" s="94">
        <f>IF($A5="Baseline",'Emissions summary'!AO5,SUMIF('Net zero emission reductions'!$A$4:$A$1448,$A$5,'Net zero emission reductions'!X$4:X$1448))</f>
        <v>802.28308123428519</v>
      </c>
      <c r="AS5" s="94">
        <f>IF($A5="Baseline",'Emissions summary'!AP5,SUMIF('Net zero emission reductions'!$A$4:$A$1448,$A$5,'Net zero emission reductions'!Y$4:Y$1448))</f>
        <v>787.68429429078117</v>
      </c>
      <c r="AT5" s="94">
        <f>IF($A5="Baseline",'Emissions summary'!AQ5,SUMIF('Net zero emission reductions'!$A$4:$A$1448,$A$5,'Net zero emission reductions'!Z$4:Z$1448))</f>
        <v>769.75739904468674</v>
      </c>
      <c r="AU5" s="94">
        <f>IF($A5="Baseline",'Emissions summary'!AR5,SUMIF('Net zero emission reductions'!$A$4:$A$1448,$A$5,'Net zero emission reductions'!AA$4:AA$1448))</f>
        <v>748.29678695569226</v>
      </c>
      <c r="AV5" s="94">
        <f>IF($A5="Baseline",'Emissions summary'!AS5,SUMIF('Net zero emission reductions'!$A$4:$A$1448,$A$5,'Net zero emission reductions'!AB$4:AB$1448))</f>
        <v>727.94714276015293</v>
      </c>
      <c r="AW5" s="94">
        <f>IF($A5="Baseline",'Emissions summary'!AT5,SUMIF('Net zero emission reductions'!$A$4:$A$1448,$A$5,'Net zero emission reductions'!AC$4:AC$1448))</f>
        <v>704.55024553335568</v>
      </c>
      <c r="AX5" s="94">
        <f>IF($A5="Baseline",'Emissions summary'!AU5,SUMIF('Net zero emission reductions'!$A$4:$A$1448,$A$5,'Net zero emission reductions'!AD$4:AD$1448))</f>
        <v>699.48295486642451</v>
      </c>
      <c r="AY5" s="94">
        <f>IF($A5="Baseline",'Emissions summary'!AV5,SUMIF('Net zero emission reductions'!$A$4:$A$1448,$A$5,'Net zero emission reductions'!AE$4:AE$1448))</f>
        <v>697.09507431044165</v>
      </c>
      <c r="AZ5" s="94">
        <f>IF($A5="Baseline",'Emissions summary'!AW5,SUMIF('Net zero emission reductions'!$A$4:$A$1448,$A$5,'Net zero emission reductions'!AF$4:AF$1448))</f>
        <v>695.53807174872838</v>
      </c>
      <c r="BA5" s="94">
        <f>IF($A5="Baseline",'Emissions summary'!AX5,SUMIF('Net zero emission reductions'!$A$4:$A$1448,$A$5,'Net zero emission reductions'!AG$4:AG$1448))</f>
        <v>696.49931181496038</v>
      </c>
      <c r="BB5" s="94">
        <f>IF($A5="Baseline",'Emissions summary'!AY5,SUMIF('Net zero emission reductions'!$A$4:$A$1448,$A$5,'Net zero emission reductions'!AH$4:AH$1448))</f>
        <v>691.76567431873468</v>
      </c>
      <c r="BC5" s="94">
        <f>IF($A5="Baseline",'Emissions summary'!AZ5,SUMIF('Net zero emission reductions'!$A$4:$A$1448,$A$5,'Net zero emission reductions'!AI$4:AI$1448))</f>
        <v>685.72398520134459</v>
      </c>
      <c r="BD5" s="94">
        <f>IF($A5="Baseline",'Emissions summary'!BA5,SUMIF('Net zero emission reductions'!$A$4:$A$1448,$A$5,'Net zero emission reductions'!AJ$4:AJ$1448))</f>
        <v>680.63201081261923</v>
      </c>
      <c r="BE5" s="94">
        <f>IF($A5="Baseline",'Emissions summary'!BB5,SUMIF('Net zero emission reductions'!$A$4:$A$1448,$A$5,'Net zero emission reductions'!AK$4:AK$1448))</f>
        <v>674.29833615805137</v>
      </c>
      <c r="BF5" s="94">
        <f>IF($A5="Baseline",'Emissions summary'!BC5,SUMIF('Net zero emission reductions'!$A$4:$A$1448,$A$5,'Net zero emission reductions'!AL$4:AL$1448))</f>
        <v>668.15545352290121</v>
      </c>
      <c r="BG5" s="94">
        <f>IF($A5="Baseline",'Emissions summary'!BD5,SUMIF('Net zero emission reductions'!$A$4:$A$1448,$A$5,'Net zero emission reductions'!AM$4:AM$1448))</f>
        <v>661.46153827176283</v>
      </c>
      <c r="BH5" s="94">
        <f>IF($A5="Baseline",'Emissions summary'!BE5,SUMIF('Net zero emission reductions'!$A$4:$A$1448,$A$5,'Net zero emission reductions'!AN$4:AN$1448))</f>
        <v>661.76736652191505</v>
      </c>
      <c r="BI5" s="94">
        <f>IF($A5="Baseline",'Emissions summary'!BF5,SUMIF('Net zero emission reductions'!$A$4:$A$1448,$A$5,'Net zero emission reductions'!AO$4:AO$1448))</f>
        <v>660.74103780254302</v>
      </c>
      <c r="BJ5" s="94">
        <f>IF($A5="Baseline",'Emissions summary'!BG5,SUMIF('Net zero emission reductions'!$A$4:$A$1448,$A$5,'Net zero emission reductions'!AP$4:AP$1448))</f>
        <v>659.38642346360143</v>
      </c>
      <c r="BK5" s="94">
        <f>IF($A5="Baseline",'Emissions summary'!BH5,SUMIF('Net zero emission reductions'!$A$4:$A$1448,$A$5,'Net zero emission reductions'!AQ$4:AQ$1448))</f>
        <v>657.93226228161734</v>
      </c>
      <c r="BL5" s="94">
        <f>IF($A5="Baseline",'Emissions summary'!BI5,SUMIF('Net zero emission reductions'!$A$4:$A$1448,$A$5,'Net zero emission reductions'!AR$4:AR$1448))</f>
        <v>656.43963718494524</v>
      </c>
      <c r="BM5" s="94">
        <f>IF($A5="Baseline",'Emissions summary'!BJ5,SUMIF('Net zero emission reductions'!$A$4:$A$1448,$A$5,'Net zero emission reductions'!AS$4:AS$1448))</f>
        <v>656.53735234138844</v>
      </c>
      <c r="BN5" s="94">
        <f>IF($A5="Baseline",'Emissions summary'!BK5,SUMIF('Net zero emission reductions'!$A$4:$A$1448,$A$5,'Net zero emission reductions'!AT$4:AT$1448))</f>
        <v>650.22265946508833</v>
      </c>
      <c r="BO5" s="94">
        <f>IF($A5="Baseline",'Emissions summary'!BL5,SUMIF('Net zero emission reductions'!$A$4:$A$1448,$A$5,'Net zero emission reductions'!AU$4:AU$1448))</f>
        <v>643.12087300205371</v>
      </c>
      <c r="BP5" s="94">
        <f>IF($A5="Baseline",'Emissions summary'!BM5,SUMIF('Net zero emission reductions'!$A$4:$A$1448,$A$5,'Net zero emission reductions'!AV$4:AV$1448))</f>
        <v>635.8457705167616</v>
      </c>
      <c r="BQ5" s="94">
        <f>IF($A5="Baseline",'Emissions summary'!BN5,SUMIF('Net zero emission reductions'!$A$4:$A$1448,$A$5,'Net zero emission reductions'!AW$4:AW$1448))</f>
        <v>628.14708919688064</v>
      </c>
    </row>
    <row r="6" spans="1:75" x14ac:dyDescent="0.2">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149.92172952968824</v>
      </c>
      <c r="AN6" s="94">
        <f>IF($A6="Baseline",'Emissions summary'!AK6,SUMIF('Net zero emission reductions'!$A$4:$A$1448,$A$6,'Net zero emission reductions'!T$4:T$1448))</f>
        <v>150.01936006779908</v>
      </c>
      <c r="AO6" s="94">
        <f>IF($A6="Baseline",'Emissions summary'!AL6,SUMIF('Net zero emission reductions'!$A$4:$A$1448,$A$6,'Net zero emission reductions'!U$4:U$1448))</f>
        <v>149.8882941508237</v>
      </c>
      <c r="AP6" s="94">
        <f>IF($A6="Baseline",'Emissions summary'!AM6,SUMIF('Net zero emission reductions'!$A$4:$A$1448,$A$6,'Net zero emission reductions'!V$4:V$1448))</f>
        <v>149.53608113482264</v>
      </c>
      <c r="AQ6" s="94">
        <f>IF($A6="Baseline",'Emissions summary'!AN6,SUMIF('Net zero emission reductions'!$A$4:$A$1448,$A$6,'Net zero emission reductions'!W$4:W$1448))</f>
        <v>148.96981415280899</v>
      </c>
      <c r="AR6" s="94">
        <f>IF($A6="Baseline",'Emissions summary'!AO6,SUMIF('Net zero emission reductions'!$A$4:$A$1448,$A$6,'Net zero emission reductions'!X$4:X$1448))</f>
        <v>148.18616608182776</v>
      </c>
      <c r="AS6" s="94">
        <f>IF($A6="Baseline",'Emissions summary'!AP6,SUMIF('Net zero emission reductions'!$A$4:$A$1448,$A$6,'Net zero emission reductions'!Y$4:Y$1448))</f>
        <v>147.02396393665484</v>
      </c>
      <c r="AT6" s="94">
        <f>IF($A6="Baseline",'Emissions summary'!AQ6,SUMIF('Net zero emission reductions'!$A$4:$A$1448,$A$6,'Net zero emission reductions'!Z$4:Z$1448))</f>
        <v>145.64992376680848</v>
      </c>
      <c r="AU6" s="94">
        <f>IF($A6="Baseline",'Emissions summary'!AR6,SUMIF('Net zero emission reductions'!$A$4:$A$1448,$A$6,'Net zero emission reductions'!AA$4:AA$1448))</f>
        <v>144.06574513120697</v>
      </c>
      <c r="AV6" s="94">
        <f>IF($A6="Baseline",'Emissions summary'!AS6,SUMIF('Net zero emission reductions'!$A$4:$A$1448,$A$6,'Net zero emission reductions'!AB$4:AB$1448))</f>
        <v>142.28021101501224</v>
      </c>
      <c r="AW6" s="94">
        <f>IF($A6="Baseline",'Emissions summary'!AT6,SUMIF('Net zero emission reductions'!$A$4:$A$1448,$A$6,'Net zero emission reductions'!AC$4:AC$1448))</f>
        <v>140.28925860678791</v>
      </c>
      <c r="AX6" s="94">
        <f>IF($A6="Baseline",'Emissions summary'!AU6,SUMIF('Net zero emission reductions'!$A$4:$A$1448,$A$6,'Net zero emission reductions'!AD$4:AD$1448))</f>
        <v>140.48022100801902</v>
      </c>
      <c r="AY6" s="94">
        <f>IF($A6="Baseline",'Emissions summary'!AV6,SUMIF('Net zero emission reductions'!$A$4:$A$1448,$A$6,'Net zero emission reductions'!AE$4:AE$1448))</f>
        <v>140.69457715686042</v>
      </c>
      <c r="AZ6" s="94">
        <f>IF($A6="Baseline",'Emissions summary'!AW6,SUMIF('Net zero emission reductions'!$A$4:$A$1448,$A$6,'Net zero emission reductions'!AF$4:AF$1448))</f>
        <v>140.92890267500434</v>
      </c>
      <c r="BA6" s="94">
        <f>IF($A6="Baseline",'Emissions summary'!AX6,SUMIF('Net zero emission reductions'!$A$4:$A$1448,$A$6,'Net zero emission reductions'!AG$4:AG$1448))</f>
        <v>141.185631084774</v>
      </c>
      <c r="BB6" s="94">
        <f>IF($A6="Baseline",'Emissions summary'!AY6,SUMIF('Net zero emission reductions'!$A$4:$A$1448,$A$6,'Net zero emission reductions'!AH$4:AH$1448))</f>
        <v>141.44995796221841</v>
      </c>
      <c r="BC6" s="94">
        <f>IF($A6="Baseline",'Emissions summary'!AZ6,SUMIF('Net zero emission reductions'!$A$4:$A$1448,$A$6,'Net zero emission reductions'!AI$4:AI$1448))</f>
        <v>141.61195734001387</v>
      </c>
      <c r="BD6" s="94">
        <f>IF($A6="Baseline",'Emissions summary'!BA6,SUMIF('Net zero emission reductions'!$A$4:$A$1448,$A$6,'Net zero emission reductions'!AJ$4:AJ$1448))</f>
        <v>141.79091790722148</v>
      </c>
      <c r="BE6" s="94">
        <f>IF($A6="Baseline",'Emissions summary'!BB6,SUMIF('Net zero emission reductions'!$A$4:$A$1448,$A$6,'Net zero emission reductions'!AK$4:AK$1448))</f>
        <v>141.98227780823839</v>
      </c>
      <c r="BF6" s="94">
        <f>IF($A6="Baseline",'Emissions summary'!BC6,SUMIF('Net zero emission reductions'!$A$4:$A$1448,$A$6,'Net zero emission reductions'!AL$4:AL$1448))</f>
        <v>142.18831368831513</v>
      </c>
      <c r="BG6" s="94">
        <f>IF($A6="Baseline",'Emissions summary'!BD6,SUMIF('Net zero emission reductions'!$A$4:$A$1448,$A$6,'Net zero emission reductions'!AM$4:AM$1448))</f>
        <v>142.40716370421481</v>
      </c>
      <c r="BH6" s="94">
        <f>IF($A6="Baseline",'Emissions summary'!BE6,SUMIF('Net zero emission reductions'!$A$4:$A$1448,$A$6,'Net zero emission reductions'!AN$4:AN$1448))</f>
        <v>142.53407886407678</v>
      </c>
      <c r="BI6" s="94">
        <f>IF($A6="Baseline",'Emissions summary'!BF6,SUMIF('Net zero emission reductions'!$A$4:$A$1448,$A$6,'Net zero emission reductions'!AO$4:AO$1448))</f>
        <v>142.67059252792055</v>
      </c>
      <c r="BJ6" s="94">
        <f>IF($A6="Baseline",'Emissions summary'!BG6,SUMIF('Net zero emission reductions'!$A$4:$A$1448,$A$6,'Net zero emission reductions'!AP$4:AP$1448))</f>
        <v>142.81844935287208</v>
      </c>
      <c r="BK6" s="94">
        <f>IF($A6="Baseline",'Emissions summary'!BH6,SUMIF('Net zero emission reductions'!$A$4:$A$1448,$A$6,'Net zero emission reductions'!AQ$4:AQ$1448))</f>
        <v>142.977853453183</v>
      </c>
      <c r="BL6" s="94">
        <f>IF($A6="Baseline",'Emissions summary'!BI6,SUMIF('Net zero emission reductions'!$A$4:$A$1448,$A$6,'Net zero emission reductions'!AR$4:AR$1448))</f>
        <v>143.14869339703279</v>
      </c>
      <c r="BM6" s="94">
        <f>IF($A6="Baseline",'Emissions summary'!BJ6,SUMIF('Net zero emission reductions'!$A$4:$A$1448,$A$6,'Net zero emission reductions'!AS$4:AS$1448))</f>
        <v>143.22508450357995</v>
      </c>
      <c r="BN6" s="94">
        <f>IF($A6="Baseline",'Emissions summary'!BK6,SUMIF('Net zero emission reductions'!$A$4:$A$1448,$A$6,'Net zero emission reductions'!AT$4:AT$1448))</f>
        <v>143.29618639167501</v>
      </c>
      <c r="BO6" s="94">
        <f>IF($A6="Baseline",'Emissions summary'!BL6,SUMIF('Net zero emission reductions'!$A$4:$A$1448,$A$6,'Net zero emission reductions'!AU$4:AU$1448))</f>
        <v>143.37501006116807</v>
      </c>
      <c r="BP6" s="94">
        <f>IF($A6="Baseline",'Emissions summary'!BM6,SUMIF('Net zero emission reductions'!$A$4:$A$1448,$A$6,'Net zero emission reductions'!AV$4:AV$1448))</f>
        <v>143.46281897885251</v>
      </c>
      <c r="BQ6" s="94">
        <f>IF($A6="Baseline",'Emissions summary'!BN6,SUMIF('Net zero emission reductions'!$A$4:$A$1448,$A$6,'Net zero emission reductions'!AW$4:AW$1448))</f>
        <v>143.55870921348588</v>
      </c>
    </row>
    <row r="7" spans="1:75" x14ac:dyDescent="0.2">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37.504515885641091</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39.038623867058433</v>
      </c>
      <c r="AN7" s="94">
        <f>IF($A7="Baseline",'Emissions summary'!AK7,SUMIF('Net zero emission reductions'!$A$4:$A$1448,$A$7,'Net zero emission reductions'!T$4:T$1448))</f>
        <v>39.152062367619124</v>
      </c>
      <c r="AO7" s="94">
        <f>IF($A7="Baseline",'Emissions summary'!AL7,SUMIF('Net zero emission reductions'!$A$4:$A$1448,$A$7,'Net zero emission reductions'!U$4:U$1448))</f>
        <v>39.273989634047268</v>
      </c>
      <c r="AP7" s="94">
        <f>IF($A7="Baseline",'Emissions summary'!AM7,SUMIF('Net zero emission reductions'!$A$4:$A$1448,$A$7,'Net zero emission reductions'!V$4:V$1448))</f>
        <v>39.405896728784569</v>
      </c>
      <c r="AQ7" s="94">
        <f>IF($A7="Baseline",'Emissions summary'!AN7,SUMIF('Net zero emission reductions'!$A$4:$A$1448,$A$7,'Net zero emission reductions'!W$4:W$1448))</f>
        <v>39.549231955561474</v>
      </c>
      <c r="AR7" s="94">
        <f>IF($A7="Baseline",'Emissions summary'!AO7,SUMIF('Net zero emission reductions'!$A$4:$A$1448,$A$7,'Net zero emission reductions'!X$4:X$1448))</f>
        <v>39.70144489325466</v>
      </c>
      <c r="AS7" s="94">
        <f>IF($A7="Baseline",'Emissions summary'!AP7,SUMIF('Net zero emission reductions'!$A$4:$A$1448,$A$7,'Net zero emission reductions'!Y$4:Y$1448))</f>
        <v>39.796602003796117</v>
      </c>
      <c r="AT7" s="94">
        <f>IF($A7="Baseline",'Emissions summary'!AQ7,SUMIF('Net zero emission reductions'!$A$4:$A$1448,$A$7,'Net zero emission reductions'!Z$4:Z$1448))</f>
        <v>39.899536798867977</v>
      </c>
      <c r="AU7" s="94">
        <f>IF($A7="Baseline",'Emissions summary'!AR7,SUMIF('Net zero emission reductions'!$A$4:$A$1448,$A$7,'Net zero emission reductions'!AA$4:AA$1448))</f>
        <v>40.009643874129289</v>
      </c>
      <c r="AV7" s="94">
        <f>IF($A7="Baseline",'Emissions summary'!AS7,SUMIF('Net zero emission reductions'!$A$4:$A$1448,$A$7,'Net zero emission reductions'!AB$4:AB$1448))</f>
        <v>40.129334051374656</v>
      </c>
      <c r="AW7" s="94">
        <f>IF($A7="Baseline",'Emissions summary'!AT7,SUMIF('Net zero emission reductions'!$A$4:$A$1448,$A$7,'Net zero emission reductions'!AC$4:AC$1448))</f>
        <v>40.25585014538251</v>
      </c>
      <c r="AX7" s="94">
        <f>IF($A7="Baseline",'Emissions summary'!AU7,SUMIF('Net zero emission reductions'!$A$4:$A$1448,$A$7,'Net zero emission reductions'!AD$4:AD$1448))</f>
        <v>40.179307255737669</v>
      </c>
      <c r="AY7" s="94">
        <f>IF($A7="Baseline",'Emissions summary'!AV7,SUMIF('Net zero emission reductions'!$A$4:$A$1448,$A$7,'Net zero emission reductions'!AE$4:AE$1448))</f>
        <v>40.110388634962426</v>
      </c>
      <c r="AZ7" s="94">
        <f>IF($A7="Baseline",'Emissions summary'!AW7,SUMIF('Net zero emission reductions'!$A$4:$A$1448,$A$7,'Net zero emission reductions'!AF$4:AF$1448))</f>
        <v>40.047611560215323</v>
      </c>
      <c r="BA7" s="94">
        <f>IF($A7="Baseline",'Emissions summary'!AX7,SUMIF('Net zero emission reductions'!$A$4:$A$1448,$A$7,'Net zero emission reductions'!AG$4:AG$1448))</f>
        <v>39.991927089688119</v>
      </c>
      <c r="BB7" s="94">
        <f>IF($A7="Baseline",'Emissions summary'!AY7,SUMIF('Net zero emission reductions'!$A$4:$A$1448,$A$7,'Net zero emission reductions'!AH$4:AH$1448))</f>
        <v>39.937217857972982</v>
      </c>
      <c r="BC7" s="94">
        <f>IF($A7="Baseline",'Emissions summary'!AZ7,SUMIF('Net zero emission reductions'!$A$4:$A$1448,$A$7,'Net zero emission reductions'!AI$4:AI$1448))</f>
        <v>39.838892058340228</v>
      </c>
      <c r="BD7" s="94">
        <f>IF($A7="Baseline",'Emissions summary'!BA7,SUMIF('Net zero emission reductions'!$A$4:$A$1448,$A$7,'Net zero emission reductions'!AJ$4:AJ$1448))</f>
        <v>39.745900750144813</v>
      </c>
      <c r="BE7" s="94">
        <f>IF($A7="Baseline",'Emissions summary'!BB7,SUMIF('Net zero emission reductions'!$A$4:$A$1448,$A$7,'Net zero emission reductions'!AK$4:AK$1448))</f>
        <v>39.656360234033265</v>
      </c>
      <c r="BF7" s="94">
        <f>IF($A7="Baseline",'Emissions summary'!BC7,SUMIF('Net zero emission reductions'!$A$4:$A$1448,$A$7,'Net zero emission reductions'!AL$4:AL$1448))</f>
        <v>39.571153701111861</v>
      </c>
      <c r="BG7" s="94">
        <f>IF($A7="Baseline",'Emissions summary'!BD7,SUMIF('Net zero emission reductions'!$A$4:$A$1448,$A$7,'Net zero emission reductions'!AM$4:AM$1448))</f>
        <v>39.48949886106179</v>
      </c>
      <c r="BH7" s="94">
        <f>IF($A7="Baseline",'Emissions summary'!BE7,SUMIF('Net zero emission reductions'!$A$4:$A$1448,$A$7,'Net zero emission reductions'!AN$4:AN$1448))</f>
        <v>39.532071473835543</v>
      </c>
      <c r="BI7" s="94">
        <f>IF($A7="Baseline",'Emissions summary'!BF7,SUMIF('Net zero emission reductions'!$A$4:$A$1448,$A$7,'Net zero emission reductions'!AO$4:AO$1448))</f>
        <v>39.577722280817333</v>
      </c>
      <c r="BJ7" s="94">
        <f>IF($A7="Baseline",'Emissions summary'!BG7,SUMIF('Net zero emission reductions'!$A$4:$A$1448,$A$7,'Net zero emission reductions'!AP$4:AP$1448))</f>
        <v>39.627155519214085</v>
      </c>
      <c r="BK7" s="94">
        <f>IF($A7="Baseline",'Emissions summary'!BH7,SUMIF('Net zero emission reductions'!$A$4:$A$1448,$A$7,'Net zero emission reductions'!AQ$4:AQ$1448))</f>
        <v>39.680462237396497</v>
      </c>
      <c r="BL7" s="94">
        <f>IF($A7="Baseline",'Emissions summary'!BI7,SUMIF('Net zero emission reductions'!$A$4:$A$1448,$A$7,'Net zero emission reductions'!AR$4:AR$1448))</f>
        <v>39.737607242386197</v>
      </c>
      <c r="BM7" s="94">
        <f>IF($A7="Baseline",'Emissions summary'!BJ7,SUMIF('Net zero emission reductions'!$A$4:$A$1448,$A$7,'Net zero emission reductions'!AS$4:AS$1448))</f>
        <v>39.757046625196097</v>
      </c>
      <c r="BN7" s="94">
        <f>IF($A7="Baseline",'Emissions summary'!BK7,SUMIF('Net zero emission reductions'!$A$4:$A$1448,$A$7,'Net zero emission reductions'!AT$4:AT$1448))</f>
        <v>39.773920885082603</v>
      </c>
      <c r="BO7" s="94">
        <f>IF($A7="Baseline",'Emissions summary'!BL7,SUMIF('Net zero emission reductions'!$A$4:$A$1448,$A$7,'Net zero emission reductions'!AU$4:AU$1448))</f>
        <v>39.793352987902523</v>
      </c>
      <c r="BP7" s="94">
        <f>IF($A7="Baseline",'Emissions summary'!BM7,SUMIF('Net zero emission reductions'!$A$4:$A$1448,$A$7,'Net zero emission reductions'!AV$4:AV$1448))</f>
        <v>39.81584392283149</v>
      </c>
      <c r="BQ7" s="94">
        <f>IF($A7="Baseline",'Emissions summary'!BN7,SUMIF('Net zero emission reductions'!$A$4:$A$1448,$A$7,'Net zero emission reductions'!AW$4:AW$1448))</f>
        <v>39.841045434947354</v>
      </c>
    </row>
    <row r="8" spans="1:75" x14ac:dyDescent="0.2">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5.5526214800767892</v>
      </c>
      <c r="AF8" s="27">
        <f>'Net zero emission reductions'!L1389</f>
        <v>5.579523571019652</v>
      </c>
      <c r="AG8" s="27">
        <f>'Net zero emission reductions'!M1389</f>
        <v>5.6203482259438022</v>
      </c>
      <c r="AH8" s="27">
        <f>'Net zero emission reductions'!N1389</f>
        <v>5.629075655008374</v>
      </c>
      <c r="AI8" s="27">
        <f>'Net zero emission reductions'!O1389</f>
        <v>5.6165815405282284</v>
      </c>
      <c r="AJ8" s="27">
        <f>'Net zero emission reductions'!P1389</f>
        <v>5.5833231296706103</v>
      </c>
      <c r="AK8" s="27">
        <f>'Net zero emission reductions'!Q1389</f>
        <v>5.5648827699457346</v>
      </c>
      <c r="AL8" s="27">
        <f>'Net zero emission reductions'!R1389</f>
        <v>5.5483103177944013</v>
      </c>
      <c r="AM8" s="27">
        <f>'Net zero emission reductions'!S1389</f>
        <v>5.2545848231765602</v>
      </c>
      <c r="AN8" s="27">
        <f>'Net zero emission reductions'!T1389</f>
        <v>5.3277448648735932</v>
      </c>
      <c r="AO8" s="27">
        <f>'Net zero emission reductions'!U1389</f>
        <v>5.3771318788227438</v>
      </c>
      <c r="AP8" s="27">
        <f>'Net zero emission reductions'!V1389</f>
        <v>5.4200550937003218</v>
      </c>
      <c r="AQ8" s="27">
        <f>'Net zero emission reductions'!W1389</f>
        <v>5.4726184084270573</v>
      </c>
      <c r="AR8" s="27">
        <f>'Net zero emission reductions'!X1389</f>
        <v>5.5193093093258572</v>
      </c>
      <c r="AS8" s="27">
        <f>'Net zero emission reductions'!Y1389</f>
        <v>5.5623143429133499</v>
      </c>
      <c r="AT8" s="27">
        <f>'Net zero emission reductions'!Z1389</f>
        <v>5.6016190467987945</v>
      </c>
      <c r="AU8" s="27">
        <f>'Net zero emission reductions'!AA1389</f>
        <v>5.6358734850599594</v>
      </c>
      <c r="AV8" s="27">
        <f>'Net zero emission reductions'!AB1389</f>
        <v>5.6864221774832213</v>
      </c>
      <c r="AW8" s="27">
        <f>'Net zero emission reductions'!AC1389</f>
        <v>5.734761216152096</v>
      </c>
      <c r="AX8" s="27">
        <f>'Net zero emission reductions'!AD1389</f>
        <v>5.7937893665421401</v>
      </c>
      <c r="AY8" s="27">
        <f>'Net zero emission reductions'!AE1389</f>
        <v>5.868728906856421</v>
      </c>
      <c r="AZ8" s="27">
        <f>'Net zero emission reductions'!AF1389</f>
        <v>5.95097387412393</v>
      </c>
      <c r="BA8" s="27">
        <f>'Net zero emission reductions'!AG1389</f>
        <v>6.0502809540907023</v>
      </c>
      <c r="BB8" s="27">
        <f>'Net zero emission reductions'!AH1389</f>
        <v>6.1220107529838179</v>
      </c>
      <c r="BC8" s="27">
        <f>'Net zero emission reductions'!AI1389</f>
        <v>6.1941308642978408</v>
      </c>
      <c r="BD8" s="27">
        <f>'Net zero emission reductions'!AJ1389</f>
        <v>6.2747694866131836</v>
      </c>
      <c r="BE8" s="27">
        <f>'Net zero emission reductions'!AK1389</f>
        <v>6.3513096084096698</v>
      </c>
      <c r="BF8" s="27">
        <f>'Net zero emission reductions'!AL1389</f>
        <v>6.4323283925814563</v>
      </c>
      <c r="BG8" s="27">
        <f>'Net zero emission reductions'!AM1389</f>
        <v>6.5134158744418782</v>
      </c>
      <c r="BH8" s="27">
        <f>'Net zero emission reductions'!AN1389</f>
        <v>6.6126163316975539</v>
      </c>
      <c r="BI8" s="27">
        <f>'Net zero emission reductions'!AO1389</f>
        <v>6.7066735285892829</v>
      </c>
      <c r="BJ8" s="27">
        <f>'Net zero emission reductions'!AP1389</f>
        <v>6.8021224333407027</v>
      </c>
      <c r="BK8" s="27">
        <f>'Net zero emission reductions'!AQ1389</f>
        <v>6.9006513009384864</v>
      </c>
      <c r="BL8" s="27">
        <f>'Net zero emission reductions'!AR1389</f>
        <v>7.0028965831984893</v>
      </c>
      <c r="BM8" s="27">
        <f>'Net zero emission reductions'!AS1389</f>
        <v>7.1267607896665828</v>
      </c>
      <c r="BN8" s="27">
        <f>'Net zero emission reductions'!AT1389</f>
        <v>7.2071584727038323</v>
      </c>
      <c r="BO8" s="27">
        <f>'Net zero emission reductions'!AU1389</f>
        <v>7.2845566532149562</v>
      </c>
      <c r="BP8" s="27">
        <f>'Net zero emission reductions'!AV1389</f>
        <v>7.3636089922437549</v>
      </c>
      <c r="BQ8" s="27">
        <f>'Net zero emission reductions'!AW1389</f>
        <v>7.4423534956754249</v>
      </c>
    </row>
    <row r="9" spans="1:75" x14ac:dyDescent="0.2">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2">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2.0950671945504564</v>
      </c>
      <c r="AF10" s="27">
        <f>SUM('Net zero emission reductions'!L1391:L1392)</f>
        <v>2.0836791108466945</v>
      </c>
      <c r="AG10" s="27">
        <f>SUM('Net zero emission reductions'!M1391:M1392)</f>
        <v>2.0846138094278093</v>
      </c>
      <c r="AH10" s="27">
        <f>SUM('Net zero emission reductions'!N1391:N1392)</f>
        <v>2.0654754572205234</v>
      </c>
      <c r="AI10" s="27">
        <f>SUM('Net zero emission reductions'!O1391:O1392)</f>
        <v>2.0342181138558573</v>
      </c>
      <c r="AJ10" s="27">
        <f>SUM('Net zero emission reductions'!P1391:P1392)</f>
        <v>1.9913414611083868</v>
      </c>
      <c r="AK10" s="27">
        <f>SUM('Net zero emission reductions'!Q1391:Q1392)</f>
        <v>1.9602082563146466</v>
      </c>
      <c r="AL10" s="27">
        <f>SUM('Net zero emission reductions'!R1391:R1392)</f>
        <v>1.9318299226197024</v>
      </c>
      <c r="AM10" s="27">
        <f>SUM('Net zero emission reductions'!S1391:S1392)</f>
        <v>1.7212487120165396</v>
      </c>
      <c r="AN10" s="27">
        <f>SUM('Net zero emission reductions'!T1391:T1392)</f>
        <v>1.7481229778398051</v>
      </c>
      <c r="AO10" s="27">
        <f>SUM('Net zero emission reductions'!U1391:U1392)</f>
        <v>1.7595367253255199</v>
      </c>
      <c r="AP10" s="27">
        <f>SUM('Net zero emission reductions'!V1391:V1392)</f>
        <v>1.7670535333618813</v>
      </c>
      <c r="AQ10" s="27">
        <f>SUM('Net zero emission reductions'!W1391:W1392)</f>
        <v>1.7809722318158447</v>
      </c>
      <c r="AR10" s="27">
        <f>SUM('Net zero emission reductions'!X1391:X1392)</f>
        <v>1.7913389720080244</v>
      </c>
      <c r="AS10" s="27">
        <f>SUM('Net zero emission reductions'!Y1391:Y1392)</f>
        <v>1.7967767118103366</v>
      </c>
      <c r="AT10" s="27">
        <f>SUM('Net zero emission reductions'!Z1391:Z1392)</f>
        <v>1.8001083844886612</v>
      </c>
      <c r="AU10" s="27">
        <f>SUM('Net zero emission reductions'!AA1391:AA1392)</f>
        <v>1.8005603301644186</v>
      </c>
      <c r="AV10" s="27">
        <f>SUM('Net zero emission reductions'!AB1391:AB1392)</f>
        <v>1.81101614885179</v>
      </c>
      <c r="AW10" s="27">
        <f>SUM('Net zero emission reductions'!AC1391:AC1392)</f>
        <v>1.8201492419423297</v>
      </c>
      <c r="AX10" s="27">
        <f>SUM('Net zero emission reductions'!AD1391:AD1392)</f>
        <v>1.8332900994382921</v>
      </c>
      <c r="AY10" s="27">
        <f>SUM('Net zero emission reductions'!AE1391:AE1392)</f>
        <v>1.8554874912284833</v>
      </c>
      <c r="AZ10" s="27">
        <f>SUM('Net zero emission reductions'!AF1391:AF1392)</f>
        <v>1.8814818718853641</v>
      </c>
      <c r="BA10" s="27">
        <f>SUM('Net zero emission reductions'!AG1391:AG1392)</f>
        <v>1.916676158462149</v>
      </c>
      <c r="BB10" s="27">
        <f>SUM('Net zero emission reductions'!AH1391:AH1392)</f>
        <v>1.9356755633100207</v>
      </c>
      <c r="BC10" s="27">
        <f>SUM('Net zero emission reductions'!AI1391:AI1392)</f>
        <v>1.9522696195949658</v>
      </c>
      <c r="BD10" s="27">
        <f>SUM('Net zero emission reductions'!AJ1391:AJ1392)</f>
        <v>1.9731235931909841</v>
      </c>
      <c r="BE10" s="27">
        <f>SUM('Net zero emission reductions'!AK1391:AK1392)</f>
        <v>1.9912293320406536</v>
      </c>
      <c r="BF10" s="27">
        <f>SUM('Net zero emission reductions'!AL1391:AL1392)</f>
        <v>2.0112631447687308</v>
      </c>
      <c r="BG10" s="27">
        <f>SUM('Net zero emission reductions'!AM1391:AM1392)</f>
        <v>2.0308045564893642</v>
      </c>
      <c r="BH10" s="27">
        <f>SUM('Net zero emission reductions'!AN1391:AN1392)</f>
        <v>2.0571138539875027</v>
      </c>
      <c r="BI10" s="27">
        <f>SUM('Net zero emission reductions'!AO1391:AO1392)</f>
        <v>2.0799599685820227</v>
      </c>
      <c r="BJ10" s="27">
        <f>SUM('Net zero emission reductions'!AP1391:AP1392)</f>
        <v>2.1027857796409659</v>
      </c>
      <c r="BK10" s="27">
        <f>SUM('Net zero emission reductions'!AQ1391:AQ1392)</f>
        <v>2.1264222674693127</v>
      </c>
      <c r="BL10" s="27">
        <f>SUM('Net zero emission reductions'!AR1391:AR1392)</f>
        <v>2.1511351292441896</v>
      </c>
      <c r="BM10" s="27">
        <f>SUM('Net zero emission reductions'!AS1391:AS1392)</f>
        <v>2.1833408608911005</v>
      </c>
      <c r="BN10" s="27">
        <f>SUM('Net zero emission reductions'!AT1391:AT1392)</f>
        <v>2.1933147033327387</v>
      </c>
      <c r="BO10" s="27">
        <f>SUM('Net zero emission reductions'!AU1391:AU1392)</f>
        <v>2.2012809583067385</v>
      </c>
      <c r="BP10" s="27">
        <f>SUM('Net zero emission reductions'!AV1391:AV1392)</f>
        <v>2.2094964752080335</v>
      </c>
      <c r="BQ10" s="27">
        <f>SUM('Net zero emission reductions'!AW1391:AW1392)</f>
        <v>2.2170154167607499</v>
      </c>
    </row>
    <row r="11" spans="1:75" s="19" customFormat="1" ht="16" x14ac:dyDescent="0.2">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36.839752421790067</v>
      </c>
      <c r="AF11" s="40">
        <f t="shared" ref="AF11:BQ11" si="8">SUM(AF12:AF18)</f>
        <v>36.824713661357166</v>
      </c>
      <c r="AG11" s="40">
        <f t="shared" si="8"/>
        <v>36.994489207779701</v>
      </c>
      <c r="AH11" s="40">
        <f t="shared" si="8"/>
        <v>36.868179492658662</v>
      </c>
      <c r="AI11" s="40">
        <f t="shared" si="8"/>
        <v>36.561072673248759</v>
      </c>
      <c r="AJ11" s="40">
        <f t="shared" si="8"/>
        <v>36.07835910331189</v>
      </c>
      <c r="AK11" s="40">
        <f t="shared" si="8"/>
        <v>35.769601675819452</v>
      </c>
      <c r="AL11" s="40">
        <f t="shared" si="8"/>
        <v>35.500823220191329</v>
      </c>
      <c r="AM11" s="40">
        <f t="shared" si="8"/>
        <v>32.45074221356505</v>
      </c>
      <c r="AN11" s="40">
        <f t="shared" si="8"/>
        <v>30.62555399550676</v>
      </c>
      <c r="AO11" s="40">
        <f t="shared" si="8"/>
        <v>28.542670502634898</v>
      </c>
      <c r="AP11" s="40">
        <f t="shared" si="8"/>
        <v>26.389673212550679</v>
      </c>
      <c r="AQ11" s="40">
        <f t="shared" si="8"/>
        <v>24.294485725845639</v>
      </c>
      <c r="AR11" s="40">
        <f t="shared" si="8"/>
        <v>22.134979485932082</v>
      </c>
      <c r="AS11" s="40">
        <f t="shared" si="8"/>
        <v>19.905331162070077</v>
      </c>
      <c r="AT11" s="40">
        <f t="shared" si="8"/>
        <v>17.648068057911704</v>
      </c>
      <c r="AU11" s="40">
        <f t="shared" si="8"/>
        <v>15.363667506696606</v>
      </c>
      <c r="AV11" s="40">
        <f t="shared" si="8"/>
        <v>13.142445830647908</v>
      </c>
      <c r="AW11" s="40">
        <f t="shared" si="8"/>
        <v>10.893658655529837</v>
      </c>
      <c r="AX11" s="40">
        <f t="shared" si="8"/>
        <v>10.44635930903749</v>
      </c>
      <c r="AY11" s="40">
        <f t="shared" si="8"/>
        <v>10.036222978280147</v>
      </c>
      <c r="AZ11" s="40">
        <f t="shared" si="8"/>
        <v>9.6325569943271621</v>
      </c>
      <c r="BA11" s="40">
        <f t="shared" si="8"/>
        <v>9.2568548960631585</v>
      </c>
      <c r="BB11" s="40">
        <f t="shared" si="8"/>
        <v>8.7952579871276182</v>
      </c>
      <c r="BC11" s="40">
        <f t="shared" si="8"/>
        <v>8.3137235895669228</v>
      </c>
      <c r="BD11" s="40">
        <f t="shared" si="8"/>
        <v>7.8394066820561363</v>
      </c>
      <c r="BE11" s="40">
        <f t="shared" si="8"/>
        <v>7.3443764010341743</v>
      </c>
      <c r="BF11" s="40">
        <f t="shared" si="8"/>
        <v>6.8460356253786792</v>
      </c>
      <c r="BG11" s="40">
        <f t="shared" si="8"/>
        <v>6.3354657890759611</v>
      </c>
      <c r="BH11" s="40">
        <f t="shared" si="8"/>
        <v>6.503574736408547</v>
      </c>
      <c r="BI11" s="40">
        <f t="shared" si="8"/>
        <v>6.6640248864598739</v>
      </c>
      <c r="BJ11" s="40">
        <f t="shared" si="8"/>
        <v>6.8276296673697425</v>
      </c>
      <c r="BK11" s="40">
        <f t="shared" si="8"/>
        <v>6.9972130025917174</v>
      </c>
      <c r="BL11" s="40">
        <f t="shared" si="8"/>
        <v>7.173867603168075</v>
      </c>
      <c r="BM11" s="40">
        <f t="shared" si="8"/>
        <v>7.3797029512919359</v>
      </c>
      <c r="BN11" s="40">
        <f t="shared" si="8"/>
        <v>7.5140548151726652</v>
      </c>
      <c r="BO11" s="40">
        <f t="shared" si="8"/>
        <v>7.644020834553837</v>
      </c>
      <c r="BP11" s="40">
        <f t="shared" si="8"/>
        <v>7.7773281455979593</v>
      </c>
      <c r="BQ11" s="40">
        <f t="shared" si="8"/>
        <v>7.91073364226812</v>
      </c>
      <c r="BT11"/>
    </row>
    <row r="12" spans="1:75" x14ac:dyDescent="0.2">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10.51419956344132</v>
      </c>
      <c r="AF12" s="94">
        <f>IF($A12="Baseline",'Emissions summary'!AC12,SUMIF('Net zero emission reductions'!$A$4:$A$1448,$A$12,'Net zero emission reductions'!L$4:L$1448))</f>
        <v>10.583882276215787</v>
      </c>
      <c r="AG12" s="94">
        <f>IF($A12="Baseline",'Emissions summary'!AD12,SUMIF('Net zero emission reductions'!$A$4:$A$1448,$A$12,'Net zero emission reductions'!M$4:M$1448))</f>
        <v>10.68054780913128</v>
      </c>
      <c r="AH12" s="94">
        <f>IF($A12="Baseline",'Emissions summary'!AE12,SUMIF('Net zero emission reductions'!$A$4:$A$1448,$A$12,'Net zero emission reductions'!N$4:N$1448))</f>
        <v>10.742788658894197</v>
      </c>
      <c r="AI12" s="94">
        <f>IF($A12="Baseline",'Emissions summary'!AF12,SUMIF('Net zero emission reductions'!$A$4:$A$1448,$A$12,'Net zero emission reductions'!O$4:O$1448))</f>
        <v>10.783939139829936</v>
      </c>
      <c r="AJ12" s="94">
        <f>IF($A12="Baseline",'Emissions summary'!AG12,SUMIF('Net zero emission reductions'!$A$4:$A$1448,$A$12,'Net zero emission reductions'!P$4:P$1448))</f>
        <v>10.803580145428246</v>
      </c>
      <c r="AK12" s="94">
        <f>IF($A12="Baseline",'Emissions summary'!AH12,SUMIF('Net zero emission reductions'!$A$4:$A$1448,$A$12,'Net zero emission reductions'!Q$4:Q$1448))</f>
        <v>10.846446910087721</v>
      </c>
      <c r="AL12" s="94">
        <f>IF($A12="Baseline",'Emissions summary'!AI12,SUMIF('Net zero emission reductions'!$A$4:$A$1448,$A$12,'Net zero emission reductions'!R$4:R$1448))</f>
        <v>10.895258592784375</v>
      </c>
      <c r="AM12" s="94">
        <f>IF($A12="Baseline",'Emissions summary'!AJ12,SUMIF('Net zero emission reductions'!$A$4:$A$1448,$A$12,'Net zero emission reductions'!S$4:S$1448))</f>
        <v>10.556966962384482</v>
      </c>
      <c r="AN12" s="94">
        <f>IF($A12="Baseline",'Emissions summary'!AK12,SUMIF('Net zero emission reductions'!$A$4:$A$1448,$A$12,'Net zero emission reductions'!T$4:T$1448))</f>
        <v>9.9056223456884407</v>
      </c>
      <c r="AO12" s="94">
        <f>IF($A12="Baseline",'Emissions summary'!AL12,SUMIF('Net zero emission reductions'!$A$4:$A$1448,$A$12,'Net zero emission reductions'!U$4:U$1448))</f>
        <v>9.2203741450641648</v>
      </c>
      <c r="AP12" s="94">
        <f>IF($A12="Baseline",'Emissions summary'!AM12,SUMIF('Net zero emission reductions'!$A$4:$A$1448,$A$12,'Net zero emission reductions'!V$4:V$1448))</f>
        <v>8.5267859410758842</v>
      </c>
      <c r="AQ12" s="94">
        <f>IF($A12="Baseline",'Emissions summary'!AN12,SUMIF('Net zero emission reductions'!$A$4:$A$1448,$A$12,'Net zero emission reductions'!W$4:W$1448))</f>
        <v>7.8430988467798857</v>
      </c>
      <c r="AR12" s="94">
        <f>IF($A12="Baseline",'Emissions summary'!AO12,SUMIF('Net zero emission reductions'!$A$4:$A$1448,$A$12,'Net zero emission reductions'!X$4:X$1448))</f>
        <v>7.1513390053302208</v>
      </c>
      <c r="AS12" s="94">
        <f>IF($A12="Baseline",'Emissions summary'!AP12,SUMIF('Net zero emission reductions'!$A$4:$A$1448,$A$12,'Net zero emission reductions'!Y$4:Y$1448))</f>
        <v>6.4459222615017921</v>
      </c>
      <c r="AT12" s="94">
        <f>IF($A12="Baseline",'Emissions summary'!AQ12,SUMIF('Net zero emission reductions'!$A$4:$A$1448,$A$12,'Net zero emission reductions'!Z$4:Z$1448))</f>
        <v>5.7379325649379371</v>
      </c>
      <c r="AU12" s="94">
        <f>IF($A12="Baseline",'Emissions summary'!AR12,SUMIF('Net zero emission reductions'!$A$4:$A$1448,$A$12,'Net zero emission reductions'!AA$4:AA$1448))</f>
        <v>5.0271172798480048</v>
      </c>
      <c r="AV12" s="94">
        <f>IF($A12="Baseline",'Emissions summary'!AS12,SUMIF('Net zero emission reductions'!$A$4:$A$1448,$A$12,'Net zero emission reductions'!AB$4:AB$1448))</f>
        <v>4.3277118959785028</v>
      </c>
      <c r="AW12" s="94">
        <f>IF($A12="Baseline",'Emissions summary'!AT12,SUMIF('Net zero emission reductions'!$A$4:$A$1448,$A$12,'Net zero emission reductions'!AC$4:AC$1448))</f>
        <v>3.6254349014810185</v>
      </c>
      <c r="AX12" s="94">
        <f>IF($A12="Baseline",'Emissions summary'!AU12,SUMIF('Net zero emission reductions'!$A$4:$A$1448,$A$12,'Net zero emission reductions'!AD$4:AD$1448))</f>
        <v>3.4812119499073777</v>
      </c>
      <c r="AY12" s="94">
        <f>IF($A12="Baseline",'Emissions summary'!AV12,SUMIF('Net zero emission reductions'!$A$4:$A$1448,$A$12,'Net zero emission reductions'!AE$4:AE$1448))</f>
        <v>3.3423366465015278</v>
      </c>
      <c r="AZ12" s="94">
        <f>IF($A12="Baseline",'Emissions summary'!AW12,SUMIF('Net zero emission reductions'!$A$4:$A$1448,$A$12,'Net zero emission reductions'!AF$4:AF$1448))</f>
        <v>3.2037054853486393</v>
      </c>
      <c r="BA12" s="94">
        <f>IF($A12="Baseline",'Emissions summary'!AX12,SUMIF('Net zero emission reductions'!$A$4:$A$1448,$A$12,'Net zero emission reductions'!AG$4:AG$1448))</f>
        <v>3.069140847603419</v>
      </c>
      <c r="BB12" s="94">
        <f>IF($A12="Baseline",'Emissions summary'!AY12,SUMIF('Net zero emission reductions'!$A$4:$A$1448,$A$12,'Net zero emission reductions'!AH$4:AH$1448))</f>
        <v>2.918403932981787</v>
      </c>
      <c r="BC12" s="94">
        <f>IF($A12="Baseline",'Emissions summary'!AZ12,SUMIF('Net zero emission reductions'!$A$4:$A$1448,$A$12,'Net zero emission reductions'!AI$4:AI$1448))</f>
        <v>2.7615703633535049</v>
      </c>
      <c r="BD12" s="94">
        <f>IF($A12="Baseline",'Emissions summary'!BA12,SUMIF('Net zero emission reductions'!$A$4:$A$1448,$A$12,'Net zero emission reductions'!AJ$4:AJ$1448))</f>
        <v>2.6048559516194056</v>
      </c>
      <c r="BE12" s="94">
        <f>IF($A12="Baseline",'Emissions summary'!BB12,SUMIF('Net zero emission reductions'!$A$4:$A$1448,$A$12,'Net zero emission reductions'!AK$4:AK$1448))</f>
        <v>2.4430471996372982</v>
      </c>
      <c r="BF12" s="94">
        <f>IF($A12="Baseline",'Emissions summary'!BC12,SUMIF('Net zero emission reductions'!$A$4:$A$1448,$A$12,'Net zero emission reductions'!AL$4:AL$1448))</f>
        <v>2.2792618341024249</v>
      </c>
      <c r="BG12" s="94">
        <f>IF($A12="Baseline",'Emissions summary'!BD12,SUMIF('Net zero emission reductions'!$A$4:$A$1448,$A$12,'Net zero emission reductions'!AM$4:AM$1448))</f>
        <v>2.1117180396943085</v>
      </c>
      <c r="BH12" s="94">
        <f>IF($A12="Baseline",'Emissions summary'!BE12,SUMIF('Net zero emission reductions'!$A$4:$A$1448,$A$12,'Net zero emission reductions'!AN$4:AN$1448))</f>
        <v>2.1467721861405487</v>
      </c>
      <c r="BI12" s="94">
        <f>IF($A12="Baseline",'Emissions summary'!BF12,SUMIF('Net zero emission reductions'!$A$4:$A$1448,$A$12,'Net zero emission reductions'!AO$4:AO$1448))</f>
        <v>2.1804972256635207</v>
      </c>
      <c r="BJ12" s="94">
        <f>IF($A12="Baseline",'Emissions summary'!BG12,SUMIF('Net zero emission reductions'!$A$4:$A$1448,$A$12,'Net zero emission reductions'!AP$4:AP$1448))</f>
        <v>2.2149930395083466</v>
      </c>
      <c r="BK12" s="94">
        <f>IF($A12="Baseline",'Emissions summary'!BH12,SUMIF('Net zero emission reductions'!$A$4:$A$1448,$A$12,'Net zero emission reductions'!AQ$4:AQ$1448))</f>
        <v>2.250812020293937</v>
      </c>
      <c r="BL12" s="94">
        <f>IF($A12="Baseline",'Emissions summary'!BI12,SUMIF('Net zero emission reductions'!$A$4:$A$1448,$A$12,'Net zero emission reductions'!AR$4:AR$1448))</f>
        <v>2.2881713562577919</v>
      </c>
      <c r="BM12" s="94">
        <f>IF($A12="Baseline",'Emissions summary'!BJ12,SUMIF('Net zero emission reductions'!$A$4:$A$1448,$A$12,'Net zero emission reductions'!AS$4:AS$1448))</f>
        <v>2.3305670830387459</v>
      </c>
      <c r="BN12" s="94">
        <f>IF($A12="Baseline",'Emissions summary'!BK12,SUMIF('Net zero emission reductions'!$A$4:$A$1448,$A$12,'Net zero emission reductions'!AT$4:AT$1448))</f>
        <v>2.359092826600945</v>
      </c>
      <c r="BO12" s="94">
        <f>IF($A12="Baseline",'Emissions summary'!BL12,SUMIF('Net zero emission reductions'!$A$4:$A$1448,$A$12,'Net zero emission reductions'!AU$4:AU$1448))</f>
        <v>2.3868804332817337</v>
      </c>
      <c r="BP12" s="94">
        <f>IF($A12="Baseline",'Emissions summary'!BM12,SUMIF('Net zero emission reductions'!$A$4:$A$1448,$A$12,'Net zero emission reductions'!AV$4:AV$1448))</f>
        <v>2.4154466862692932</v>
      </c>
      <c r="BQ12" s="94">
        <f>IF($A12="Baseline",'Emissions summary'!BN12,SUMIF('Net zero emission reductions'!$A$4:$A$1448,$A$12,'Net zero emission reductions'!AW$4:AW$1448))</f>
        <v>2.4441528681278823</v>
      </c>
    </row>
    <row r="13" spans="1:75" x14ac:dyDescent="0.2">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4.0981989112364794E-2</v>
      </c>
      <c r="AN13" s="27">
        <f>SUM('Net zero emission reductions'!T1399:T1400)</f>
        <v>4.1044401355160659E-2</v>
      </c>
      <c r="AO13" s="27">
        <f>SUM('Net zero emission reductions'!U1399:U1400)</f>
        <v>4.1114942125878427E-2</v>
      </c>
      <c r="AP13" s="27">
        <f>SUM('Net zero emission reductions'!V1399:V1400)</f>
        <v>4.1194518351813939E-2</v>
      </c>
      <c r="AQ13" s="27">
        <f>SUM('Net zero emission reductions'!W1399:W1400)</f>
        <v>4.1284035756567028E-2</v>
      </c>
      <c r="AR13" s="27">
        <f>SUM('Net zero emission reductions'!X1399:X1400)</f>
        <v>4.138162771259743E-2</v>
      </c>
      <c r="AS13" s="27">
        <f>SUM('Net zero emission reductions'!Y1399:Y1400)</f>
        <v>4.1440982340047908E-2</v>
      </c>
      <c r="AT13" s="27">
        <f>SUM('Net zero emission reductions'!Z1399:Z1400)</f>
        <v>4.150727804548713E-2</v>
      </c>
      <c r="AU13" s="27">
        <f>SUM('Net zero emission reductions'!AA1399:AA1400)</f>
        <v>4.1580028509685542E-2</v>
      </c>
      <c r="AV13" s="27">
        <f>SUM('Net zero emission reductions'!AB1399:AB1400)</f>
        <v>4.166088085441462E-2</v>
      </c>
      <c r="AW13" s="27">
        <f>SUM('Net zero emission reductions'!AC1399:AC1400)</f>
        <v>4.1747848534248712E-2</v>
      </c>
      <c r="AX13" s="27">
        <f>SUM('Net zero emission reductions'!AD1399:AD1400)</f>
        <v>4.1804675902797857E-2</v>
      </c>
      <c r="AY13" s="27">
        <f>SUM('Net zero emission reductions'!AE1399:AE1400)</f>
        <v>4.1868464877970198E-2</v>
      </c>
      <c r="AZ13" s="27">
        <f>SUM('Net zero emission reductions'!AF1399:AF1400)</f>
        <v>4.1938196419332177E-2</v>
      </c>
      <c r="BA13" s="27">
        <f>SUM('Net zero emission reductions'!AG1399:AG1400)</f>
        <v>4.2014594704360864E-2</v>
      </c>
      <c r="BB13" s="27">
        <f>SUM('Net zero emission reductions'!AH1399:AH1400)</f>
        <v>4.2093254172324908E-2</v>
      </c>
      <c r="BC13" s="27">
        <f>SUM('Net zero emission reductions'!AI1399:AI1400)</f>
        <v>4.2141462606484534E-2</v>
      </c>
      <c r="BD13" s="27">
        <f>SUM('Net zero emission reductions'!AJ1399:AJ1400)</f>
        <v>4.2194718420419136E-2</v>
      </c>
      <c r="BE13" s="27">
        <f>SUM('Net zero emission reductions'!AK1399:AK1400)</f>
        <v>4.2251664078572289E-2</v>
      </c>
      <c r="BF13" s="27">
        <f>SUM('Net zero emission reductions'!AL1399:AL1400)</f>
        <v>4.2312977074303301E-2</v>
      </c>
      <c r="BG13" s="27">
        <f>SUM('Net zero emission reductions'!AM1399:AM1400)</f>
        <v>4.2378103352724274E-2</v>
      </c>
      <c r="BH13" s="27">
        <f>SUM('Net zero emission reductions'!AN1399:AN1400)</f>
        <v>4.241587128252329E-2</v>
      </c>
      <c r="BI13" s="27">
        <f>SUM('Net zero emission reductions'!AO1399:AO1400)</f>
        <v>4.2456495574201815E-2</v>
      </c>
      <c r="BJ13" s="27">
        <f>SUM('Net zero emission reductions'!AP1399:AP1400)</f>
        <v>4.2500495409927883E-2</v>
      </c>
      <c r="BK13" s="27">
        <f>SUM('Net zero emission reductions'!AQ1399:AQ1400)</f>
        <v>4.2547931530851228E-2</v>
      </c>
      <c r="BL13" s="27">
        <f>SUM('Net zero emission reductions'!AR1399:AR1400)</f>
        <v>4.2598770776637186E-2</v>
      </c>
      <c r="BM13" s="27">
        <f>SUM('Net zero emission reductions'!AS1399:AS1400)</f>
        <v>4.2621503553024818E-2</v>
      </c>
      <c r="BN13" s="27">
        <f>SUM('Net zero emission reductions'!AT1399:AT1400)</f>
        <v>4.264266234225908E-2</v>
      </c>
      <c r="BO13" s="27">
        <f>SUM('Net zero emission reductions'!AU1399:AU1400)</f>
        <v>4.2666119010628348E-2</v>
      </c>
      <c r="BP13" s="27">
        <f>SUM('Net zero emission reductions'!AV1399:AV1400)</f>
        <v>4.2692249545723142E-2</v>
      </c>
      <c r="BQ13" s="27">
        <f>SUM('Net zero emission reductions'!AW1399:AW1400)</f>
        <v>4.2720784952005444E-2</v>
      </c>
    </row>
    <row r="14" spans="1:75" x14ac:dyDescent="0.2">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4.2381891563828093E-2</v>
      </c>
      <c r="AF14" s="27">
        <f>SUM('Net zero emission reductions'!L1401:L1402)</f>
        <v>4.2492064024381923E-2</v>
      </c>
      <c r="AG14" s="27">
        <f>SUM('Net zero emission reductions'!M1401:M1402)</f>
        <v>4.264404304035839E-2</v>
      </c>
      <c r="AH14" s="27">
        <f>SUM('Net zero emission reductions'!N1401:N1402)</f>
        <v>4.2829193619610274E-2</v>
      </c>
      <c r="AI14" s="27">
        <f>SUM('Net zero emission reductions'!O1401:O1402)</f>
        <v>4.3047251688384705E-2</v>
      </c>
      <c r="AJ14" s="27">
        <f>SUM('Net zero emission reductions'!P1401:P1402)</f>
        <v>4.3296890030905533E-2</v>
      </c>
      <c r="AK14" s="27">
        <f>SUM('Net zero emission reductions'!Q1401:Q1402)</f>
        <v>4.3565554612885068E-2</v>
      </c>
      <c r="AL14" s="27">
        <f>SUM('Net zero emission reductions'!R1401:R1402)</f>
        <v>4.3852181920952263E-2</v>
      </c>
      <c r="AM14" s="27">
        <f>SUM('Net zero emission reductions'!S1401:S1402)</f>
        <v>4.4115506745367489E-2</v>
      </c>
      <c r="AN14" s="27">
        <f>SUM('Net zero emission reductions'!T1401:T1402)</f>
        <v>4.4243697660951792E-2</v>
      </c>
      <c r="AO14" s="27">
        <f>SUM('Net zero emission reductions'!U1401:U1402)</f>
        <v>4.4381481286800709E-2</v>
      </c>
      <c r="AP14" s="27">
        <f>SUM('Net zero emission reductions'!V1401:V1402)</f>
        <v>4.4530542594583E-2</v>
      </c>
      <c r="AQ14" s="27">
        <f>SUM('Net zero emission reductions'!W1401:W1402)</f>
        <v>4.46925182365846E-2</v>
      </c>
      <c r="AR14" s="27">
        <f>SUM('Net zero emission reductions'!X1401:X1402)</f>
        <v>4.486452611530499E-2</v>
      </c>
      <c r="AS14" s="27">
        <f>SUM('Net zero emission reductions'!Y1401:Y1402)</f>
        <v>4.497205818831701E-2</v>
      </c>
      <c r="AT14" s="27">
        <f>SUM('Net zero emission reductions'!Z1401:Z1402)</f>
        <v>4.5088379415770867E-2</v>
      </c>
      <c r="AU14" s="27">
        <f>SUM('Net zero emission reductions'!AA1401:AA1402)</f>
        <v>4.5212805661889191E-2</v>
      </c>
      <c r="AV14" s="27">
        <f>SUM('Net zero emission reductions'!AB1401:AB1402)</f>
        <v>4.534806127027341E-2</v>
      </c>
      <c r="AW14" s="27">
        <f>SUM('Net zero emission reductions'!AC1401:AC1402)</f>
        <v>4.5491030490131361E-2</v>
      </c>
      <c r="AX14" s="27">
        <f>SUM('Net zero emission reductions'!AD1401:AD1402)</f>
        <v>4.5583975807031447E-2</v>
      </c>
      <c r="AY14" s="27">
        <f>SUM('Net zero emission reductions'!AE1401:AE1402)</f>
        <v>4.5686342852099562E-2</v>
      </c>
      <c r="AZ14" s="27">
        <f>SUM('Net zero emission reductions'!AF1401:AF1402)</f>
        <v>4.5796548650139657E-2</v>
      </c>
      <c r="BA14" s="27">
        <f>SUM('Net zero emission reductions'!AG1401:AG1402)</f>
        <v>4.5915779189276515E-2</v>
      </c>
      <c r="BB14" s="27">
        <f>SUM('Net zero emission reductions'!AH1401:AH1402)</f>
        <v>4.603709147689998E-2</v>
      </c>
      <c r="BC14" s="27">
        <f>SUM('Net zero emission reductions'!AI1401:AI1402)</f>
        <v>4.6108900843498113E-2</v>
      </c>
      <c r="BD14" s="27">
        <f>SUM('Net zero emission reductions'!AJ1401:AJ1402)</f>
        <v>4.618749063770225E-2</v>
      </c>
      <c r="BE14" s="27">
        <f>SUM('Net zero emission reductions'!AK1401:AK1402)</f>
        <v>4.6270745650798605E-2</v>
      </c>
      <c r="BF14" s="27">
        <f>SUM('Net zero emission reductions'!AL1401:AL1402)</f>
        <v>4.6359757707036139E-2</v>
      </c>
      <c r="BG14" s="27">
        <f>SUM('Net zero emission reductions'!AM1401:AM1402)</f>
        <v>4.6453677329398993E-2</v>
      </c>
      <c r="BH14" s="27">
        <f>SUM('Net zero emission reductions'!AN1401:AN1402)</f>
        <v>4.650375784381168E-2</v>
      </c>
      <c r="BI14" s="27">
        <f>SUM('Net zero emission reductions'!AO1401:AO1402)</f>
        <v>4.6557459407987514E-2</v>
      </c>
      <c r="BJ14" s="27">
        <f>SUM('Net zero emission reductions'!AP1401:AP1402)</f>
        <v>4.6615610455026865E-2</v>
      </c>
      <c r="BK14" s="27">
        <f>SUM('Net zero emission reductions'!AQ1401:AQ1402)</f>
        <v>4.6678318090154054E-2</v>
      </c>
      <c r="BL14" s="27">
        <f>SUM('Net zero emission reductions'!AR1401:AR1402)</f>
        <v>4.6745540913925965E-2</v>
      </c>
      <c r="BM14" s="27">
        <f>SUM('Net zero emission reductions'!AS1401:AS1402)</f>
        <v>4.6768408532978589E-2</v>
      </c>
      <c r="BN14" s="27">
        <f>SUM('Net zero emission reductions'!AT1401:AT1402)</f>
        <v>4.6788258656341709E-2</v>
      </c>
      <c r="BO14" s="27">
        <f>SUM('Net zero emission reductions'!AU1401:AU1402)</f>
        <v>4.681111771154027E-2</v>
      </c>
      <c r="BP14" s="27">
        <f>SUM('Net zero emission reductions'!AV1401:AV1402)</f>
        <v>4.6837575039796131E-2</v>
      </c>
      <c r="BQ14" s="27">
        <f>SUM('Net zero emission reductions'!AW1401:AW1402)</f>
        <v>4.6867220969620725E-2</v>
      </c>
    </row>
    <row r="15" spans="1:75" x14ac:dyDescent="0.2">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4.1336182129460544E-3</v>
      </c>
      <c r="AF15" s="27">
        <f>'Net zero emission reductions'!L1403</f>
        <v>4.1536453250924079E-3</v>
      </c>
      <c r="AG15" s="27">
        <f>'Net zero emission reductions'!M1403</f>
        <v>4.1840370126470534E-3</v>
      </c>
      <c r="AH15" s="27">
        <f>'Net zero emission reductions'!N1403</f>
        <v>4.1905340987284569E-3</v>
      </c>
      <c r="AI15" s="27">
        <f>'Net zero emission reductions'!O1403</f>
        <v>4.1812329246154597E-3</v>
      </c>
      <c r="AJ15" s="27">
        <f>'Net zero emission reductions'!P1403</f>
        <v>4.1564738854214548E-3</v>
      </c>
      <c r="AK15" s="27">
        <f>'Net zero emission reductions'!Q1403</f>
        <v>4.1427460620707141E-3</v>
      </c>
      <c r="AL15" s="27">
        <f>'Net zero emission reductions'!R1403</f>
        <v>4.1304087921358321E-3</v>
      </c>
      <c r="AM15" s="27">
        <f>'Net zero emission reductions'!S1403</f>
        <v>3.9117464794758833E-3</v>
      </c>
      <c r="AN15" s="27">
        <f>'Net zero emission reductions'!T1403</f>
        <v>3.9662100660725645E-3</v>
      </c>
      <c r="AO15" s="27">
        <f>'Net zero emission reductions'!U1403</f>
        <v>4.0029759542347092E-3</v>
      </c>
      <c r="AP15" s="27">
        <f>'Net zero emission reductions'!V1403</f>
        <v>4.034929903088018E-3</v>
      </c>
      <c r="AQ15" s="27">
        <f>'Net zero emission reductions'!W1403</f>
        <v>4.0740603707179208E-3</v>
      </c>
      <c r="AR15" s="27">
        <f>'Net zero emission reductions'!X1403</f>
        <v>4.1088191524981379E-3</v>
      </c>
      <c r="AS15" s="27">
        <f>'Net zero emission reductions'!Y1403</f>
        <v>4.1408340108354943E-3</v>
      </c>
      <c r="AT15" s="27">
        <f>'Net zero emission reductions'!Z1403</f>
        <v>4.1700941792835473E-3</v>
      </c>
      <c r="AU15" s="27">
        <f>'Net zero emission reductions'!AA1403</f>
        <v>4.1955947055446379E-3</v>
      </c>
      <c r="AV15" s="27">
        <f>'Net zero emission reductions'!AB1403</f>
        <v>4.2332253987930647E-3</v>
      </c>
      <c r="AW15" s="27">
        <f>'Net zero emission reductions'!AC1403</f>
        <v>4.2692111275798939E-3</v>
      </c>
      <c r="AX15" s="27">
        <f>'Net zero emission reductions'!AD1403</f>
        <v>4.3131543062035933E-3</v>
      </c>
      <c r="AY15" s="27">
        <f>'Net zero emission reductions'!AE1403</f>
        <v>4.3689426306597803E-3</v>
      </c>
      <c r="AZ15" s="27">
        <f>'Net zero emission reductions'!AF1403</f>
        <v>4.4301694396255923E-3</v>
      </c>
      <c r="BA15" s="27">
        <f>'Net zero emission reductions'!AG1403</f>
        <v>4.5040980436008553E-3</v>
      </c>
      <c r="BB15" s="27">
        <f>'Net zero emission reductions'!AH1403</f>
        <v>4.5574968938879535E-3</v>
      </c>
      <c r="BC15" s="27">
        <f>'Net zero emission reductions'!AI1403</f>
        <v>4.6111863100883922E-3</v>
      </c>
      <c r="BD15" s="27">
        <f>'Net zero emission reductions'!AJ1403</f>
        <v>4.6712172844787037E-3</v>
      </c>
      <c r="BE15" s="27">
        <f>'Net zero emission reductions'!AK1403</f>
        <v>4.7281971529271986E-3</v>
      </c>
      <c r="BF15" s="27">
        <f>'Net zero emission reductions'!AL1403</f>
        <v>4.7885111366995289E-3</v>
      </c>
      <c r="BG15" s="27">
        <f>'Net zero emission reductions'!AM1403</f>
        <v>4.8488762620845097E-3</v>
      </c>
      <c r="BH15" s="27">
        <f>'Net zero emission reductions'!AN1403</f>
        <v>4.9227254913748455E-3</v>
      </c>
      <c r="BI15" s="27">
        <f>'Net zero emission reductions'!AO1403</f>
        <v>4.9927458490609099E-3</v>
      </c>
      <c r="BJ15" s="27">
        <f>'Net zero emission reductions'!AP1403</f>
        <v>5.0638022559314124E-3</v>
      </c>
      <c r="BK15" s="27">
        <f>'Net zero emission reductions'!AQ1403</f>
        <v>5.1371515240319849E-3</v>
      </c>
      <c r="BL15" s="27">
        <f>'Net zero emission reductions'!AR1403</f>
        <v>5.2132674563810976E-3</v>
      </c>
      <c r="BM15" s="27">
        <f>'Net zero emission reductions'!AS1403</f>
        <v>5.3054774767517902E-3</v>
      </c>
      <c r="BN15" s="27">
        <f>'Net zero emission reductions'!AT1403</f>
        <v>5.3653290852350754E-3</v>
      </c>
      <c r="BO15" s="27">
        <f>'Net zero emission reductions'!AU1403</f>
        <v>5.4229477307266892E-3</v>
      </c>
      <c r="BP15" s="27">
        <f>'Net zero emission reductions'!AV1403</f>
        <v>5.4817978053370176E-3</v>
      </c>
      <c r="BQ15" s="27">
        <f>'Net zero emission reductions'!AW1403</f>
        <v>5.5404187134472614E-3</v>
      </c>
    </row>
    <row r="16" spans="1:75" x14ac:dyDescent="0.2">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2">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23.356983369641057</v>
      </c>
      <c r="AF17" s="94">
        <f>IF($A17="Baseline",'Emissions summary'!AC17,SUMIF('Net zero emission reductions'!$A$4:$A$1448,$A$17,'Net zero emission reductions'!L$4:L$1448))</f>
        <v>23.230022629492609</v>
      </c>
      <c r="AG17" s="94">
        <f>IF($A17="Baseline",'Emissions summary'!AD17,SUMIF('Net zero emission reductions'!$A$4:$A$1448,$A$17,'Net zero emission reductions'!M$4:M$1448))</f>
        <v>23.240443173173269</v>
      </c>
      <c r="AH17" s="94">
        <f>IF($A17="Baseline",'Emissions summary'!AE17,SUMIF('Net zero emission reductions'!$A$4:$A$1448,$A$17,'Net zero emission reductions'!N$4:N$1448))</f>
        <v>23.027078095723407</v>
      </c>
      <c r="AI17" s="94">
        <f>IF($A17="Baseline",'Emissions summary'!AF17,SUMIF('Net zero emission reductions'!$A$4:$A$1448,$A$17,'Net zero emission reductions'!O$4:O$1448))</f>
        <v>22.678603712158679</v>
      </c>
      <c r="AJ17" s="94">
        <f>IF($A17="Baseline",'Emissions summary'!AG17,SUMIF('Net zero emission reductions'!$A$4:$A$1448,$A$17,'Net zero emission reductions'!P$4:P$1448))</f>
        <v>22.200590754973586</v>
      </c>
      <c r="AK17" s="94">
        <f>IF($A17="Baseline",'Emissions summary'!AH17,SUMIF('Net zero emission reductions'!$A$4:$A$1448,$A$17,'Net zero emission reductions'!Q$4:Q$1448))</f>
        <v>21.853500337777181</v>
      </c>
      <c r="AL17" s="94">
        <f>IF($A17="Baseline",'Emissions summary'!AI17,SUMIF('Net zero emission reductions'!$A$4:$A$1448,$A$17,'Net zero emission reductions'!R$4:R$1448))</f>
        <v>21.537122767694914</v>
      </c>
      <c r="AM17" s="94">
        <f>IF($A17="Baseline",'Emissions summary'!AJ17,SUMIF('Net zero emission reductions'!$A$4:$A$1448,$A$17,'Net zero emission reductions'!S$4:S$1448))</f>
        <v>19.189445401159503</v>
      </c>
      <c r="AN17" s="94">
        <f>IF($A17="Baseline",'Emissions summary'!AK17,SUMIF('Net zero emission reductions'!$A$4:$A$1448,$A$17,'Net zero emission reductions'!T$4:T$1448))</f>
        <v>17.936833390891017</v>
      </c>
      <c r="AO17" s="94">
        <f>IF($A17="Baseline",'Emissions summary'!AL17,SUMIF('Net zero emission reductions'!$A$4:$A$1448,$A$17,'Net zero emission reductions'!U$4:U$1448))</f>
        <v>16.491589501163954</v>
      </c>
      <c r="AP17" s="94">
        <f>IF($A17="Baseline",'Emissions summary'!AM17,SUMIF('Net zero emission reductions'!$A$4:$A$1448,$A$17,'Net zero emission reductions'!V$4:V$1448))</f>
        <v>14.99301168971815</v>
      </c>
      <c r="AQ17" s="94">
        <f>IF($A17="Baseline",'Emissions summary'!AN17,SUMIF('Net zero emission reductions'!$A$4:$A$1448,$A$17,'Net zero emission reductions'!W$4:W$1448))</f>
        <v>13.529718974612299</v>
      </c>
      <c r="AR17" s="94">
        <f>IF($A17="Baseline",'Emissions summary'!AO17,SUMIF('Net zero emission reductions'!$A$4:$A$1448,$A$17,'Net zero emission reductions'!X$4:X$1448))</f>
        <v>12.017878768756635</v>
      </c>
      <c r="AS17" s="94">
        <f>IF($A17="Baseline",'Emissions summary'!AP17,SUMIF('Net zero emission reductions'!$A$4:$A$1448,$A$17,'Net zero emission reductions'!Y$4:Y$1448))</f>
        <v>10.458937121878229</v>
      </c>
      <c r="AT17" s="94">
        <f>IF($A17="Baseline",'Emissions summary'!AQ17,SUMIF('Net zero emission reductions'!$A$4:$A$1448,$A$17,'Net zero emission reductions'!Z$4:Z$1448))</f>
        <v>8.8799494982598777</v>
      </c>
      <c r="AU17" s="94">
        <f>IF($A17="Baseline",'Emissions summary'!AR17,SUMIF('Net zero emission reductions'!$A$4:$A$1448,$A$17,'Net zero emission reductions'!AA$4:AA$1448))</f>
        <v>7.2833965465155384</v>
      </c>
      <c r="AV17" s="94">
        <f>IF($A17="Baseline",'Emissions summary'!AS17,SUMIF('Net zero emission reductions'!$A$4:$A$1448,$A$17,'Net zero emission reductions'!AB$4:AB$1448))</f>
        <v>5.7176245863830379</v>
      </c>
      <c r="AW17" s="94">
        <f>IF($A17="Baseline",'Emissions summary'!AT17,SUMIF('Net zero emission reductions'!$A$4:$A$1448,$A$17,'Net zero emission reductions'!AC$4:AC$1448))</f>
        <v>4.1302829007387301</v>
      </c>
      <c r="AX17" s="94">
        <f>IF($A17="Baseline",'Emissions summary'!AU17,SUMIF('Net zero emission reductions'!$A$4:$A$1448,$A$17,'Net zero emission reductions'!AD$4:AD$1448))</f>
        <v>3.7531410500327707</v>
      </c>
      <c r="AY17" s="94">
        <f>IF($A17="Baseline",'Emissions summary'!AV17,SUMIF('Net zero emission reductions'!$A$4:$A$1448,$A$17,'Net zero emission reductions'!AE$4:AE$1448))</f>
        <v>3.3866953560999042</v>
      </c>
      <c r="AZ17" s="94">
        <f>IF($A17="Baseline",'Emissions summary'!AW17,SUMIF('Net zero emission reductions'!$A$4:$A$1448,$A$17,'Net zero emission reductions'!AF$4:AF$1448))</f>
        <v>3.0164822453253852</v>
      </c>
      <c r="BA17" s="94">
        <f>IF($A17="Baseline",'Emissions summary'!AX17,SUMIF('Net zero emission reductions'!$A$4:$A$1448,$A$17,'Net zero emission reductions'!AG$4:AG$1448))</f>
        <v>2.6474359606120279</v>
      </c>
      <c r="BB17" s="94">
        <f>IF($A17="Baseline",'Emissions summary'!AY17,SUMIF('Net zero emission reductions'!$A$4:$A$1448,$A$17,'Net zero emission reductions'!AH$4:AH$1448))</f>
        <v>2.2439901343386728</v>
      </c>
      <c r="BC17" s="94">
        <f>IF($A17="Baseline",'Emissions summary'!AZ17,SUMIF('Net zero emission reductions'!$A$4:$A$1448,$A$17,'Net zero emission reductions'!AI$4:AI$1448))</f>
        <v>1.8298546561723039</v>
      </c>
      <c r="BD17" s="94">
        <f>IF($A17="Baseline",'Emissions summary'!BA17,SUMIF('Net zero emission reductions'!$A$4:$A$1448,$A$17,'Net zero emission reductions'!AJ$4:AJ$1448))</f>
        <v>1.4113991179818872</v>
      </c>
      <c r="BE17" s="94">
        <f>IF($A17="Baseline",'Emissions summary'!BB17,SUMIF('Net zero emission reductions'!$A$4:$A$1448,$A$17,'Net zero emission reductions'!AK$4:AK$1448))</f>
        <v>0.9823293011461004</v>
      </c>
      <c r="BF17" s="94">
        <f>IF($A17="Baseline",'Emissions summary'!BC17,SUMIF('Net zero emission reductions'!$A$4:$A$1448,$A$17,'Net zero emission reductions'!AL$4:AL$1448))</f>
        <v>0.54574428668630848</v>
      </c>
      <c r="BG17" s="94">
        <f>IF($A17="Baseline",'Emissions summary'!BD17,SUMIF('Net zero emission reductions'!$A$4:$A$1448,$A$17,'Net zero emission reductions'!AM$4:AM$1448))</f>
        <v>0.10024059515551142</v>
      </c>
      <c r="BH17" s="94">
        <f>IF($A17="Baseline",'Emissions summary'!BE17,SUMIF('Net zero emission reductions'!$A$4:$A$1448,$A$17,'Net zero emission reductions'!AN$4:AN$1448))</f>
        <v>0.10153922314554113</v>
      </c>
      <c r="BI17" s="94">
        <f>IF($A17="Baseline",'Emissions summary'!BF17,SUMIF('Net zero emission reductions'!$A$4:$A$1448,$A$17,'Net zero emission reductions'!AO$4:AO$1448))</f>
        <v>0.10266690828719094</v>
      </c>
      <c r="BJ17" s="94">
        <f>IF($A17="Baseline",'Emissions summary'!BG17,SUMIF('Net zero emission reductions'!$A$4:$A$1448,$A$17,'Net zero emission reductions'!AP$4:AP$1448))</f>
        <v>0.10379359124550125</v>
      </c>
      <c r="BK17" s="94">
        <f>IF($A17="Baseline",'Emissions summary'!BH17,SUMIF('Net zero emission reductions'!$A$4:$A$1448,$A$17,'Net zero emission reductions'!AQ$4:AQ$1448))</f>
        <v>0.10496028924198238</v>
      </c>
      <c r="BL17" s="94">
        <f>IF($A17="Baseline",'Emissions summary'!BI17,SUMIF('Net zero emission reductions'!$A$4:$A$1448,$A$17,'Net zero emission reductions'!AR$4:AR$1448))</f>
        <v>0.10618011710005634</v>
      </c>
      <c r="BM17" s="94">
        <f>IF($A17="Baseline",'Emissions summary'!BJ17,SUMIF('Net zero emission reductions'!$A$4:$A$1448,$A$17,'Net zero emission reductions'!AS$4:AS$1448))</f>
        <v>0.10776979331847385</v>
      </c>
      <c r="BN17" s="94">
        <f>IF($A17="Baseline",'Emissions summary'!BK17,SUMIF('Net zero emission reductions'!$A$4:$A$1448,$A$17,'Net zero emission reductions'!AT$4:AT$1448))</f>
        <v>0.10826210258533073</v>
      </c>
      <c r="BO17" s="94">
        <f>IF($A17="Baseline",'Emissions summary'!BL17,SUMIF('Net zero emission reductions'!$A$4:$A$1448,$A$17,'Net zero emission reductions'!AU$4:AU$1448))</f>
        <v>0.10865531725347792</v>
      </c>
      <c r="BP17" s="94">
        <f>IF($A17="Baseline",'Emissions summary'!BM17,SUMIF('Net zero emission reductions'!$A$4:$A$1448,$A$17,'Net zero emission reductions'!AV$4:AV$1448))</f>
        <v>0.10906083550045299</v>
      </c>
      <c r="BQ17" s="94">
        <f>IF($A17="Baseline",'Emissions summary'!BN17,SUMIF('Net zero emission reductions'!$A$4:$A$1448,$A$17,'Net zero emission reductions'!AW$4:AW$1448))</f>
        <v>0.10943197076001256</v>
      </c>
    </row>
    <row r="18" spans="1:72" x14ac:dyDescent="0.2">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2.9232175341370548</v>
      </c>
      <c r="AG18" s="94">
        <f>IF($A18="Baseline",'Emissions summary'!AD18,SUMIF('Net zero emission reductions'!$A$4:$A$1448,$A$18,'Net zero emission reductions'!M$4:M$1448))</f>
        <v>2.9856726990921141</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2.9805084686213323</v>
      </c>
      <c r="AL18" s="94">
        <f>IF($A18="Baseline",'Emissions summary'!AI18,SUMIF('Net zero emission reductions'!$A$4:$A$1448,$A$18,'Net zero emission reductions'!R$4:R$1448))</f>
        <v>2.9788681664379326</v>
      </c>
      <c r="AM18" s="94">
        <f>IF($A18="Baseline",'Emissions summary'!AJ18,SUMIF('Net zero emission reductions'!$A$4:$A$1448,$A$18,'Net zero emission reductions'!S$4:S$1448))</f>
        <v>2.6145691076838586</v>
      </c>
      <c r="AN18" s="94">
        <f>IF($A18="Baseline",'Emissions summary'!AK18,SUMIF('Net zero emission reductions'!$A$4:$A$1448,$A$18,'Net zero emission reductions'!T$4:T$1448))</f>
        <v>2.6930924498451176</v>
      </c>
      <c r="AO18" s="94">
        <f>IF($A18="Baseline",'Emissions summary'!AL18,SUMIF('Net zero emission reductions'!$A$4:$A$1448,$A$18,'Net zero emission reductions'!U$4:U$1448))</f>
        <v>2.740455957039865</v>
      </c>
      <c r="AP18" s="94">
        <f>IF($A18="Baseline",'Emissions summary'!AM18,SUMIF('Net zero emission reductions'!$A$4:$A$1448,$A$18,'Net zero emission reductions'!V$4:V$1448))</f>
        <v>2.7793640909071615</v>
      </c>
      <c r="AQ18" s="94">
        <f>IF($A18="Baseline",'Emissions summary'!AN18,SUMIF('Net zero emission reductions'!$A$4:$A$1448,$A$18,'Net zero emission reductions'!W$4:W$1448))</f>
        <v>2.8308657900895864</v>
      </c>
      <c r="AR18" s="94">
        <f>IF($A18="Baseline",'Emissions summary'!AO18,SUMIF('Net zero emission reductions'!$A$4:$A$1448,$A$18,'Net zero emission reductions'!X$4:X$1448))</f>
        <v>2.874655238864825</v>
      </c>
      <c r="AS18" s="94">
        <f>IF($A18="Baseline",'Emissions summary'!AP18,SUMIF('Net zero emission reductions'!$A$4:$A$1448,$A$18,'Net zero emission reductions'!Y$4:Y$1448))</f>
        <v>2.9091664041508554</v>
      </c>
      <c r="AT18" s="94">
        <f>IF($A18="Baseline",'Emissions summary'!AQ18,SUMIF('Net zero emission reductions'!$A$4:$A$1448,$A$18,'Net zero emission reductions'!Z$4:Z$1448))</f>
        <v>2.9386687430733476</v>
      </c>
      <c r="AU18" s="94">
        <f>IF($A18="Baseline",'Emissions summary'!AR18,SUMIF('Net zero emission reductions'!$A$4:$A$1448,$A$18,'Net zero emission reductions'!AA$4:AA$1448))</f>
        <v>2.9614137514559427</v>
      </c>
      <c r="AV18" s="94">
        <f>IF($A18="Baseline",'Emissions summary'!AS18,SUMIF('Net zero emission reductions'!$A$4:$A$1448,$A$18,'Net zero emission reductions'!AB$4:AB$1448))</f>
        <v>3.0051156807628869</v>
      </c>
      <c r="AW18" s="94">
        <f>IF($A18="Baseline",'Emissions summary'!AT18,SUMIF('Net zero emission reductions'!$A$4:$A$1448,$A$18,'Net zero emission reductions'!AC$4:AC$1448))</f>
        <v>3.0456812631581291</v>
      </c>
      <c r="AX18" s="94">
        <f>IF($A18="Baseline",'Emissions summary'!AU18,SUMIF('Net zero emission reductions'!$A$4:$A$1448,$A$18,'Net zero emission reductions'!AD$4:AD$1448))</f>
        <v>3.1195530030813101</v>
      </c>
      <c r="AY18" s="94">
        <f>IF($A18="Baseline",'Emissions summary'!AV18,SUMIF('Net zero emission reductions'!$A$4:$A$1448,$A$18,'Net zero emission reductions'!AE$4:AE$1448))</f>
        <v>3.2145157253179848</v>
      </c>
      <c r="AZ18" s="94">
        <f>IF($A18="Baseline",'Emissions summary'!AW18,SUMIF('Net zero emission reductions'!$A$4:$A$1448,$A$18,'Net zero emission reductions'!AF$4:AF$1448))</f>
        <v>3.3194528491440409</v>
      </c>
      <c r="BA18" s="94">
        <f>IF($A18="Baseline",'Emissions summary'!AX18,SUMIF('Net zero emission reductions'!$A$4:$A$1448,$A$18,'Net zero emission reductions'!AG$4:AG$1448))</f>
        <v>3.4470921159104742</v>
      </c>
      <c r="BB18" s="94">
        <f>IF($A18="Baseline",'Emissions summary'!AY18,SUMIF('Net zero emission reductions'!$A$4:$A$1448,$A$18,'Net zero emission reductions'!AH$4:AH$1448))</f>
        <v>3.5394245772640458</v>
      </c>
      <c r="BC18" s="94">
        <f>IF($A18="Baseline",'Emissions summary'!AZ18,SUMIF('Net zero emission reductions'!$A$4:$A$1448,$A$18,'Net zero emission reductions'!AI$4:AI$1448))</f>
        <v>3.628685520281044</v>
      </c>
      <c r="BD18" s="94">
        <f>IF($A18="Baseline",'Emissions summary'!BA18,SUMIF('Net zero emission reductions'!$A$4:$A$1448,$A$18,'Net zero emission reductions'!AJ$4:AJ$1448))</f>
        <v>3.729346686112244</v>
      </c>
      <c r="BE18" s="94">
        <f>IF($A18="Baseline",'Emissions summary'!BB18,SUMIF('Net zero emission reductions'!$A$4:$A$1448,$A$18,'Net zero emission reductions'!AK$4:AK$1448))</f>
        <v>3.8249977933684773</v>
      </c>
      <c r="BF18" s="94">
        <f>IF($A18="Baseline",'Emissions summary'!BC18,SUMIF('Net zero emission reductions'!$A$4:$A$1448,$A$18,'Net zero emission reductions'!AL$4:AL$1448))</f>
        <v>3.9268167586719067</v>
      </c>
      <c r="BG18" s="94">
        <f>IF($A18="Baseline",'Emissions summary'!BD18,SUMIF('Net zero emission reductions'!$A$4:$A$1448,$A$18,'Net zero emission reductions'!AM$4:AM$1448))</f>
        <v>4.029074997281934</v>
      </c>
      <c r="BH18" s="94">
        <f>IF($A18="Baseline",'Emissions summary'!BE18,SUMIF('Net zero emission reductions'!$A$4:$A$1448,$A$18,'Net zero emission reductions'!AN$4:AN$1448))</f>
        <v>4.1606694725047486</v>
      </c>
      <c r="BI18" s="94">
        <f>IF($A18="Baseline",'Emissions summary'!BF18,SUMIF('Net zero emission reductions'!$A$4:$A$1448,$A$18,'Net zero emission reductions'!AO$4:AO$1448))</f>
        <v>4.2861025516779119</v>
      </c>
      <c r="BJ18" s="94">
        <f>IF($A18="Baseline",'Emissions summary'!BG18,SUMIF('Net zero emission reductions'!$A$4:$A$1448,$A$18,'Net zero emission reductions'!AP$4:AP$1448))</f>
        <v>4.4139116284950086</v>
      </c>
      <c r="BK18" s="94">
        <f>IF($A18="Baseline",'Emissions summary'!BH18,SUMIF('Net zero emission reductions'!$A$4:$A$1448,$A$18,'Net zero emission reductions'!AQ$4:AQ$1448))</f>
        <v>4.5463257919107605</v>
      </c>
      <c r="BL18" s="94">
        <f>IF($A18="Baseline",'Emissions summary'!BI18,SUMIF('Net zero emission reductions'!$A$4:$A$1448,$A$18,'Net zero emission reductions'!AR$4:AR$1448))</f>
        <v>4.6842070506632831</v>
      </c>
      <c r="BM18" s="94">
        <f>IF($A18="Baseline",'Emissions summary'!BJ18,SUMIF('Net zero emission reductions'!$A$4:$A$1448,$A$18,'Net zero emission reductions'!AS$4:AS$1448))</f>
        <v>4.8459191853719608</v>
      </c>
      <c r="BN18" s="94">
        <f>IF($A18="Baseline",'Emissions summary'!BK18,SUMIF('Net zero emission reductions'!$A$4:$A$1448,$A$18,'Net zero emission reductions'!AT$4:AT$1448))</f>
        <v>4.9511521359025537</v>
      </c>
      <c r="BO18" s="94">
        <f>IF($A18="Baseline",'Emissions summary'!BL18,SUMIF('Net zero emission reductions'!$A$4:$A$1448,$A$18,'Net zero emission reductions'!AU$4:AU$1448))</f>
        <v>5.0528333995657304</v>
      </c>
      <c r="BP18" s="94">
        <f>IF($A18="Baseline",'Emissions summary'!BM18,SUMIF('Net zero emission reductions'!$A$4:$A$1448,$A$18,'Net zero emission reductions'!AV$4:AV$1448))</f>
        <v>5.1570575014373565</v>
      </c>
      <c r="BQ18" s="94">
        <f>IF($A18="Baseline",'Emissions summary'!BN18,SUMIF('Net zero emission reductions'!$A$4:$A$1448,$A$18,'Net zero emission reductions'!AW$4:AW$1448))</f>
        <v>5.2612688787451525</v>
      </c>
    </row>
    <row r="19" spans="1:72" s="19" customFormat="1" ht="16" x14ac:dyDescent="0.2">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5.1994200766582486</v>
      </c>
      <c r="AF19" s="40">
        <f t="shared" ref="AF19:BQ19" si="13">SUM(AF20:AF26)</f>
        <v>5.2527414367903065</v>
      </c>
      <c r="AG19" s="40">
        <f t="shared" si="13"/>
        <v>5.3365378743462077</v>
      </c>
      <c r="AH19" s="40">
        <f t="shared" si="13"/>
        <v>5.3665755836071112</v>
      </c>
      <c r="AI19" s="40">
        <f t="shared" si="13"/>
        <v>5.3622649672773743</v>
      </c>
      <c r="AJ19" s="40">
        <f t="shared" si="13"/>
        <v>5.3238634740042308</v>
      </c>
      <c r="AK19" s="40">
        <f t="shared" si="13"/>
        <v>5.3145192594478221</v>
      </c>
      <c r="AL19" s="40">
        <f t="shared" si="13"/>
        <v>5.3105434668737495</v>
      </c>
      <c r="AM19" s="40">
        <f t="shared" si="13"/>
        <v>4.7905394322476882</v>
      </c>
      <c r="AN19" s="40">
        <f t="shared" si="13"/>
        <v>4.9411865605058631</v>
      </c>
      <c r="AO19" s="40">
        <f t="shared" si="13"/>
        <v>5.0492893986432819</v>
      </c>
      <c r="AP19" s="40">
        <f t="shared" si="13"/>
        <v>5.1470894546257329</v>
      </c>
      <c r="AQ19" s="40">
        <f t="shared" si="13"/>
        <v>5.2648859688992609</v>
      </c>
      <c r="AR19" s="40">
        <f t="shared" si="13"/>
        <v>5.3734637358553687</v>
      </c>
      <c r="AS19" s="40">
        <f t="shared" si="13"/>
        <v>5.4679180819333331</v>
      </c>
      <c r="AT19" s="40">
        <f t="shared" si="13"/>
        <v>5.5567944476377873</v>
      </c>
      <c r="AU19" s="40">
        <f t="shared" si="13"/>
        <v>5.6374662148781791</v>
      </c>
      <c r="AV19" s="40">
        <f t="shared" si="13"/>
        <v>5.750658083568494</v>
      </c>
      <c r="AW19" s="40">
        <f t="shared" si="13"/>
        <v>5.8611456921254899</v>
      </c>
      <c r="AX19" s="40">
        <f t="shared" si="13"/>
        <v>5.9802101685920928</v>
      </c>
      <c r="AY19" s="40">
        <f t="shared" si="13"/>
        <v>6.1310155874592489</v>
      </c>
      <c r="AZ19" s="40">
        <f t="shared" si="13"/>
        <v>6.2971327679343183</v>
      </c>
      <c r="BA19" s="40">
        <f t="shared" si="13"/>
        <v>6.4974096282035507</v>
      </c>
      <c r="BB19" s="40">
        <f t="shared" si="13"/>
        <v>6.6460342573559608</v>
      </c>
      <c r="BC19" s="40">
        <f t="shared" si="13"/>
        <v>6.7886549830140037</v>
      </c>
      <c r="BD19" s="40">
        <f t="shared" si="13"/>
        <v>6.9487315605573245</v>
      </c>
      <c r="BE19" s="40">
        <f t="shared" si="13"/>
        <v>7.1019849183376209</v>
      </c>
      <c r="BF19" s="40">
        <f t="shared" si="13"/>
        <v>7.2649805500945632</v>
      </c>
      <c r="BG19" s="40">
        <f t="shared" si="13"/>
        <v>7.4292502512181002</v>
      </c>
      <c r="BH19" s="40">
        <f t="shared" si="13"/>
        <v>7.6246548912842496</v>
      </c>
      <c r="BI19" s="40">
        <f t="shared" si="13"/>
        <v>7.8110583956774757</v>
      </c>
      <c r="BJ19" s="40">
        <f t="shared" si="13"/>
        <v>8.0011156347469967</v>
      </c>
      <c r="BK19" s="40">
        <f t="shared" si="13"/>
        <v>8.1981281322773416</v>
      </c>
      <c r="BL19" s="40">
        <f t="shared" si="13"/>
        <v>8.4033712720174361</v>
      </c>
      <c r="BM19" s="40">
        <f t="shared" si="13"/>
        <v>8.6421109105714056</v>
      </c>
      <c r="BN19" s="40">
        <f t="shared" si="13"/>
        <v>8.7974252582046937</v>
      </c>
      <c r="BO19" s="40">
        <f t="shared" si="13"/>
        <v>8.9476578483512466</v>
      </c>
      <c r="BP19" s="40">
        <f t="shared" si="13"/>
        <v>9.1018278116493097</v>
      </c>
      <c r="BQ19" s="40">
        <f t="shared" si="13"/>
        <v>9.2561581300939082</v>
      </c>
      <c r="BT19"/>
    </row>
    <row r="20" spans="1:72" x14ac:dyDescent="0.2">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2.6405154397771442</v>
      </c>
      <c r="AF20" s="27">
        <f>SUM('Net zero emission reductions'!L1411:L1416)</f>
        <v>2.6638547658757203</v>
      </c>
      <c r="AG20" s="27">
        <f>SUM('Net zero emission reductions'!M1411:M1416)</f>
        <v>2.7012838960025101</v>
      </c>
      <c r="AH20" s="27">
        <f>SUM('Net zero emission reductions'!N1411:N1416)</f>
        <v>2.7146557268578313</v>
      </c>
      <c r="AI20" s="27">
        <f>SUM('Net zero emission reductions'!O1411:O1416)</f>
        <v>2.7128512798971718</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2.4596742788857222</v>
      </c>
      <c r="AN20" s="27">
        <f>SUM('Net zero emission reductions'!T1411:T1416)</f>
        <v>2.5305337282133693</v>
      </c>
      <c r="AO20" s="27">
        <f>SUM('Net zero emission reductions'!U1411:U1416)</f>
        <v>2.5824283962707844</v>
      </c>
      <c r="AP20" s="27">
        <f>SUM('Net zero emission reductions'!V1411:V1416)</f>
        <v>2.6297989968705249</v>
      </c>
      <c r="AQ20" s="27">
        <f>SUM('Net zero emission reductions'!W1411:W1416)</f>
        <v>2.6862323320164907</v>
      </c>
      <c r="AR20" s="27">
        <f>SUM('Net zero emission reductions'!X1411:X1416)</f>
        <v>2.7386243682794689</v>
      </c>
      <c r="AS20" s="27">
        <f>SUM('Net zero emission reductions'!Y1411:Y1416)</f>
        <v>2.7838557177673167</v>
      </c>
      <c r="AT20" s="27">
        <f>SUM('Net zero emission reductions'!Z1411:Z1416)</f>
        <v>2.8266675087404973</v>
      </c>
      <c r="AU20" s="27">
        <f>SUM('Net zero emission reductions'!AA1411:AA1416)</f>
        <v>2.8658769305401948</v>
      </c>
      <c r="AV20" s="27">
        <f>SUM('Net zero emission reductions'!AB1411:AB1416)</f>
        <v>2.9197749680771548</v>
      </c>
      <c r="AW20" s="27">
        <f>SUM('Net zero emission reductions'!AC1411:AC1416)</f>
        <v>2.9725447801001432</v>
      </c>
      <c r="AX20" s="27">
        <f>SUM('Net zero emission reductions'!AD1411:AD1416)</f>
        <v>3.0253633856257212</v>
      </c>
      <c r="AY20" s="27">
        <f>SUM('Net zero emission reductions'!AE1411:AE1416)</f>
        <v>3.0924474584520865</v>
      </c>
      <c r="AZ20" s="27">
        <f>SUM('Net zero emission reductions'!AF1411:AF1416)</f>
        <v>3.1664005534545181</v>
      </c>
      <c r="BA20" s="27">
        <f>SUM('Net zero emission reductions'!AG1411:AG1416)</f>
        <v>3.2556517133834877</v>
      </c>
      <c r="BB20" s="27">
        <f>SUM('Net zero emission reductions'!AH1411:AH1416)</f>
        <v>3.3217656219825304</v>
      </c>
      <c r="BC20" s="27">
        <f>SUM('Net zero emission reductions'!AI1411:AI1416)</f>
        <v>3.3845456664483011</v>
      </c>
      <c r="BD20" s="27">
        <f>SUM('Net zero emission reductions'!AJ1411:AJ1416)</f>
        <v>3.4551533992197485</v>
      </c>
      <c r="BE20" s="27">
        <f>SUM('Net zero emission reductions'!AK1411:AK1416)</f>
        <v>3.5227334006378763</v>
      </c>
      <c r="BF20" s="27">
        <f>SUM('Net zero emission reductions'!AL1411:AL1416)</f>
        <v>3.5946891004367116</v>
      </c>
      <c r="BG20" s="27">
        <f>SUM('Net zero emission reductions'!AM1411:AM1416)</f>
        <v>3.6672393495138236</v>
      </c>
      <c r="BH20" s="27">
        <f>SUM('Net zero emission reductions'!AN1411:AN1416)</f>
        <v>3.7549224601601101</v>
      </c>
      <c r="BI20" s="27">
        <f>SUM('Net zero emission reductions'!AO1411:AO1416)</f>
        <v>3.838665798223297</v>
      </c>
      <c r="BJ20" s="27">
        <f>SUM('Net zero emission reductions'!AP1411:AP1416)</f>
        <v>3.9241164696337938</v>
      </c>
      <c r="BK20" s="27">
        <f>SUM('Net zero emission reductions'!AQ1411:AQ1416)</f>
        <v>4.0127496805201854</v>
      </c>
      <c r="BL20" s="27">
        <f>SUM('Net zero emission reductions'!AR1411:AR1416)</f>
        <v>4.1051372900687806</v>
      </c>
      <c r="BM20" s="27">
        <f>SUM('Net zero emission reductions'!AS1411:AS1416)</f>
        <v>4.2119427487016328</v>
      </c>
      <c r="BN20" s="27">
        <f>SUM('Net zero emission reductions'!AT1411:AT1416)</f>
        <v>4.2816415288107557</v>
      </c>
      <c r="BO20" s="27">
        <f>SUM('Net zero emission reductions'!AU1411:AU1416)</f>
        <v>4.3491696388847148</v>
      </c>
      <c r="BP20" s="27">
        <f>SUM('Net zero emission reductions'!AV1411:AV1416)</f>
        <v>4.418551404425493</v>
      </c>
      <c r="BQ20" s="27">
        <f>SUM('Net zero emission reductions'!AW1411:AW1416)</f>
        <v>4.4881053450546133</v>
      </c>
    </row>
    <row r="21" spans="1:72" x14ac:dyDescent="0.2">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0.18347883615886906</v>
      </c>
      <c r="AN21" s="27">
        <f>SUM('Net zero emission reductions'!T1417:T1418)</f>
        <v>0.18375825953285058</v>
      </c>
      <c r="AO21" s="27">
        <f>SUM('Net zero emission reductions'!U1417:U1418)</f>
        <v>0.18407407481642696</v>
      </c>
      <c r="AP21" s="27">
        <f>SUM('Net zero emission reductions'!V1417:V1418)</f>
        <v>0.1844303423777825</v>
      </c>
      <c r="AQ21" s="27">
        <f>SUM('Net zero emission reductions'!W1417:W1418)</f>
        <v>0.18483111719608195</v>
      </c>
      <c r="AR21" s="27">
        <f>SUM('Net zero emission reductions'!X1417:X1418)</f>
        <v>0.18526804226728413</v>
      </c>
      <c r="AS21" s="27">
        <f>SUM('Net zero emission reductions'!Y1417:Y1418)</f>
        <v>0.18553377651301334</v>
      </c>
      <c r="AT21" s="27">
        <f>SUM('Net zero emission reductions'!Z1417:Z1418)</f>
        <v>0.18583058638339245</v>
      </c>
      <c r="AU21" s="27">
        <f>SUM('Net zero emission reductions'!AA1417:AA1418)</f>
        <v>0.18615629459790944</v>
      </c>
      <c r="AV21" s="27">
        <f>SUM('Net zero emission reductions'!AB1417:AB1418)</f>
        <v>0.18651827542004407</v>
      </c>
      <c r="AW21" s="27">
        <f>SUM('Net zero emission reductions'!AC1417:AC1418)</f>
        <v>0.18690763496615212</v>
      </c>
      <c r="AX21" s="27">
        <f>SUM('Net zero emission reductions'!AD1417:AD1418)</f>
        <v>0.18716205452140552</v>
      </c>
      <c r="AY21" s="27">
        <f>SUM('Net zero emission reductions'!AE1417:AE1418)</f>
        <v>0.18744764160924304</v>
      </c>
      <c r="AZ21" s="27">
        <f>SUM('Net zero emission reductions'!AF1417:AF1418)</f>
        <v>0.1877598339242032</v>
      </c>
      <c r="BA21" s="27">
        <f>SUM('Net zero emission reductions'!AG1417:AG1418)</f>
        <v>0.18810187365251319</v>
      </c>
      <c r="BB21" s="27">
        <f>SUM('Net zero emission reductions'!AH1417:AH1418)</f>
        <v>0.18845403683315698</v>
      </c>
      <c r="BC21" s="27">
        <f>SUM('Net zero emission reductions'!AI1417:AI1418)</f>
        <v>0.18866986889949217</v>
      </c>
      <c r="BD21" s="27">
        <f>SUM('Net zero emission reductions'!AJ1417:AJ1418)</f>
        <v>0.18890829838939865</v>
      </c>
      <c r="BE21" s="27">
        <f>SUM('Net zero emission reductions'!AK1417:AK1418)</f>
        <v>0.18916324753434122</v>
      </c>
      <c r="BF21" s="27">
        <f>SUM('Net zero emission reductions'!AL1417:AL1418)</f>
        <v>0.1894377495129371</v>
      </c>
      <c r="BG21" s="27">
        <f>SUM('Net zero emission reductions'!AM1417:AM1418)</f>
        <v>0.18972932378804797</v>
      </c>
      <c r="BH21" s="27">
        <f>SUM('Net zero emission reductions'!AN1417:AN1418)</f>
        <v>0.1898984130868776</v>
      </c>
      <c r="BI21" s="27">
        <f>SUM('Net zero emission reductions'!AO1417:AO1418)</f>
        <v>0.1900802904900587</v>
      </c>
      <c r="BJ21" s="27">
        <f>SUM('Net zero emission reductions'!AP1417:AP1418)</f>
        <v>0.19027728040746039</v>
      </c>
      <c r="BK21" s="27">
        <f>SUM('Net zero emission reductions'!AQ1417:AQ1418)</f>
        <v>0.19048965478087213</v>
      </c>
      <c r="BL21" s="27">
        <f>SUM('Net zero emission reductions'!AR1417:AR1418)</f>
        <v>0.19071726514947646</v>
      </c>
      <c r="BM21" s="27">
        <f>SUM('Net zero emission reductions'!AS1417:AS1418)</f>
        <v>0.19081904115997772</v>
      </c>
      <c r="BN21" s="27">
        <f>SUM('Net zero emission reductions'!AT1417:AT1418)</f>
        <v>0.19091377033509385</v>
      </c>
      <c r="BO21" s="27">
        <f>SUM('Net zero emission reductions'!AU1417:AU1418)</f>
        <v>0.1910187872536421</v>
      </c>
      <c r="BP21" s="27">
        <f>SUM('Net zero emission reductions'!AV1417:AV1418)</f>
        <v>0.19113577523473432</v>
      </c>
      <c r="BQ21" s="27">
        <f>SUM('Net zero emission reductions'!AW1417:AW1418)</f>
        <v>0.1912635299691286</v>
      </c>
    </row>
    <row r="22" spans="1:72" x14ac:dyDescent="0.2">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0.13069549066496228</v>
      </c>
      <c r="AI22" s="27">
        <f>SUM('Net zero emission reductions'!O1419:O1420)</f>
        <v>0.1313609060950319</v>
      </c>
      <c r="AJ22" s="27">
        <f>SUM('Net zero emission reductions'!P1419:P1420)</f>
        <v>0.13212269035728819</v>
      </c>
      <c r="AK22" s="27">
        <f>SUM('Net zero emission reductions'!Q1419:Q1420)</f>
        <v>0.13294253416938448</v>
      </c>
      <c r="AL22" s="27">
        <f>SUM('Net zero emission reductions'!R1419:R1420)</f>
        <v>0.13381719216548246</v>
      </c>
      <c r="AM22" s="27">
        <f>SUM('Net zero emission reductions'!S1419:S1420)</f>
        <v>0.13462074143229505</v>
      </c>
      <c r="AN22" s="27">
        <f>SUM('Net zero emission reductions'!T1419:T1420)</f>
        <v>0.13501192261492209</v>
      </c>
      <c r="AO22" s="27">
        <f>SUM('Net zero emission reductions'!U1419:U1420)</f>
        <v>0.13543237644708755</v>
      </c>
      <c r="AP22" s="27">
        <f>SUM('Net zero emission reductions'!V1419:V1420)</f>
        <v>0.1358872447066396</v>
      </c>
      <c r="AQ22" s="27">
        <f>SUM('Net zero emission reductions'!W1419:W1420)</f>
        <v>0.1363815217223403</v>
      </c>
      <c r="AR22" s="27">
        <f>SUM('Net zero emission reductions'!X1419:X1420)</f>
        <v>0.13690641262519654</v>
      </c>
      <c r="AS22" s="27">
        <f>SUM('Net zero emission reductions'!Y1419:Y1420)</f>
        <v>0.13723455228547937</v>
      </c>
      <c r="AT22" s="27">
        <f>SUM('Net zero emission reductions'!Z1419:Z1420)</f>
        <v>0.13758951250331244</v>
      </c>
      <c r="AU22" s="27">
        <f>SUM('Net zero emission reductions'!AA1419:AA1420)</f>
        <v>0.13796920560312809</v>
      </c>
      <c r="AV22" s="27">
        <f>SUM('Net zero emission reductions'!AB1419:AB1420)</f>
        <v>0.13838194505976986</v>
      </c>
      <c r="AW22" s="27">
        <f>SUM('Net zero emission reductions'!AC1419:AC1420)</f>
        <v>0.13881822299918842</v>
      </c>
      <c r="AX22" s="27">
        <f>SUM('Net zero emission reductions'!AD1419:AD1420)</f>
        <v>0.13910185042176276</v>
      </c>
      <c r="AY22" s="27">
        <f>SUM('Net zero emission reductions'!AE1419:AE1420)</f>
        <v>0.1394142287331997</v>
      </c>
      <c r="AZ22" s="27">
        <f>SUM('Net zero emission reductions'!AF1419:AF1420)</f>
        <v>0.13975052740314195</v>
      </c>
      <c r="BA22" s="27">
        <f>SUM('Net zero emission reductions'!AG1419:AG1420)</f>
        <v>0.14011436553544815</v>
      </c>
      <c r="BB22" s="27">
        <f>SUM('Net zero emission reductions'!AH1419:AH1420)</f>
        <v>0.14048455623050193</v>
      </c>
      <c r="BC22" s="27">
        <f>SUM('Net zero emission reductions'!AI1419:AI1420)</f>
        <v>0.14070368621191692</v>
      </c>
      <c r="BD22" s="27">
        <f>SUM('Net zero emission reductions'!AJ1419:AJ1420)</f>
        <v>0.14094350701746358</v>
      </c>
      <c r="BE22" s="27">
        <f>SUM('Net zero emission reductions'!AK1419:AK1420)</f>
        <v>0.14119756397878735</v>
      </c>
      <c r="BF22" s="27">
        <f>SUM('Net zero emission reductions'!AL1419:AL1420)</f>
        <v>0.141469188853829</v>
      </c>
      <c r="BG22" s="27">
        <f>SUM('Net zero emission reductions'!AM1419:AM1420)</f>
        <v>0.14175578941971406</v>
      </c>
      <c r="BH22" s="27">
        <f>SUM('Net zero emission reductions'!AN1419:AN1420)</f>
        <v>0.141908612689329</v>
      </c>
      <c r="BI22" s="27">
        <f>SUM('Net zero emission reductions'!AO1419:AO1420)</f>
        <v>0.14207248577883361</v>
      </c>
      <c r="BJ22" s="27">
        <f>SUM('Net zero emission reductions'!AP1419:AP1420)</f>
        <v>0.14224993669451019</v>
      </c>
      <c r="BK22" s="27">
        <f>SUM('Net zero emission reductions'!AQ1419:AQ1420)</f>
        <v>0.14244129227346825</v>
      </c>
      <c r="BL22" s="27">
        <f>SUM('Net zero emission reductions'!AR1419:AR1420)</f>
        <v>0.14264642618317447</v>
      </c>
      <c r="BM22" s="27">
        <f>SUM('Net zero emission reductions'!AS1419:AS1420)</f>
        <v>0.14271620790073294</v>
      </c>
      <c r="BN22" s="27">
        <f>SUM('Net zero emission reductions'!AT1419:AT1420)</f>
        <v>0.14277678157474943</v>
      </c>
      <c r="BO22" s="27">
        <f>SUM('Net zero emission reductions'!AU1419:AU1420)</f>
        <v>0.14284653715926607</v>
      </c>
      <c r="BP22" s="27">
        <f>SUM('Net zero emission reductions'!AV1419:AV1420)</f>
        <v>0.14292727305938119</v>
      </c>
      <c r="BQ22" s="27">
        <f>SUM('Net zero emission reductions'!AW1419:AW1420)</f>
        <v>0.14301773914144325</v>
      </c>
    </row>
    <row r="23" spans="1:72" x14ac:dyDescent="0.2">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2">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2">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0.13486096937945152</v>
      </c>
      <c r="AG25" s="27">
        <f>SUM('Net zero emission reductions'!M1423:M1424)</f>
        <v>0.13492146542995687</v>
      </c>
      <c r="AH25" s="27">
        <f>SUM('Net zero emission reductions'!N1423:N1424)</f>
        <v>0.13368278298717368</v>
      </c>
      <c r="AI25" s="27">
        <f>SUM('Net zero emission reductions'!O1423:O1424)</f>
        <v>0.13165972885928912</v>
      </c>
      <c r="AJ25" s="27">
        <f>SUM('Net zero emission reductions'!P1423:P1424)</f>
        <v>0.12888464371149957</v>
      </c>
      <c r="AK25" s="27">
        <f>SUM('Net zero emission reductions'!Q1423:Q1424)</f>
        <v>0.12686962414513905</v>
      </c>
      <c r="AL25" s="27">
        <f>SUM('Net zero emission reductions'!R1423:R1424)</f>
        <v>0.12503290678710083</v>
      </c>
      <c r="AM25" s="27">
        <f>SUM('Net zero emission reductions'!S1423:S1424)</f>
        <v>0.11140355951994843</v>
      </c>
      <c r="AN25" s="27">
        <f>SUM('Net zero emission reductions'!T1423:T1424)</f>
        <v>0.11314292981042173</v>
      </c>
      <c r="AO25" s="27">
        <f>SUM('Net zero emission reductions'!U1423:U1424)</f>
        <v>0.11388165634569442</v>
      </c>
      <c r="AP25" s="27">
        <f>SUM('Net zero emission reductions'!V1423:V1424)</f>
        <v>0.11436816312744694</v>
      </c>
      <c r="AQ25" s="27">
        <f>SUM('Net zero emission reductions'!W1423:W1424)</f>
        <v>0.11526901640962003</v>
      </c>
      <c r="AR25" s="27">
        <f>SUM('Net zero emission reductions'!X1423:X1424)</f>
        <v>0.11593997799115366</v>
      </c>
      <c r="AS25" s="27">
        <f>SUM('Net zero emission reductions'!Y1423:Y1424)</f>
        <v>0.11629192223110674</v>
      </c>
      <c r="AT25" s="27">
        <f>SUM('Net zero emission reductions'!Z1423:Z1424)</f>
        <v>0.11650755649298275</v>
      </c>
      <c r="AU25" s="27">
        <f>SUM('Net zero emission reductions'!AA1423:AA1424)</f>
        <v>0.11653680755742077</v>
      </c>
      <c r="AV25" s="27">
        <f>SUM('Net zero emission reductions'!AB1423:AB1424)</f>
        <v>0.1172135345239169</v>
      </c>
      <c r="AW25" s="27">
        <f>SUM('Net zero emission reductions'!AC1423:AC1424)</f>
        <v>0.11780465135242055</v>
      </c>
      <c r="AX25" s="27">
        <f>SUM('Net zero emission reductions'!AD1423:AD1424)</f>
        <v>0.11865516080522326</v>
      </c>
      <c r="AY25" s="27">
        <f>SUM('Net zero emission reductions'!AE1423:AE1424)</f>
        <v>0.12009183200806711</v>
      </c>
      <c r="AZ25" s="27">
        <f>SUM('Net zero emission reductions'!AF1423:AF1424)</f>
        <v>0.12177425391053598</v>
      </c>
      <c r="BA25" s="27">
        <f>SUM('Net zero emission reductions'!AG1423:AG1424)</f>
        <v>0.12405211693640027</v>
      </c>
      <c r="BB25" s="27">
        <f>SUM('Net zero emission reductions'!AH1423:AH1424)</f>
        <v>0.12528180635550448</v>
      </c>
      <c r="BC25" s="27">
        <f>SUM('Net zero emission reductions'!AI1423:AI1424)</f>
        <v>0.12635581554668723</v>
      </c>
      <c r="BD25" s="27">
        <f>SUM('Net zero emission reductions'!AJ1423:AJ1424)</f>
        <v>0.12770553733442919</v>
      </c>
      <c r="BE25" s="27">
        <f>SUM('Net zero emission reductions'!AK1423:AK1424)</f>
        <v>0.12887738643532332</v>
      </c>
      <c r="BF25" s="27">
        <f>SUM('Net zero emission reductions'!AL1423:AL1424)</f>
        <v>0.13017402534234629</v>
      </c>
      <c r="BG25" s="27">
        <f>SUM('Net zero emission reductions'!AM1423:AM1424)</f>
        <v>0.13143879481379181</v>
      </c>
      <c r="BH25" s="27">
        <f>SUM('Net zero emission reductions'!AN1423:AN1424)</f>
        <v>0.13314159892879276</v>
      </c>
      <c r="BI25" s="27">
        <f>SUM('Net zero emission reductions'!AO1423:AO1424)</f>
        <v>0.13462025710832362</v>
      </c>
      <c r="BJ25" s="27">
        <f>SUM('Net zero emission reductions'!AP1423:AP1424)</f>
        <v>0.13609760119180411</v>
      </c>
      <c r="BK25" s="27">
        <f>SUM('Net zero emission reductions'!AQ1423:AQ1424)</f>
        <v>0.13762741432121695</v>
      </c>
      <c r="BL25" s="27">
        <f>SUM('Net zero emission reductions'!AR1423:AR1424)</f>
        <v>0.13922689308824551</v>
      </c>
      <c r="BM25" s="27">
        <f>SUM('Net zero emission reductions'!AS1423:AS1424)</f>
        <v>0.14131132929863299</v>
      </c>
      <c r="BN25" s="27">
        <f>SUM('Net zero emission reductions'!AT1423:AT1424)</f>
        <v>0.14195686154643228</v>
      </c>
      <c r="BO25" s="27">
        <f>SUM('Net zero emission reductions'!AU1423:AU1424)</f>
        <v>0.14247245766798716</v>
      </c>
      <c r="BP25" s="27">
        <f>SUM('Net zero emission reductions'!AV1423:AV1424)</f>
        <v>0.14300418665038872</v>
      </c>
      <c r="BQ25" s="27">
        <f>SUM('Net zero emission reductions'!AW1423:AW1424)</f>
        <v>0.14349083151870276</v>
      </c>
    </row>
    <row r="26" spans="1:72" x14ac:dyDescent="0.2">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2.1141223071087354</v>
      </c>
      <c r="AF26" s="27">
        <f>SUM('Net zero emission reductions'!L1425:L1428)</f>
        <v>2.1444079633530229</v>
      </c>
      <c r="AG26" s="27">
        <f>SUM('Net zero emission reductions'!M1425:M1428)</f>
        <v>2.1900184905347517</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2.1799994398925184</v>
      </c>
      <c r="AL26" s="27">
        <f>SUM('Net zero emission reductions'!R1425:R1428)</f>
        <v>2.177211573374529</v>
      </c>
      <c r="AM26" s="27">
        <f>SUM('Net zero emission reductions'!S1425:S1428)</f>
        <v>1.9013620162508531</v>
      </c>
      <c r="AN26" s="27">
        <f>SUM('Net zero emission reductions'!T1425:T1428)</f>
        <v>1.9787397203342991</v>
      </c>
      <c r="AO26" s="27">
        <f>SUM('Net zero emission reductions'!U1425:U1428)</f>
        <v>2.0334728947632885</v>
      </c>
      <c r="AP26" s="27">
        <f>SUM('Net zero emission reductions'!V1425:V1428)</f>
        <v>2.0826047075433389</v>
      </c>
      <c r="AQ26" s="27">
        <f>SUM('Net zero emission reductions'!W1425:W1428)</f>
        <v>2.1421719815547271</v>
      </c>
      <c r="AR26" s="27">
        <f>SUM('Net zero emission reductions'!X1425:X1428)</f>
        <v>2.196724934692265</v>
      </c>
      <c r="AS26" s="27">
        <f>SUM('Net zero emission reductions'!Y1425:Y1428)</f>
        <v>2.2450021131364171</v>
      </c>
      <c r="AT26" s="27">
        <f>SUM('Net zero emission reductions'!Z1425:Z1428)</f>
        <v>2.2901992835176022</v>
      </c>
      <c r="AU26" s="27">
        <f>SUM('Net zero emission reductions'!AA1425:AA1428)</f>
        <v>2.3309269765795255</v>
      </c>
      <c r="AV26" s="27">
        <f>SUM('Net zero emission reductions'!AB1425:AB1428)</f>
        <v>2.3887693604876081</v>
      </c>
      <c r="AW26" s="27">
        <f>SUM('Net zero emission reductions'!AC1425:AC1428)</f>
        <v>2.4450704027075854</v>
      </c>
      <c r="AX26" s="27">
        <f>SUM('Net zero emission reductions'!AD1425:AD1428)</f>
        <v>2.5099277172179804</v>
      </c>
      <c r="AY26" s="27">
        <f>SUM('Net zero emission reductions'!AE1425:AE1428)</f>
        <v>2.5916144266566521</v>
      </c>
      <c r="AZ26" s="27">
        <f>SUM('Net zero emission reductions'!AF1425:AF1428)</f>
        <v>2.6814475992419187</v>
      </c>
      <c r="BA26" s="27">
        <f>SUM('Net zero emission reductions'!AG1425:AG1428)</f>
        <v>2.7894895586957014</v>
      </c>
      <c r="BB26" s="27">
        <f>SUM('Net zero emission reductions'!AH1425:AH1428)</f>
        <v>2.8700482359542674</v>
      </c>
      <c r="BC26" s="27">
        <f>SUM('Net zero emission reductions'!AI1425:AI1428)</f>
        <v>2.9483799459076065</v>
      </c>
      <c r="BD26" s="27">
        <f>SUM('Net zero emission reductions'!AJ1425:AJ1428)</f>
        <v>3.0360208185962847</v>
      </c>
      <c r="BE26" s="27">
        <f>SUM('Net zero emission reductions'!AK1425:AK1428)</f>
        <v>3.1200133197512931</v>
      </c>
      <c r="BF26" s="27">
        <f>SUM('Net zero emission reductions'!AL1425:AL1428)</f>
        <v>3.2092104859487391</v>
      </c>
      <c r="BG26" s="27">
        <f>SUM('Net zero emission reductions'!AM1425:AM1428)</f>
        <v>3.2990869936827241</v>
      </c>
      <c r="BH26" s="27">
        <f>SUM('Net zero emission reductions'!AN1425:AN1428)</f>
        <v>3.40478380641914</v>
      </c>
      <c r="BI26" s="27">
        <f>SUM('Net zero emission reductions'!AO1425:AO1428)</f>
        <v>3.5056195640769623</v>
      </c>
      <c r="BJ26" s="27">
        <f>SUM('Net zero emission reductions'!AP1425:AP1428)</f>
        <v>3.6083743468194287</v>
      </c>
      <c r="BK26" s="27">
        <f>SUM('Net zero emission reductions'!AQ1425:AQ1428)</f>
        <v>3.7148200903815982</v>
      </c>
      <c r="BL26" s="27">
        <f>SUM('Net zero emission reductions'!AR1425:AR1428)</f>
        <v>3.8256433975277582</v>
      </c>
      <c r="BM26" s="27">
        <f>SUM('Net zero emission reductions'!AS1425:AS1428)</f>
        <v>3.9553215835104285</v>
      </c>
      <c r="BN26" s="27">
        <f>SUM('Net zero emission reductions'!AT1425:AT1428)</f>
        <v>4.0401363159376622</v>
      </c>
      <c r="BO26" s="27">
        <f>SUM('Net zero emission reductions'!AU1425:AU1428)</f>
        <v>4.1221504273856366</v>
      </c>
      <c r="BP26" s="27">
        <f>SUM('Net zero emission reductions'!AV1425:AV1428)</f>
        <v>4.206209172279312</v>
      </c>
      <c r="BQ26" s="27">
        <f>SUM('Net zero emission reductions'!AW1425:AW1428)</f>
        <v>4.2902806844100194</v>
      </c>
    </row>
    <row r="27" spans="1:72" s="19" customFormat="1" ht="16" x14ac:dyDescent="0.2">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2">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2">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2">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2">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2">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2">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6" x14ac:dyDescent="0.2">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2">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2">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2">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2">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2">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2">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6" x14ac:dyDescent="0.2">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892.99961042800624</v>
      </c>
      <c r="AO41" s="41">
        <f>'Net zero emission reductions'!U1461</f>
        <v>897.66502434733229</v>
      </c>
      <c r="AP41" s="41">
        <f>'Net zero emission reductions'!V1461</f>
        <v>901.31677957229135</v>
      </c>
      <c r="AQ41" s="41">
        <f>'Net zero emission reductions'!W1461</f>
        <v>904.69718143729835</v>
      </c>
      <c r="AR41" s="41">
        <f>'Net zero emission reductions'!X1461</f>
        <v>908.47574920758507</v>
      </c>
      <c r="AS41" s="41">
        <f>'Net zero emission reductions'!Y1461</f>
        <v>912.00886230682897</v>
      </c>
      <c r="AT41" s="41">
        <f>'Net zero emission reductions'!Z1461</f>
        <v>915.15522281701794</v>
      </c>
      <c r="AU41" s="41">
        <f>'Net zero emission reductions'!AA1461</f>
        <v>918.14911339193043</v>
      </c>
      <c r="AV41" s="41">
        <f>'Net zero emission reductions'!AB1461</f>
        <v>920.93862378014114</v>
      </c>
      <c r="AW41" s="41">
        <f>'Net zero emission reductions'!AC1461</f>
        <v>924.38117404713842</v>
      </c>
      <c r="AX41" s="41">
        <f>'Net zero emission reductions'!AD1461</f>
        <v>927.72886456057699</v>
      </c>
      <c r="AY41" s="41">
        <f>'Net zero emission reductions'!AE1461</f>
        <v>931.30044289181558</v>
      </c>
      <c r="AZ41" s="41">
        <f>'Net zero emission reductions'!AF1461</f>
        <v>935.47463981104102</v>
      </c>
      <c r="BA41" s="41">
        <f>'Net zero emission reductions'!AG1461</f>
        <v>939.89945345474598</v>
      </c>
      <c r="BB41" s="41">
        <f>'Net zero emission reductions'!AH1461</f>
        <v>944.93069992096457</v>
      </c>
      <c r="BC41" s="41">
        <f>'Net zero emission reductions'!AI1461</f>
        <v>948.88651159106837</v>
      </c>
      <c r="BD41" s="41">
        <f>'Net zero emission reductions'!AJ1461</f>
        <v>952.65045566979234</v>
      </c>
      <c r="BE41" s="41">
        <f>'Net zero emission reductions'!AK1461</f>
        <v>956.69732285696261</v>
      </c>
      <c r="BF41" s="41">
        <f>'Net zero emission reductions'!AL1461</f>
        <v>960.56505395961551</v>
      </c>
      <c r="BG41" s="41">
        <f>'Net zero emission reductions'!AM1461</f>
        <v>964.56260681029062</v>
      </c>
      <c r="BH41" s="41">
        <f>'Net zero emission reductions'!AN1461</f>
        <v>968.53102991020114</v>
      </c>
      <c r="BI41" s="41">
        <f>'Net zero emission reductions'!AO1461</f>
        <v>972.91815093223238</v>
      </c>
      <c r="BJ41" s="41">
        <f>'Net zero emission reductions'!AP1461</f>
        <v>977.08221160435949</v>
      </c>
      <c r="BK41" s="41">
        <f>'Net zero emission reductions'!AQ1461</f>
        <v>981.24968371542741</v>
      </c>
      <c r="BL41" s="41">
        <f>'Net zero emission reductions'!AR1461</f>
        <v>985.47496417545995</v>
      </c>
      <c r="BM41" s="41">
        <f>'Net zero emission reductions'!AS1461</f>
        <v>989.77519860882489</v>
      </c>
      <c r="BN41" s="41">
        <f>'Net zero emission reductions'!AT1461</f>
        <v>994.53641231240658</v>
      </c>
      <c r="BO41" s="41">
        <f>'Net zero emission reductions'!AU1461</f>
        <v>997.87560728554854</v>
      </c>
      <c r="BP41" s="41">
        <f>'Net zero emission reductions'!AV1461</f>
        <v>1001.0952288876074</v>
      </c>
      <c r="BQ41" s="41">
        <f>'Net zero emission reductions'!AW1461</f>
        <v>1004.3409499737036</v>
      </c>
      <c r="BT41"/>
    </row>
    <row r="42" spans="1:72" s="19" customFormat="1" ht="16" x14ac:dyDescent="0.2">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469.9309125855201</v>
      </c>
      <c r="AO42" s="41">
        <f>'Net zero emission reductions'!U1462</f>
        <v>469.81336359291407</v>
      </c>
      <c r="AP42" s="41">
        <f>'Net zero emission reductions'!V1462</f>
        <v>469.7213545760593</v>
      </c>
      <c r="AQ42" s="41">
        <f>'Net zero emission reductions'!W1462</f>
        <v>469.63618253329815</v>
      </c>
      <c r="AR42" s="41">
        <f>'Net zero emission reductions'!X1462</f>
        <v>469.54097836865776</v>
      </c>
      <c r="AS42" s="41">
        <f>'Net zero emission reductions'!Y1462</f>
        <v>469.45195863905593</v>
      </c>
      <c r="AT42" s="41">
        <f>'Net zero emission reductions'!Z1462</f>
        <v>469.37268346331723</v>
      </c>
      <c r="AU42" s="41">
        <f>'Net zero emission reductions'!AA1462</f>
        <v>469.29724989469105</v>
      </c>
      <c r="AV42" s="41">
        <f>'Net zero emission reductions'!AB1462</f>
        <v>469.22696585523204</v>
      </c>
      <c r="AW42" s="41">
        <f>'Net zero emission reductions'!AC1462</f>
        <v>469.14022793167828</v>
      </c>
      <c r="AX42" s="41">
        <f>'Net zero emission reductions'!AD1462</f>
        <v>469.05588007868687</v>
      </c>
      <c r="AY42" s="41">
        <f>'Net zero emission reductions'!AE1462</f>
        <v>468.96589118550173</v>
      </c>
      <c r="AZ42" s="41">
        <f>'Net zero emission reductions'!AF1462</f>
        <v>468.86071881467279</v>
      </c>
      <c r="BA42" s="41">
        <f>'Net zero emission reductions'!AG1462</f>
        <v>468.74923194656606</v>
      </c>
      <c r="BB42" s="41">
        <f>'Net zero emission reductions'!AH1462</f>
        <v>468.62246549799733</v>
      </c>
      <c r="BC42" s="41">
        <f>'Net zero emission reductions'!AI1462</f>
        <v>468.5227955255574</v>
      </c>
      <c r="BD42" s="41">
        <f>'Net zero emission reductions'!AJ1462</f>
        <v>468.42795981701568</v>
      </c>
      <c r="BE42" s="41">
        <f>'Net zero emission reductions'!AK1462</f>
        <v>468.325995624923</v>
      </c>
      <c r="BF42" s="41">
        <f>'Net zero emission reductions'!AL1462</f>
        <v>468.22854491580057</v>
      </c>
      <c r="BG42" s="41">
        <f>'Net zero emission reductions'!AM1462</f>
        <v>468.12782323952234</v>
      </c>
      <c r="BH42" s="41">
        <f>'Net zero emission reductions'!AN1462</f>
        <v>468.02783551159615</v>
      </c>
      <c r="BI42" s="41">
        <f>'Net zero emission reductions'!AO1462</f>
        <v>467.91729834051165</v>
      </c>
      <c r="BJ42" s="41">
        <f>'Net zero emission reductions'!AP1462</f>
        <v>467.81238136087751</v>
      </c>
      <c r="BK42" s="41">
        <f>'Net zero emission reductions'!AQ1462</f>
        <v>467.70737842719552</v>
      </c>
      <c r="BL42" s="41">
        <f>'Net zero emission reductions'!AR1462</f>
        <v>467.60091896397466</v>
      </c>
      <c r="BM42" s="41">
        <f>'Net zero emission reductions'!AS1462</f>
        <v>467.49257097291689</v>
      </c>
      <c r="BN42" s="41">
        <f>'Net zero emission reductions'!AT1462</f>
        <v>467.37260822489156</v>
      </c>
      <c r="BO42" s="41">
        <f>'Net zero emission reductions'!AU1462</f>
        <v>467.28847442411939</v>
      </c>
      <c r="BP42" s="41">
        <f>'Net zero emission reductions'!AV1462</f>
        <v>467.20735337410349</v>
      </c>
      <c r="BQ42" s="41">
        <f>'Net zero emission reductions'!AW1462</f>
        <v>467.12557472583177</v>
      </c>
      <c r="BT42"/>
    </row>
    <row r="43" spans="1:72" s="19" customFormat="1" ht="16" x14ac:dyDescent="0.2">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55.328082895998861</v>
      </c>
      <c r="AF43" s="41">
        <f t="shared" ref="AF43:BQ43" si="26">SUM(AF44:AF48)</f>
        <v>55.141377146941785</v>
      </c>
      <c r="AG43" s="41">
        <f t="shared" si="26"/>
        <v>55.133536751110526</v>
      </c>
      <c r="AH43" s="41">
        <f t="shared" si="26"/>
        <v>54.82749609462973</v>
      </c>
      <c r="AI43" s="41">
        <f t="shared" si="26"/>
        <v>54.339148116939342</v>
      </c>
      <c r="AJ43" s="41">
        <f t="shared" si="26"/>
        <v>53.680284142654159</v>
      </c>
      <c r="AK43" s="41">
        <f t="shared" si="26"/>
        <v>53.185580517007523</v>
      </c>
      <c r="AL43" s="41">
        <f t="shared" si="26"/>
        <v>52.728403644181718</v>
      </c>
      <c r="AM43" s="41">
        <f t="shared" si="26"/>
        <v>49.68230124427874</v>
      </c>
      <c r="AN43" s="41">
        <f t="shared" si="26"/>
        <v>49.843320248993834</v>
      </c>
      <c r="AO43" s="41">
        <f t="shared" si="26"/>
        <v>49.819396919135094</v>
      </c>
      <c r="AP43" s="41">
        <f t="shared" si="26"/>
        <v>49.735622470910293</v>
      </c>
      <c r="AQ43" s="41">
        <f t="shared" si="26"/>
        <v>49.738139973764305</v>
      </c>
      <c r="AR43" s="41">
        <f t="shared" si="26"/>
        <v>49.68967294803064</v>
      </c>
      <c r="AS43" s="41">
        <f t="shared" si="26"/>
        <v>49.55030680196009</v>
      </c>
      <c r="AT43" s="41">
        <f t="shared" si="26"/>
        <v>49.379866779057963</v>
      </c>
      <c r="AU43" s="41">
        <f t="shared" si="26"/>
        <v>49.169001134067223</v>
      </c>
      <c r="AV43" s="41">
        <f t="shared" si="26"/>
        <v>49.092753032222745</v>
      </c>
      <c r="AW43" s="41">
        <f t="shared" si="26"/>
        <v>48.998701820685916</v>
      </c>
      <c r="AX43" s="41">
        <f t="shared" si="26"/>
        <v>48.875313268299259</v>
      </c>
      <c r="AY43" s="41">
        <f t="shared" si="26"/>
        <v>48.864902405813986</v>
      </c>
      <c r="AZ43" s="41">
        <f t="shared" si="26"/>
        <v>48.896179339951509</v>
      </c>
      <c r="BA43" s="41">
        <f t="shared" si="26"/>
        <v>49.036864905681703</v>
      </c>
      <c r="BB43" s="41">
        <f t="shared" si="26"/>
        <v>48.957471716046868</v>
      </c>
      <c r="BC43" s="41">
        <f t="shared" si="26"/>
        <v>48.821083957921708</v>
      </c>
      <c r="BD43" s="41">
        <f t="shared" si="26"/>
        <v>48.72904554212748</v>
      </c>
      <c r="BE43" s="41">
        <f t="shared" si="26"/>
        <v>48.593307058872234</v>
      </c>
      <c r="BF43" s="41">
        <f t="shared" si="26"/>
        <v>48.471279565978406</v>
      </c>
      <c r="BG43" s="41">
        <f t="shared" si="26"/>
        <v>48.333259086613879</v>
      </c>
      <c r="BH43" s="41">
        <f t="shared" si="26"/>
        <v>48.558259322500845</v>
      </c>
      <c r="BI43" s="41">
        <f t="shared" si="26"/>
        <v>48.737909969051316</v>
      </c>
      <c r="BJ43" s="41">
        <f t="shared" si="26"/>
        <v>48.912459030268842</v>
      </c>
      <c r="BK43" s="41">
        <f t="shared" si="26"/>
        <v>49.092415348302481</v>
      </c>
      <c r="BL43" s="41">
        <f t="shared" si="26"/>
        <v>49.280882581374343</v>
      </c>
      <c r="BM43" s="41">
        <f t="shared" si="26"/>
        <v>49.541614048689361</v>
      </c>
      <c r="BN43" s="41">
        <f t="shared" si="26"/>
        <v>49.535572391868783</v>
      </c>
      <c r="BO43" s="41">
        <f t="shared" si="26"/>
        <v>49.499193799336759</v>
      </c>
      <c r="BP43" s="41">
        <f t="shared" si="26"/>
        <v>49.462698357030362</v>
      </c>
      <c r="BQ43" s="41">
        <f t="shared" si="26"/>
        <v>49.415406120630855</v>
      </c>
      <c r="BT43"/>
    </row>
    <row r="44" spans="1:72" x14ac:dyDescent="0.2">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6.4883189407483481</v>
      </c>
      <c r="AO44" s="94">
        <f>IF($A44="Baseline",'Emissions summary'!AL44,SUMIF('Net zero emission reductions'!$A$4:$A$1448,$A$44,'Net zero emission reductions'!U$4:U$1448))</f>
        <v>6.3709630483047146</v>
      </c>
      <c r="AP44" s="94">
        <f>IF($A44="Baseline",'Emissions summary'!AM44,SUMIF('Net zero emission reductions'!$A$4:$A$1448,$A$44,'Net zero emission reductions'!V$4:V$1448))</f>
        <v>6.2540534086967066</v>
      </c>
      <c r="AQ44" s="94">
        <f>IF($A44="Baseline",'Emissions summary'!AN44,SUMIF('Net zero emission reductions'!$A$4:$A$1448,$A$44,'Net zero emission reductions'!W$4:W$1448))</f>
        <v>6.137294741119482</v>
      </c>
      <c r="AR44" s="94">
        <f>IF($A44="Baseline",'Emissions summary'!AO44,SUMIF('Net zero emission reductions'!$A$4:$A$1448,$A$44,'Net zero emission reductions'!X$4:X$1448))</f>
        <v>6.0204387749589712</v>
      </c>
      <c r="AS44" s="94">
        <f>IF($A44="Baseline",'Emissions summary'!AP44,SUMIF('Net zero emission reductions'!$A$4:$A$1448,$A$44,'Net zero emission reductions'!Y$4:Y$1448))</f>
        <v>5.9037225669352793</v>
      </c>
      <c r="AT44" s="94">
        <f>IF($A44="Baseline",'Emissions summary'!AQ44,SUMIF('Net zero emission reductions'!$A$4:$A$1448,$A$44,'Net zero emission reductions'!Z$4:Z$1448))</f>
        <v>5.7871902377719815</v>
      </c>
      <c r="AU44" s="94">
        <f>IF($A44="Baseline",'Emissions summary'!AR44,SUMIF('Net zero emission reductions'!$A$4:$A$1448,$A$44,'Net zero emission reductions'!AA$4:AA$1448))</f>
        <v>5.6707537118232665</v>
      </c>
      <c r="AV44" s="94">
        <f>IF($A44="Baseline",'Emissions summary'!AS44,SUMIF('Net zero emission reductions'!$A$4:$A$1448,$A$44,'Net zero emission reductions'!AB$4:AB$1448))</f>
        <v>5.5544271779700249</v>
      </c>
      <c r="AW44" s="94">
        <f>IF($A44="Baseline",'Emissions summary'!AT44,SUMIF('Net zero emission reductions'!$A$4:$A$1448,$A$44,'Net zero emission reductions'!AC$4:AC$1448))</f>
        <v>5.4379254658215954</v>
      </c>
      <c r="AX44" s="94">
        <f>IF($A44="Baseline",'Emissions summary'!AU44,SUMIF('Net zero emission reductions'!$A$4:$A$1448,$A$44,'Net zero emission reductions'!AD$4:AD$1448))</f>
        <v>5.3215020208908337</v>
      </c>
      <c r="AY44" s="94">
        <f>IF($A44="Baseline",'Emissions summary'!AV44,SUMIF('Net zero emission reductions'!$A$4:$A$1448,$A$44,'Net zero emission reductions'!AE$4:AE$1448))</f>
        <v>5.2050548671923318</v>
      </c>
      <c r="AZ44" s="94">
        <f>IF($A44="Baseline",'Emissions summary'!AW44,SUMIF('Net zero emission reductions'!$A$4:$A$1448,$A$44,'Net zero emission reductions'!AF$4:AF$1448))</f>
        <v>5.0884724881250269</v>
      </c>
      <c r="BA44" s="94">
        <f>IF($A44="Baseline",'Emissions summary'!AX44,SUMIF('Net zero emission reductions'!$A$4:$A$1448,$A$44,'Net zero emission reductions'!AG$4:AG$1448))</f>
        <v>4.9718729858707977</v>
      </c>
      <c r="BB44" s="94">
        <f>IF($A44="Baseline",'Emissions summary'!AY44,SUMIF('Net zero emission reductions'!$A$4:$A$1448,$A$44,'Net zero emission reductions'!AH$4:AH$1448))</f>
        <v>4.8551573762149358</v>
      </c>
      <c r="BC44" s="94">
        <f>IF($A44="Baseline",'Emissions summary'!AZ44,SUMIF('Net zero emission reductions'!$A$4:$A$1448,$A$44,'Net zero emission reductions'!AI$4:AI$1448))</f>
        <v>4.7388191893034461</v>
      </c>
      <c r="BD44" s="94">
        <f>IF($A44="Baseline",'Emissions summary'!BA44,SUMIF('Net zero emission reductions'!$A$4:$A$1448,$A$44,'Net zero emission reductions'!AJ$4:AJ$1448))</f>
        <v>4.6225895108237864</v>
      </c>
      <c r="BE44" s="94">
        <f>IF($A44="Baseline",'Emissions summary'!BB44,SUMIF('Net zero emission reductions'!$A$4:$A$1448,$A$44,'Net zero emission reductions'!AK$4:AK$1448))</f>
        <v>4.5063351855546454</v>
      </c>
      <c r="BF44" s="94">
        <f>IF($A44="Baseline",'Emissions summary'!BC44,SUMIF('Net zero emission reductions'!$A$4:$A$1448,$A$44,'Net zero emission reductions'!AL$4:AL$1448))</f>
        <v>4.3901845927077465</v>
      </c>
      <c r="BG44" s="94">
        <f>IF($A44="Baseline",'Emissions summary'!BD44,SUMIF('Net zero emission reductions'!$A$4:$A$1448,$A$44,'Net zero emission reductions'!AM$4:AM$1448))</f>
        <v>4.2740542474529546</v>
      </c>
      <c r="BH44" s="94">
        <f>IF($A44="Baseline",'Emissions summary'!BE44,SUMIF('Net zero emission reductions'!$A$4:$A$1448,$A$44,'Net zero emission reductions'!AN$4:AN$1448))</f>
        <v>4.2730298938155507</v>
      </c>
      <c r="BI44" s="94">
        <f>IF($A44="Baseline",'Emissions summary'!BF44,SUMIF('Net zero emission reductions'!$A$4:$A$1448,$A$44,'Net zero emission reductions'!AO$4:AO$1448))</f>
        <v>4.2718974633101565</v>
      </c>
      <c r="BJ44" s="94">
        <f>IF($A44="Baseline",'Emissions summary'!BG44,SUMIF('Net zero emission reductions'!$A$4:$A$1448,$A$44,'Net zero emission reductions'!AP$4:AP$1448))</f>
        <v>4.2708226105062916</v>
      </c>
      <c r="BK44" s="94">
        <f>IF($A44="Baseline",'Emissions summary'!BH44,SUMIF('Net zero emission reductions'!$A$4:$A$1448,$A$44,'Net zero emission reductions'!AQ$4:AQ$1448))</f>
        <v>4.2697468771209452</v>
      </c>
      <c r="BL44" s="94">
        <f>IF($A44="Baseline",'Emissions summary'!BI44,SUMIF('Net zero emission reductions'!$A$4:$A$1448,$A$44,'Net zero emission reductions'!AR$4:AR$1448))</f>
        <v>4.2686562218910673</v>
      </c>
      <c r="BM44" s="94">
        <f>IF($A44="Baseline",'Emissions summary'!BJ44,SUMIF('Net zero emission reductions'!$A$4:$A$1448,$A$44,'Net zero emission reductions'!AS$4:AS$1448))</f>
        <v>4.2675462190832505</v>
      </c>
      <c r="BN44" s="94">
        <f>IF($A44="Baseline",'Emissions summary'!BK44,SUMIF('Net zero emission reductions'!$A$4:$A$1448,$A$44,'Net zero emission reductions'!AT$4:AT$1448))</f>
        <v>4.266317225487323</v>
      </c>
      <c r="BO44" s="94">
        <f>IF($A44="Baseline",'Emissions summary'!BL44,SUMIF('Net zero emission reductions'!$A$4:$A$1448,$A$44,'Net zero emission reductions'!AU$4:AU$1448))</f>
        <v>4.2654552920617217</v>
      </c>
      <c r="BP44" s="94">
        <f>IF($A44="Baseline",'Emissions summary'!BM44,SUMIF('Net zero emission reductions'!$A$4:$A$1448,$A$44,'Net zero emission reductions'!AV$4:AV$1448))</f>
        <v>4.2646242236458551</v>
      </c>
      <c r="BQ44" s="94">
        <f>IF($A44="Baseline",'Emissions summary'!BN44,SUMIF('Net zero emission reductions'!$A$4:$A$1448,$A$44,'Net zero emission reductions'!AW$4:AW$1448))</f>
        <v>4.2637864182715699</v>
      </c>
    </row>
    <row r="45" spans="1:72" x14ac:dyDescent="0.2">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6.0531159936458003</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6.0227924876945922</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5.3342931181830355</v>
      </c>
      <c r="AN45" s="94">
        <f>IF($A45="Baseline",'Emissions summary'!AK45,SUMIF('Net zero emission reductions'!$A$4:$A$1448,$A$45,'Net zero emission reductions'!T$4:T$1448))</f>
        <v>5.3823789424035127</v>
      </c>
      <c r="AO45" s="94">
        <f>IF($A45="Baseline",'Emissions summary'!AL45,SUMIF('Net zero emission reductions'!$A$4:$A$1448,$A$45,'Net zero emission reductions'!U$4:U$1448))</f>
        <v>5.3897320474819521</v>
      </c>
      <c r="AP45" s="94">
        <f>IF($A45="Baseline",'Emissions summary'!AM45,SUMIF('Net zero emission reductions'!$A$4:$A$1448,$A$45,'Net zero emission reductions'!V$4:V$1448))</f>
        <v>5.386041508243447</v>
      </c>
      <c r="AQ45" s="94">
        <f>IF($A45="Baseline",'Emissions summary'!AN45,SUMIF('Net zero emission reductions'!$A$4:$A$1448,$A$45,'Net zero emission reductions'!W$4:W$1448))</f>
        <v>5.3974903737921247</v>
      </c>
      <c r="AR45" s="94">
        <f>IF($A45="Baseline",'Emissions summary'!AO45,SUMIF('Net zero emission reductions'!$A$4:$A$1448,$A$45,'Net zero emission reductions'!X$4:X$1448))</f>
        <v>5.3987903061356883</v>
      </c>
      <c r="AS45" s="94">
        <f>IF($A45="Baseline",'Emissions summary'!AP45,SUMIF('Net zero emission reductions'!$A$4:$A$1448,$A$45,'Net zero emission reductions'!Y$4:Y$1448))</f>
        <v>5.3848676300257212</v>
      </c>
      <c r="AT45" s="94">
        <f>IF($A45="Baseline",'Emissions summary'!AQ45,SUMIF('Net zero emission reductions'!$A$4:$A$1448,$A$45,'Net zero emission reductions'!Z$4:Z$1448))</f>
        <v>5.3646647831160168</v>
      </c>
      <c r="AU45" s="94">
        <f>IF($A45="Baseline",'Emissions summary'!AR45,SUMIF('Net zero emission reductions'!$A$4:$A$1448,$A$45,'Net zero emission reductions'!AA$4:AA$1448))</f>
        <v>5.3363076407556083</v>
      </c>
      <c r="AV45" s="94">
        <f>IF($A45="Baseline",'Emissions summary'!AS45,SUMIF('Net zero emission reductions'!$A$4:$A$1448,$A$45,'Net zero emission reductions'!AB$4:AB$1448))</f>
        <v>5.3319842452724355</v>
      </c>
      <c r="AW45" s="94">
        <f>IF($A45="Baseline",'Emissions summary'!AT45,SUMIF('Net zero emission reductions'!$A$4:$A$1448,$A$45,'Net zero emission reductions'!AC$4:AC$1448))</f>
        <v>5.3232883730406346</v>
      </c>
      <c r="AX45" s="94">
        <f>IF($A45="Baseline",'Emissions summary'!AU45,SUMIF('Net zero emission reductions'!$A$4:$A$1448,$A$45,'Net zero emission reductions'!AD$4:AD$1448))</f>
        <v>5.3093959687333729</v>
      </c>
      <c r="AY45" s="94">
        <f>IF($A45="Baseline",'Emissions summary'!AV45,SUMIF('Net zero emission reductions'!$A$4:$A$1448,$A$45,'Net zero emission reductions'!AE$4:AE$1448))</f>
        <v>5.3155622714306219</v>
      </c>
      <c r="AZ45" s="94">
        <f>IF($A45="Baseline",'Emissions summary'!AW45,SUMIF('Net zero emission reductions'!$A$4:$A$1448,$A$45,'Net zero emission reductions'!AF$4:AF$1448))</f>
        <v>5.3284433247291814</v>
      </c>
      <c r="BA45" s="94">
        <f>IF($A45="Baseline",'Emissions summary'!AX45,SUMIF('Net zero emission reductions'!$A$4:$A$1448,$A$45,'Net zero emission reductions'!AG$4:AG$1448))</f>
        <v>5.3606737041303267</v>
      </c>
      <c r="BB45" s="94">
        <f>IF($A45="Baseline",'Emissions summary'!AY45,SUMIF('Net zero emission reductions'!$A$4:$A$1448,$A$45,'Net zero emission reductions'!AH$4:AH$1448))</f>
        <v>5.3512767318878893</v>
      </c>
      <c r="BC45" s="94">
        <f>IF($A45="Baseline",'Emissions summary'!AZ45,SUMIF('Net zero emission reductions'!$A$4:$A$1448,$A$45,'Net zero emission reductions'!AI$4:AI$1448))</f>
        <v>5.3326622054662023</v>
      </c>
      <c r="BD45" s="94">
        <f>IF($A45="Baseline",'Emissions summary'!BA45,SUMIF('Net zero emission reductions'!$A$4:$A$1448,$A$45,'Net zero emission reductions'!AJ$4:AJ$1448))</f>
        <v>5.3215341993659893</v>
      </c>
      <c r="BE45" s="94">
        <f>IF($A45="Baseline",'Emissions summary'!BB45,SUMIF('Net zero emission reductions'!$A$4:$A$1448,$A$45,'Net zero emission reductions'!AK$4:AK$1448))</f>
        <v>5.3013974029938291</v>
      </c>
      <c r="BF45" s="94">
        <f>IF($A45="Baseline",'Emissions summary'!BC45,SUMIF('Net zero emission reductions'!$A$4:$A$1448,$A$45,'Net zero emission reductions'!AL$4:AL$1448))</f>
        <v>5.2830284323372698</v>
      </c>
      <c r="BG45" s="94">
        <f>IF($A45="Baseline",'Emissions summary'!BD45,SUMIF('Net zero emission reductions'!$A$4:$A$1448,$A$45,'Net zero emission reductions'!AM$4:AM$1448))</f>
        <v>5.2607689424218096</v>
      </c>
      <c r="BH45" s="94">
        <f>IF($A45="Baseline",'Emissions summary'!BE45,SUMIF('Net zero emission reductions'!$A$4:$A$1448,$A$45,'Net zero emission reductions'!AN$4:AN$1448))</f>
        <v>5.3374941187772427</v>
      </c>
      <c r="BI45" s="94">
        <f>IF($A45="Baseline",'Emissions summary'!BF45,SUMIF('Net zero emission reductions'!$A$4:$A$1448,$A$45,'Net zero emission reductions'!AO$4:AO$1448))</f>
        <v>5.4069033318749185</v>
      </c>
      <c r="BJ45" s="94">
        <f>IF($A45="Baseline",'Emissions summary'!BG45,SUMIF('Net zero emission reductions'!$A$4:$A$1448,$A$45,'Net zero emission reductions'!AP$4:AP$1448))</f>
        <v>5.4767472197596714</v>
      </c>
      <c r="BK45" s="94">
        <f>IF($A45="Baseline",'Emissions summary'!BH45,SUMIF('Net zero emission reductions'!$A$4:$A$1448,$A$45,'Net zero emission reductions'!AQ$4:AQ$1448))</f>
        <v>5.5489383078654964</v>
      </c>
      <c r="BL45" s="94">
        <f>IF($A45="Baseline",'Emissions summary'!BI45,SUMIF('Net zero emission reductions'!$A$4:$A$1448,$A$45,'Net zero emission reductions'!AR$4:AR$1448))</f>
        <v>5.6241253306912222</v>
      </c>
      <c r="BM45" s="94">
        <f>IF($A45="Baseline",'Emissions summary'!BJ45,SUMIF('Net zero emission reductions'!$A$4:$A$1448,$A$45,'Net zero emission reductions'!AS$4:AS$1448))</f>
        <v>5.7162273386896896</v>
      </c>
      <c r="BN45" s="94">
        <f>IF($A45="Baseline",'Emissions summary'!BK45,SUMIF('Net zero emission reductions'!$A$4:$A$1448,$A$45,'Net zero emission reductions'!AT$4:AT$1448))</f>
        <v>5.7578158729020812</v>
      </c>
      <c r="BO45" s="94">
        <f>IF($A45="Baseline",'Emissions summary'!BL45,SUMIF('Net zero emission reductions'!$A$4:$A$1448,$A$45,'Net zero emission reductions'!AU$4:AU$1448))</f>
        <v>5.7951310068545254</v>
      </c>
      <c r="BP45" s="94">
        <f>IF($A45="Baseline",'Emissions summary'!BM45,SUMIF('Net zero emission reductions'!$A$4:$A$1448,$A$45,'Net zero emission reductions'!AV$4:AV$1448))</f>
        <v>5.8333789347750784</v>
      </c>
      <c r="BQ45" s="94">
        <f>IF($A45="Baseline",'Emissions summary'!BN45,SUMIF('Net zero emission reductions'!$A$4:$A$1448,$A$45,'Net zero emission reductions'!AW$4:AW$1448))</f>
        <v>5.8703799238596943</v>
      </c>
    </row>
    <row r="46" spans="1:72" x14ac:dyDescent="0.2">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2.968676648093143</v>
      </c>
      <c r="AO46" s="27">
        <f>'Net zero emission reductions'!U1465</f>
        <v>2.9825082583829583</v>
      </c>
      <c r="AP46" s="27">
        <f>'Net zero emission reductions'!V1465</f>
        <v>2.9933346622173946</v>
      </c>
      <c r="AQ46" s="27">
        <f>'Net zero emission reductions'!W1465</f>
        <v>3.0033565813928953</v>
      </c>
      <c r="AR46" s="27">
        <f>'Net zero emission reductions'!X1465</f>
        <v>3.0145589479472883</v>
      </c>
      <c r="AS46" s="27">
        <f>'Net zero emission reductions'!Y1465</f>
        <v>3.0250336120057435</v>
      </c>
      <c r="AT46" s="27">
        <f>'Net zero emission reductions'!Z1465</f>
        <v>3.0343616658849326</v>
      </c>
      <c r="AU46" s="27">
        <f>'Net zero emission reductions'!AA1465</f>
        <v>3.0432376902631781</v>
      </c>
      <c r="AV46" s="27">
        <f>'Net zero emission reductions'!AB1465</f>
        <v>3.0515077861767024</v>
      </c>
      <c r="AW46" s="27">
        <f>'Net zero emission reductions'!AC1465</f>
        <v>3.0617139574874526</v>
      </c>
      <c r="AX46" s="27">
        <f>'Net zero emission reductions'!AD1465</f>
        <v>3.0716388969147959</v>
      </c>
      <c r="AY46" s="27">
        <f>'Net zero emission reductions'!AE1465</f>
        <v>3.0822275993217993</v>
      </c>
      <c r="AZ46" s="27">
        <f>'Net zero emission reductions'!AF1465</f>
        <v>3.0946028925022198</v>
      </c>
      <c r="BA46" s="27">
        <f>'Net zero emission reductions'!AG1465</f>
        <v>3.1077211921821801</v>
      </c>
      <c r="BB46" s="27">
        <f>'Net zero emission reductions'!AH1465</f>
        <v>3.122637390743785</v>
      </c>
      <c r="BC46" s="27">
        <f>'Net zero emission reductions'!AI1465</f>
        <v>3.1343652344778912</v>
      </c>
      <c r="BD46" s="27">
        <f>'Net zero emission reductions'!AJ1465</f>
        <v>3.1455242459932262</v>
      </c>
      <c r="BE46" s="27">
        <f>'Net zero emission reductions'!AK1465</f>
        <v>3.1575220431438074</v>
      </c>
      <c r="BF46" s="27">
        <f>'Net zero emission reductions'!AL1465</f>
        <v>3.1689887533313184</v>
      </c>
      <c r="BG46" s="27">
        <f>'Net zero emission reductions'!AM1465</f>
        <v>3.1808403476591942</v>
      </c>
      <c r="BH46" s="27">
        <f>'Net zero emission reductions'!AN1465</f>
        <v>3.1926055806550666</v>
      </c>
      <c r="BI46" s="27">
        <f>'Net zero emission reductions'!AO1465</f>
        <v>3.2056121325538434</v>
      </c>
      <c r="BJ46" s="27">
        <f>'Net zero emission reductions'!AP1465</f>
        <v>3.217957374677253</v>
      </c>
      <c r="BK46" s="27">
        <f>'Net zero emission reductions'!AQ1465</f>
        <v>3.2303127307358399</v>
      </c>
      <c r="BL46" s="27">
        <f>'Net zero emission reductions'!AR1465</f>
        <v>3.24283947192085</v>
      </c>
      <c r="BM46" s="27">
        <f>'Net zero emission reductions'!AS1465</f>
        <v>3.2555884300766866</v>
      </c>
      <c r="BN46" s="27">
        <f>'Net zero emission reductions'!AT1465</f>
        <v>3.2697040591705311</v>
      </c>
      <c r="BO46" s="27">
        <f>'Net zero emission reductions'!AU1465</f>
        <v>3.2796038117645905</v>
      </c>
      <c r="BP46" s="27">
        <f>'Net zero emission reductions'!AV1465</f>
        <v>3.2891490637080194</v>
      </c>
      <c r="BQ46" s="27">
        <f>'Net zero emission reductions'!AW1465</f>
        <v>3.2987716931142437</v>
      </c>
    </row>
    <row r="47" spans="1:72" x14ac:dyDescent="0.2">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35.397528140833245</v>
      </c>
      <c r="AF47" s="94">
        <f>IF($A47="Baseline",'Emissions summary'!AC47,SUMIF('Net zero emission reductions'!$A$4:$A$1448,$A$47,'Net zero emission reductions'!L$4:L$1448))</f>
        <v>35.200133147246405</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30.41401381575114</v>
      </c>
      <c r="AN47" s="94">
        <f>IF($A47="Baseline",'Emissions summary'!AK47,SUMIF('Net zero emission reductions'!$A$4:$A$1448,$A$47,'Net zero emission reductions'!T$4:T$1448))</f>
        <v>30.666800979738099</v>
      </c>
      <c r="AO47" s="94">
        <f>IF($A47="Baseline",'Emissions summary'!AL47,SUMIF('Net zero emission reductions'!$A$4:$A$1448,$A$47,'Net zero emission reductions'!U$4:U$1448))</f>
        <v>30.737916971246001</v>
      </c>
      <c r="AP47" s="94">
        <f>IF($A47="Baseline",'Emissions summary'!AM47,SUMIF('Net zero emission reductions'!$A$4:$A$1448,$A$47,'Net zero emission reductions'!V$4:V$1448))</f>
        <v>30.762784442324534</v>
      </c>
      <c r="AQ47" s="94">
        <f>IF($A47="Baseline",'Emissions summary'!AN47,SUMIF('Net zero emission reductions'!$A$4:$A$1448,$A$47,'Net zero emission reductions'!W$4:W$1448))</f>
        <v>30.859457972322851</v>
      </c>
      <c r="AR47" s="94">
        <f>IF($A47="Baseline",'Emissions summary'!AO47,SUMIF('Net zero emission reductions'!$A$4:$A$1448,$A$47,'Net zero emission reductions'!X$4:X$1448))</f>
        <v>30.914212758142995</v>
      </c>
      <c r="AS47" s="94">
        <f>IF($A47="Baseline",'Emissions summary'!AP47,SUMIF('Net zero emission reductions'!$A$4:$A$1448,$A$47,'Net zero emission reductions'!Y$4:Y$1448))</f>
        <v>30.893878976438913</v>
      </c>
      <c r="AT47" s="94">
        <f>IF($A47="Baseline",'Emissions summary'!AQ47,SUMIF('Net zero emission reductions'!$A$4:$A$1448,$A$47,'Net zero emission reductions'!Z$4:Z$1448))</f>
        <v>30.849714220021859</v>
      </c>
      <c r="AU47" s="94">
        <f>IF($A47="Baseline",'Emissions summary'!AR47,SUMIF('Net zero emission reductions'!$A$4:$A$1448,$A$47,'Net zero emission reductions'!AA$4:AA$1448))</f>
        <v>30.773634363253251</v>
      </c>
      <c r="AV47" s="94">
        <f>IF($A47="Baseline",'Emissions summary'!AS47,SUMIF('Net zero emission reductions'!$A$4:$A$1448,$A$47,'Net zero emission reductions'!AB$4:AB$1448))</f>
        <v>30.80863423912292</v>
      </c>
      <c r="AW47" s="94">
        <f>IF($A47="Baseline",'Emissions summary'!AT47,SUMIF('Net zero emission reductions'!$A$4:$A$1448,$A$47,'Net zero emission reductions'!AC$4:AC$1448))</f>
        <v>30.828442584946838</v>
      </c>
      <c r="AX47" s="94">
        <f>IF($A47="Baseline",'Emissions summary'!AU47,SUMIF('Net zero emission reductions'!$A$4:$A$1448,$A$47,'Net zero emission reductions'!AD$4:AD$1448))</f>
        <v>30.824313086662123</v>
      </c>
      <c r="AY47" s="94">
        <f>IF($A47="Baseline",'Emissions summary'!AV47,SUMIF('Net zero emission reductions'!$A$4:$A$1448,$A$47,'Net zero emission reductions'!AE$4:AE$1448))</f>
        <v>30.912462517062355</v>
      </c>
      <c r="AZ47" s="94">
        <f>IF($A47="Baseline",'Emissions summary'!AW47,SUMIF('Net zero emission reductions'!$A$4:$A$1448,$A$47,'Net zero emission reductions'!AF$4:AF$1448))</f>
        <v>31.033933628079463</v>
      </c>
      <c r="BA47" s="94">
        <f>IF($A47="Baseline",'Emissions summary'!AX47,SUMIF('Net zero emission reductions'!$A$4:$A$1448,$A$47,'Net zero emission reductions'!AG$4:AG$1448))</f>
        <v>31.244738161274039</v>
      </c>
      <c r="BB47" s="94">
        <f>IF($A47="Baseline",'Emissions summary'!AY47,SUMIF('Net zero emission reductions'!$A$4:$A$1448,$A$47,'Net zero emission reductions'!AH$4:AH$1448))</f>
        <v>31.275409499267159</v>
      </c>
      <c r="BC47" s="94">
        <f>IF($A47="Baseline",'Emissions summary'!AZ47,SUMIF('Net zero emission reductions'!$A$4:$A$1448,$A$47,'Net zero emission reductions'!AI$4:AI$1448))</f>
        <v>31.261114755032331</v>
      </c>
      <c r="BD47" s="94">
        <f>IF($A47="Baseline",'Emissions summary'!BA47,SUMIF('Net zero emission reductions'!$A$4:$A$1448,$A$47,'Net zero emission reductions'!AJ$4:AJ$1448))</f>
        <v>31.284143156593895</v>
      </c>
      <c r="BE47" s="94">
        <f>IF($A47="Baseline",'Emissions summary'!BB47,SUMIF('Net zero emission reductions'!$A$4:$A$1448,$A$47,'Net zero emission reductions'!AK$4:AK$1448))</f>
        <v>31.271666142120626</v>
      </c>
      <c r="BF47" s="94">
        <f>IF($A47="Baseline",'Emissions summary'!BC47,SUMIF('Net zero emission reductions'!$A$4:$A$1448,$A$47,'Net zero emission reductions'!AL$4:AL$1448))</f>
        <v>31.27155964683401</v>
      </c>
      <c r="BG47" s="94">
        <f>IF($A47="Baseline",'Emissions summary'!BD47,SUMIF('Net zero emission reductions'!$A$4:$A$1448,$A$47,'Net zero emission reductions'!AM$4:AM$1448))</f>
        <v>31.258945552603123</v>
      </c>
      <c r="BH47" s="94">
        <f>IF($A47="Baseline",'Emissions summary'!BE47,SUMIF('Net zero emission reductions'!$A$4:$A$1448,$A$47,'Net zero emission reductions'!AN$4:AN$1448))</f>
        <v>31.395347877067444</v>
      </c>
      <c r="BI47" s="94">
        <f>IF($A47="Baseline",'Emissions summary'!BF47,SUMIF('Net zero emission reductions'!$A$4:$A$1448,$A$47,'Net zero emission reductions'!AO$4:AO$1448))</f>
        <v>31.492583333418114</v>
      </c>
      <c r="BJ47" s="94">
        <f>IF($A47="Baseline",'Emissions summary'!BG47,SUMIF('Net zero emission reductions'!$A$4:$A$1448,$A$47,'Net zero emission reductions'!AP$4:AP$1448))</f>
        <v>31.584886261722598</v>
      </c>
      <c r="BK47" s="94">
        <f>IF($A47="Baseline",'Emissions summary'!BH47,SUMIF('Net zero emission reductions'!$A$4:$A$1448,$A$47,'Net zero emission reductions'!AQ$4:AQ$1448))</f>
        <v>31.680240013268435</v>
      </c>
      <c r="BL47" s="94">
        <f>IF($A47="Baseline",'Emissions summary'!BI47,SUMIF('Net zero emission reductions'!$A$4:$A$1448,$A$47,'Net zero emission reductions'!AR$4:AR$1448))</f>
        <v>31.780952281850706</v>
      </c>
      <c r="BM47" s="94">
        <f>IF($A47="Baseline",'Emissions summary'!BJ47,SUMIF('Net zero emission reductions'!$A$4:$A$1448,$A$47,'Net zero emission reductions'!AS$4:AS$1448))</f>
        <v>31.936810930110493</v>
      </c>
      <c r="BN47" s="94">
        <f>IF($A47="Baseline",'Emissions summary'!BK47,SUMIF('Net zero emission reductions'!$A$4:$A$1448,$A$47,'Net zero emission reductions'!AT$4:AT$1448))</f>
        <v>31.875162247870861</v>
      </c>
      <c r="BO47" s="94">
        <f>IF($A47="Baseline",'Emissions summary'!BL47,SUMIF('Net zero emission reductions'!$A$4:$A$1448,$A$47,'Net zero emission reductions'!AU$4:AU$1448))</f>
        <v>31.791298846509193</v>
      </c>
      <c r="BP47" s="94">
        <f>IF($A47="Baseline",'Emissions summary'!BM47,SUMIF('Net zero emission reductions'!$A$4:$A$1448,$A$47,'Net zero emission reductions'!AV$4:AV$1448))</f>
        <v>31.706709437045944</v>
      </c>
      <c r="BQ47" s="94">
        <f>IF($A47="Baseline",'Emissions summary'!BN47,SUMIF('Net zero emission reductions'!$A$4:$A$1448,$A$47,'Net zero emission reductions'!AW$4:AW$1448))</f>
        <v>31.612499531821143</v>
      </c>
    </row>
    <row r="48" spans="1:72" x14ac:dyDescent="0.2">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6" x14ac:dyDescent="0.2">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6.5718769479322932</v>
      </c>
      <c r="AI49" s="41">
        <f t="shared" si="32"/>
        <v>6.5185214490709154</v>
      </c>
      <c r="AJ49" s="41">
        <f t="shared" si="32"/>
        <v>6.4445703159865921</v>
      </c>
      <c r="AK49" s="41">
        <f t="shared" si="32"/>
        <v>6.3913491075327142</v>
      </c>
      <c r="AL49" s="41">
        <f t="shared" si="32"/>
        <v>6.3428476696520812</v>
      </c>
      <c r="AM49" s="41">
        <f t="shared" si="32"/>
        <v>5.9713553481364752</v>
      </c>
      <c r="AN49" s="41">
        <f t="shared" si="32"/>
        <v>6.0101463738015166</v>
      </c>
      <c r="AO49" s="41">
        <f t="shared" si="32"/>
        <v>6.0223122560406885</v>
      </c>
      <c r="AP49" s="41">
        <f t="shared" si="32"/>
        <v>6.0273704604052831</v>
      </c>
      <c r="AQ49" s="41">
        <f t="shared" si="32"/>
        <v>6.043584766786644</v>
      </c>
      <c r="AR49" s="41">
        <f t="shared" si="32"/>
        <v>6.053380062643023</v>
      </c>
      <c r="AS49" s="41">
        <f t="shared" si="32"/>
        <v>6.0509763075913261</v>
      </c>
      <c r="AT49" s="41">
        <f t="shared" si="32"/>
        <v>6.0446867274405083</v>
      </c>
      <c r="AU49" s="41">
        <f t="shared" si="32"/>
        <v>6.0331744502623552</v>
      </c>
      <c r="AV49" s="41">
        <f t="shared" si="32"/>
        <v>6.0391098812572039</v>
      </c>
      <c r="AW49" s="41">
        <f t="shared" si="32"/>
        <v>6.0425860125596849</v>
      </c>
      <c r="AX49" s="41">
        <f t="shared" si="32"/>
        <v>6.0329293107954003</v>
      </c>
      <c r="AY49" s="41">
        <f t="shared" si="32"/>
        <v>6.0380042601832553</v>
      </c>
      <c r="AZ49" s="41">
        <f t="shared" si="32"/>
        <v>6.0484210140812804</v>
      </c>
      <c r="BA49" s="41">
        <f t="shared" si="32"/>
        <v>6.0731670751035765</v>
      </c>
      <c r="BB49" s="41">
        <f t="shared" si="32"/>
        <v>6.0689377337450621</v>
      </c>
      <c r="BC49" s="41">
        <f t="shared" si="32"/>
        <v>6.0569962624474849</v>
      </c>
      <c r="BD49" s="41">
        <f t="shared" si="32"/>
        <v>6.0509208518764019</v>
      </c>
      <c r="BE49" s="41">
        <f t="shared" si="32"/>
        <v>6.0389929732907239</v>
      </c>
      <c r="BF49" s="41">
        <f t="shared" si="32"/>
        <v>6.0288859762861078</v>
      </c>
      <c r="BG49" s="41">
        <f t="shared" si="32"/>
        <v>6.016590033770834</v>
      </c>
      <c r="BH49" s="41">
        <f t="shared" si="32"/>
        <v>6.0546020729183887</v>
      </c>
      <c r="BI49" s="41">
        <f t="shared" si="32"/>
        <v>6.0867656356455155</v>
      </c>
      <c r="BJ49" s="41">
        <f t="shared" si="32"/>
        <v>6.1185728703486557</v>
      </c>
      <c r="BK49" s="41">
        <f t="shared" si="32"/>
        <v>6.1513599995317856</v>
      </c>
      <c r="BL49" s="41">
        <f t="shared" si="32"/>
        <v>6.185536242045794</v>
      </c>
      <c r="BM49" s="41">
        <f t="shared" si="32"/>
        <v>6.229203117858277</v>
      </c>
      <c r="BN49" s="41">
        <f t="shared" si="32"/>
        <v>6.2371684969553751</v>
      </c>
      <c r="BO49" s="41">
        <f t="shared" si="32"/>
        <v>6.2415899554668011</v>
      </c>
      <c r="BP49" s="41">
        <f t="shared" si="32"/>
        <v>6.2461525238121434</v>
      </c>
      <c r="BQ49" s="41">
        <f t="shared" si="32"/>
        <v>6.2493664672358538</v>
      </c>
      <c r="BT49"/>
    </row>
    <row r="50" spans="1:75" x14ac:dyDescent="0.2">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6.2219605366729409</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5.6458394370829543</v>
      </c>
      <c r="AN50" s="94">
        <f>IF($A50="Baseline",'Emissions summary'!AK50,SUMIF('Net zero emission reductions'!$A$4:$A$1448,$A$50,'Net zero emission reductions'!T$4:T$1448))</f>
        <v>5.6845165368386201</v>
      </c>
      <c r="AO50" s="94">
        <f>IF($A50="Baseline",'Emissions summary'!AL50,SUMIF('Net zero emission reductions'!$A$4:$A$1448,$A$50,'Net zero emission reductions'!U$4:U$1448))</f>
        <v>5.6964948383586815</v>
      </c>
      <c r="AP50" s="94">
        <f>IF($A50="Baseline",'Emissions summary'!AM50,SUMIF('Net zero emission reductions'!$A$4:$A$1448,$A$50,'Net zero emission reductions'!V$4:V$1448))</f>
        <v>5.7018580263758665</v>
      </c>
      <c r="AQ50" s="94">
        <f>IF($A50="Baseline",'Emissions summary'!AN50,SUMIF('Net zero emission reductions'!$A$4:$A$1448,$A$50,'Net zero emission reductions'!W$4:W$1448))</f>
        <v>5.7179001427250187</v>
      </c>
      <c r="AR50" s="94">
        <f>IF($A50="Baseline",'Emissions summary'!AO50,SUMIF('Net zero emission reductions'!$A$4:$A$1448,$A$50,'Net zero emission reductions'!X$4:X$1448))</f>
        <v>5.7278396541949181</v>
      </c>
      <c r="AS50" s="94">
        <f>IF($A50="Baseline",'Emissions summary'!AP50,SUMIF('Net zero emission reductions'!$A$4:$A$1448,$A$50,'Net zero emission reductions'!Y$4:Y$1448))</f>
        <v>5.7261297169926628</v>
      </c>
      <c r="AT50" s="94">
        <f>IF($A50="Baseline",'Emissions summary'!AQ50,SUMIF('Net zero emission reductions'!$A$4:$A$1448,$A$50,'Net zero emission reductions'!Z$4:Z$1448))</f>
        <v>5.7207917711561151</v>
      </c>
      <c r="AU50" s="94">
        <f>IF($A50="Baseline",'Emissions summary'!AR50,SUMIF('Net zero emission reductions'!$A$4:$A$1448,$A$50,'Net zero emission reductions'!AA$4:AA$1448))</f>
        <v>5.7105252527319745</v>
      </c>
      <c r="AV50" s="94">
        <f>IF($A50="Baseline",'Emissions summary'!AS50,SUMIF('Net zero emission reductions'!$A$4:$A$1448,$A$50,'Net zero emission reductions'!AB$4:AB$1448))</f>
        <v>5.7169310702790721</v>
      </c>
      <c r="AW50" s="94">
        <f>IF($A50="Baseline",'Emissions summary'!AT50,SUMIF('Net zero emission reductions'!$A$4:$A$1448,$A$50,'Net zero emission reductions'!AC$4:AC$1448))</f>
        <v>5.7209665513559056</v>
      </c>
      <c r="AX50" s="94">
        <f>IF($A50="Baseline",'Emissions summary'!AU50,SUMIF('Net zero emission reductions'!$A$4:$A$1448,$A$50,'Net zero emission reductions'!AD$4:AD$1448))</f>
        <v>5.7115062175279334</v>
      </c>
      <c r="AY50" s="94">
        <f>IF($A50="Baseline",'Emissions summary'!AV50,SUMIF('Net zero emission reductions'!$A$4:$A$1448,$A$50,'Net zero emission reductions'!AE$4:AE$1448))</f>
        <v>5.7160912813915843</v>
      </c>
      <c r="AZ50" s="94">
        <f>IF($A50="Baseline",'Emissions summary'!AW50,SUMIF('Net zero emission reductions'!$A$4:$A$1448,$A$50,'Net zero emission reductions'!AF$4:AF$1448))</f>
        <v>5.7257361127601722</v>
      </c>
      <c r="BA50" s="94">
        <f>IF($A50="Baseline",'Emissions summary'!AX50,SUMIF('Net zero emission reductions'!$A$4:$A$1448,$A$50,'Net zero emission reductions'!AG$4:AG$1448))</f>
        <v>5.7490473559502808</v>
      </c>
      <c r="BB50" s="94">
        <f>IF($A50="Baseline",'Emissions summary'!AY50,SUMIF('Net zero emission reductions'!$A$4:$A$1448,$A$50,'Net zero emission reductions'!AH$4:AH$1448))</f>
        <v>5.744698858417097</v>
      </c>
      <c r="BC50" s="94">
        <f>IF($A50="Baseline",'Emissions summary'!AZ50,SUMIF('Net zero emission reductions'!$A$4:$A$1448,$A$50,'Net zero emission reductions'!AI$4:AI$1448))</f>
        <v>5.7330536910038852</v>
      </c>
      <c r="BD50" s="94">
        <f>IF($A50="Baseline",'Emissions summary'!BA50,SUMIF('Net zero emission reductions'!$A$4:$A$1448,$A$50,'Net zero emission reductions'!AJ$4:AJ$1448))</f>
        <v>5.7270481617462838</v>
      </c>
      <c r="BE50" s="94">
        <f>IF($A50="Baseline",'Emissions summary'!BB50,SUMIF('Net zero emission reductions'!$A$4:$A$1448,$A$50,'Net zero emission reductions'!AK$4:AK$1448))</f>
        <v>5.7154591417492044</v>
      </c>
      <c r="BF50" s="94">
        <f>IF($A50="Baseline",'Emissions summary'!BC50,SUMIF('Net zero emission reductions'!$A$4:$A$1448,$A$50,'Net zero emission reductions'!AL$4:AL$1448))</f>
        <v>5.7056519914963557</v>
      </c>
      <c r="BG50" s="94">
        <f>IF($A50="Baseline",'Emissions summary'!BD50,SUMIF('Net zero emission reductions'!$A$4:$A$1448,$A$50,'Net zero emission reductions'!AM$4:AM$1448))</f>
        <v>5.6937715635178856</v>
      </c>
      <c r="BH50" s="94">
        <f>IF($A50="Baseline",'Emissions summary'!BE50,SUMIF('Net zero emission reductions'!$A$4:$A$1448,$A$50,'Net zero emission reductions'!AN$4:AN$1448))</f>
        <v>5.7288691026494458</v>
      </c>
      <c r="BI50" s="94">
        <f>IF($A50="Baseline",'Emissions summary'!BF50,SUMIF('Net zero emission reductions'!$A$4:$A$1448,$A$50,'Net zero emission reductions'!AO$4:AO$1448))</f>
        <v>5.758314164719641</v>
      </c>
      <c r="BJ50" s="94">
        <f>IF($A50="Baseline",'Emissions summary'!BG50,SUMIF('Net zero emission reductions'!$A$4:$A$1448,$A$50,'Net zero emission reductions'!AP$4:AP$1448))</f>
        <v>5.787409562655597</v>
      </c>
      <c r="BK50" s="94">
        <f>IF($A50="Baseline",'Emissions summary'!BH50,SUMIF('Net zero emission reductions'!$A$4:$A$1448,$A$50,'Net zero emission reductions'!AQ$4:AQ$1448))</f>
        <v>5.8174053490765161</v>
      </c>
      <c r="BL50" s="94">
        <f>IF($A50="Baseline",'Emissions summary'!BI50,SUMIF('Net zero emission reductions'!$A$4:$A$1448,$A$50,'Net zero emission reductions'!AR$4:AR$1448))</f>
        <v>5.8486837272555512</v>
      </c>
      <c r="BM50" s="94">
        <f>IF($A50="Baseline",'Emissions summary'!BJ50,SUMIF('Net zero emission reductions'!$A$4:$A$1448,$A$50,'Net zero emission reductions'!AS$4:AS$1448))</f>
        <v>5.8888876562787775</v>
      </c>
      <c r="BN50" s="94">
        <f>IF($A50="Baseline",'Emissions summary'!BK50,SUMIF('Net zero emission reductions'!$A$4:$A$1448,$A$50,'Net zero emission reductions'!AT$4:AT$1448))</f>
        <v>5.8949981961396762</v>
      </c>
      <c r="BO50" s="94">
        <f>IF($A50="Baseline",'Emissions summary'!BL50,SUMIF('Net zero emission reductions'!$A$4:$A$1448,$A$50,'Net zero emission reductions'!AU$4:AU$1448))</f>
        <v>5.8978472562898627</v>
      </c>
      <c r="BP50" s="94">
        <f>IF($A50="Baseline",'Emissions summary'!BM50,SUMIF('Net zero emission reductions'!$A$4:$A$1448,$A$50,'Net zero emission reductions'!AV$4:AV$1448))</f>
        <v>5.9008155607307264</v>
      </c>
      <c r="BQ50" s="94">
        <f>IF($A50="Baseline",'Emissions summary'!BN50,SUMIF('Net zero emission reductions'!$A$4:$A$1448,$A$50,'Net zero emission reductions'!AW$4:AW$1448))</f>
        <v>5.9024698165703855</v>
      </c>
    </row>
    <row r="51" spans="1:75" x14ac:dyDescent="0.2">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0.34852931696715733</v>
      </c>
      <c r="AG51" s="94">
        <f>IF($A51="Baseline",'Emissions summary'!AD51,SUMIF('Net zero emission reductions'!$A$4:$A$1448,$A$51,'Net zero emission reductions'!M$4:M$1448))</f>
        <v>0.35008158455819988</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0.34853257082450828</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0.32551591105352079</v>
      </c>
      <c r="AN51" s="94">
        <f>IF($A51="Baseline",'Emissions summary'!AK51,SUMIF('Net zero emission reductions'!$A$4:$A$1448,$A$51,'Net zero emission reductions'!T$4:T$1448))</f>
        <v>0.32562983696289621</v>
      </c>
      <c r="AO51" s="94">
        <f>IF($A51="Baseline",'Emissions summary'!AL51,SUMIF('Net zero emission reductions'!$A$4:$A$1448,$A$51,'Net zero emission reductions'!U$4:U$1448))</f>
        <v>0.32581741768200662</v>
      </c>
      <c r="AP51" s="94">
        <f>IF($A51="Baseline",'Emissions summary'!AM51,SUMIF('Net zero emission reductions'!$A$4:$A$1448,$A$51,'Net zero emission reductions'!V$4:V$1448))</f>
        <v>0.32551243402941654</v>
      </c>
      <c r="AQ51" s="94">
        <f>IF($A51="Baseline",'Emissions summary'!AN51,SUMIF('Net zero emission reductions'!$A$4:$A$1448,$A$51,'Net zero emission reductions'!W$4:W$1448))</f>
        <v>0.32568462406162541</v>
      </c>
      <c r="AR51" s="94">
        <f>IF($A51="Baseline",'Emissions summary'!AO51,SUMIF('Net zero emission reductions'!$A$4:$A$1448,$A$51,'Net zero emission reductions'!X$4:X$1448))</f>
        <v>0.325540408448105</v>
      </c>
      <c r="AS51" s="94">
        <f>IF($A51="Baseline",'Emissions summary'!AP51,SUMIF('Net zero emission reductions'!$A$4:$A$1448,$A$51,'Net zero emission reductions'!Y$4:Y$1448))</f>
        <v>0.32484659059866339</v>
      </c>
      <c r="AT51" s="94">
        <f>IF($A51="Baseline",'Emissions summary'!AQ51,SUMIF('Net zero emission reductions'!$A$4:$A$1448,$A$51,'Net zero emission reductions'!Z$4:Z$1448))</f>
        <v>0.32389495628439308</v>
      </c>
      <c r="AU51" s="94">
        <f>IF($A51="Baseline",'Emissions summary'!AR51,SUMIF('Net zero emission reductions'!$A$4:$A$1448,$A$51,'Net zero emission reductions'!AA$4:AA$1448))</f>
        <v>0.32264919753038029</v>
      </c>
      <c r="AV51" s="94">
        <f>IF($A51="Baseline",'Emissions summary'!AS51,SUMIF('Net zero emission reductions'!$A$4:$A$1448,$A$51,'Net zero emission reductions'!AB$4:AB$1448))</f>
        <v>0.32217881097813139</v>
      </c>
      <c r="AW51" s="94">
        <f>IF($A51="Baseline",'Emissions summary'!AT51,SUMIF('Net zero emission reductions'!$A$4:$A$1448,$A$51,'Net zero emission reductions'!AC$4:AC$1448))</f>
        <v>0.3216194612037791</v>
      </c>
      <c r="AX51" s="94">
        <f>IF($A51="Baseline",'Emissions summary'!AU51,SUMIF('Net zero emission reductions'!$A$4:$A$1448,$A$51,'Net zero emission reductions'!AD$4:AD$1448))</f>
        <v>0.32142309326746693</v>
      </c>
      <c r="AY51" s="94">
        <f>IF($A51="Baseline",'Emissions summary'!AV51,SUMIF('Net zero emission reductions'!$A$4:$A$1448,$A$51,'Net zero emission reductions'!AE$4:AE$1448))</f>
        <v>0.32191297879167058</v>
      </c>
      <c r="AZ51" s="94">
        <f>IF($A51="Baseline",'Emissions summary'!AW51,SUMIF('Net zero emission reductions'!$A$4:$A$1448,$A$51,'Net zero emission reductions'!AF$4:AF$1448))</f>
        <v>0.32268490132110833</v>
      </c>
      <c r="BA51" s="94">
        <f>IF($A51="Baseline",'Emissions summary'!AX51,SUMIF('Net zero emission reductions'!$A$4:$A$1448,$A$51,'Net zero emission reductions'!AG$4:AG$1448))</f>
        <v>0.32411971915329529</v>
      </c>
      <c r="BB51" s="94">
        <f>IF($A51="Baseline",'Emissions summary'!AY51,SUMIF('Net zero emission reductions'!$A$4:$A$1448,$A$51,'Net zero emission reductions'!AH$4:AH$1448))</f>
        <v>0.32423887532796519</v>
      </c>
      <c r="BC51" s="94">
        <f>IF($A51="Baseline",'Emissions summary'!AZ51,SUMIF('Net zero emission reductions'!$A$4:$A$1448,$A$51,'Net zero emission reductions'!AI$4:AI$1448))</f>
        <v>0.32394257144359984</v>
      </c>
      <c r="BD51" s="94">
        <f>IF($A51="Baseline",'Emissions summary'!BA51,SUMIF('Net zero emission reductions'!$A$4:$A$1448,$A$51,'Net zero emission reductions'!AJ$4:AJ$1448))</f>
        <v>0.32387269013011805</v>
      </c>
      <c r="BE51" s="94">
        <f>IF($A51="Baseline",'Emissions summary'!BB51,SUMIF('Net zero emission reductions'!$A$4:$A$1448,$A$51,'Net zero emission reductions'!AK$4:AK$1448))</f>
        <v>0.32353383154151943</v>
      </c>
      <c r="BF51" s="94">
        <f>IF($A51="Baseline",'Emissions summary'!BC51,SUMIF('Net zero emission reductions'!$A$4:$A$1448,$A$51,'Net zero emission reductions'!AL$4:AL$1448))</f>
        <v>0.32323398478975246</v>
      </c>
      <c r="BG51" s="94">
        <f>IF($A51="Baseline",'Emissions summary'!BD51,SUMIF('Net zero emission reductions'!$A$4:$A$1448,$A$51,'Net zero emission reductions'!AM$4:AM$1448))</f>
        <v>0.32281847025294858</v>
      </c>
      <c r="BH51" s="94">
        <f>IF($A51="Baseline",'Emissions summary'!BE51,SUMIF('Net zero emission reductions'!$A$4:$A$1448,$A$51,'Net zero emission reductions'!AN$4:AN$1448))</f>
        <v>0.32573297026894266</v>
      </c>
      <c r="BI51" s="94">
        <f>IF($A51="Baseline",'Emissions summary'!BF51,SUMIF('Net zero emission reductions'!$A$4:$A$1448,$A$51,'Net zero emission reductions'!AO$4:AO$1448))</f>
        <v>0.32845147092587446</v>
      </c>
      <c r="BJ51" s="94">
        <f>IF($A51="Baseline",'Emissions summary'!BG51,SUMIF('Net zero emission reductions'!$A$4:$A$1448,$A$51,'Net zero emission reductions'!AP$4:AP$1448))</f>
        <v>0.3311633076930583</v>
      </c>
      <c r="BK51" s="94">
        <f>IF($A51="Baseline",'Emissions summary'!BH51,SUMIF('Net zero emission reductions'!$A$4:$A$1448,$A$51,'Net zero emission reductions'!AQ$4:AQ$1448))</f>
        <v>0.33395465045526945</v>
      </c>
      <c r="BL51" s="94">
        <f>IF($A51="Baseline",'Emissions summary'!BI51,SUMIF('Net zero emission reductions'!$A$4:$A$1448,$A$51,'Net zero emission reductions'!AR$4:AR$1448))</f>
        <v>0.33685251479024297</v>
      </c>
      <c r="BM51" s="94">
        <f>IF($A51="Baseline",'Emissions summary'!BJ51,SUMIF('Net zero emission reductions'!$A$4:$A$1448,$A$51,'Net zero emission reductions'!AS$4:AS$1448))</f>
        <v>0.34031546157949966</v>
      </c>
      <c r="BN51" s="94">
        <f>IF($A51="Baseline",'Emissions summary'!BK51,SUMIF('Net zero emission reductions'!$A$4:$A$1448,$A$51,'Net zero emission reductions'!AT$4:AT$1448))</f>
        <v>0.34217030081569866</v>
      </c>
      <c r="BO51" s="94">
        <f>IF($A51="Baseline",'Emissions summary'!BL51,SUMIF('Net zero emission reductions'!$A$4:$A$1448,$A$51,'Net zero emission reductions'!AU$4:AU$1448))</f>
        <v>0.34374269917693823</v>
      </c>
      <c r="BP51" s="94">
        <f>IF($A51="Baseline",'Emissions summary'!BM51,SUMIF('Net zero emission reductions'!$A$4:$A$1448,$A$51,'Net zero emission reductions'!AV$4:AV$1448))</f>
        <v>0.34533696308141681</v>
      </c>
      <c r="BQ51" s="94">
        <f>IF($A51="Baseline",'Emissions summary'!BN51,SUMIF('Net zero emission reductions'!$A$4:$A$1448,$A$51,'Net zero emission reductions'!AW$4:AW$1448))</f>
        <v>0.34689665066546854</v>
      </c>
    </row>
    <row r="52" spans="1:75" s="19" customFormat="1" ht="16" x14ac:dyDescent="0.2">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1.5114628716679741</v>
      </c>
      <c r="AG52" s="41">
        <f t="shared" si="38"/>
        <v>1.5337636748745853</v>
      </c>
      <c r="AH52" s="41">
        <f t="shared" si="38"/>
        <v>1.5436359301289113</v>
      </c>
      <c r="AI52" s="41">
        <f t="shared" si="38"/>
        <v>1.5455830647924342</v>
      </c>
      <c r="AJ52" s="41">
        <f t="shared" si="38"/>
        <v>1.5396059638680233</v>
      </c>
      <c r="AK52" s="41">
        <f t="shared" si="38"/>
        <v>1.5406069398014894</v>
      </c>
      <c r="AL52" s="41">
        <f t="shared" si="38"/>
        <v>1.5429841908916506</v>
      </c>
      <c r="AM52" s="41">
        <f t="shared" si="38"/>
        <v>1.422252842344089</v>
      </c>
      <c r="AN52" s="41">
        <f t="shared" si="38"/>
        <v>1.4588849590689708</v>
      </c>
      <c r="AO52" s="41">
        <f t="shared" si="38"/>
        <v>1.4854626242378632</v>
      </c>
      <c r="AP52" s="41">
        <f t="shared" si="38"/>
        <v>1.509675320078407</v>
      </c>
      <c r="AQ52" s="41">
        <f t="shared" si="38"/>
        <v>1.5387628062554422</v>
      </c>
      <c r="AR52" s="41">
        <f t="shared" si="38"/>
        <v>1.565736328532455</v>
      </c>
      <c r="AS52" s="41">
        <f t="shared" si="38"/>
        <v>1.5891598220769458</v>
      </c>
      <c r="AT52" s="41">
        <f t="shared" si="38"/>
        <v>1.6113229451110653</v>
      </c>
      <c r="AU52" s="41">
        <f t="shared" si="38"/>
        <v>1.6315913559873314</v>
      </c>
      <c r="AV52" s="41">
        <f t="shared" si="38"/>
        <v>1.6597239657494496</v>
      </c>
      <c r="AW52" s="41">
        <f t="shared" si="38"/>
        <v>1.6872797653049201</v>
      </c>
      <c r="AX52" s="41">
        <f t="shared" si="38"/>
        <v>1.7182891202340624</v>
      </c>
      <c r="AY52" s="41">
        <f t="shared" si="38"/>
        <v>1.7570513303797819</v>
      </c>
      <c r="AZ52" s="41">
        <f t="shared" si="38"/>
        <v>1.7996392480202794</v>
      </c>
      <c r="BA52" s="41">
        <f t="shared" si="38"/>
        <v>1.8506148656755534</v>
      </c>
      <c r="BB52" s="41">
        <f t="shared" si="38"/>
        <v>1.8892745283769461</v>
      </c>
      <c r="BC52" s="41">
        <f t="shared" si="38"/>
        <v>1.9264070271452056</v>
      </c>
      <c r="BD52" s="41">
        <f t="shared" si="38"/>
        <v>1.9678882723558593</v>
      </c>
      <c r="BE52" s="41">
        <f t="shared" si="38"/>
        <v>2.007841656625744</v>
      </c>
      <c r="BF52" s="41">
        <f t="shared" si="38"/>
        <v>2.0502843131171447</v>
      </c>
      <c r="BG52" s="41">
        <f t="shared" si="38"/>
        <v>2.0931631548274026</v>
      </c>
      <c r="BH52" s="41">
        <f t="shared" si="38"/>
        <v>2.1426123825045189</v>
      </c>
      <c r="BI52" s="41">
        <f t="shared" si="38"/>
        <v>2.189966347270238</v>
      </c>
      <c r="BJ52" s="41">
        <f t="shared" si="38"/>
        <v>2.2383059061006976</v>
      </c>
      <c r="BK52" s="41">
        <f t="shared" si="38"/>
        <v>2.2884382503151128</v>
      </c>
      <c r="BL52" s="41">
        <f t="shared" si="38"/>
        <v>2.3406780605967947</v>
      </c>
      <c r="BM52" s="41">
        <f t="shared" si="38"/>
        <v>2.4010156527283106</v>
      </c>
      <c r="BN52" s="41">
        <f t="shared" si="38"/>
        <v>2.4410291892958855</v>
      </c>
      <c r="BO52" s="41">
        <f t="shared" si="38"/>
        <v>2.4798678900485709</v>
      </c>
      <c r="BP52" s="41">
        <f t="shared" si="38"/>
        <v>2.5197398799081352</v>
      </c>
      <c r="BQ52" s="41">
        <f t="shared" si="38"/>
        <v>2.5597188980550643</v>
      </c>
      <c r="BT52"/>
    </row>
    <row r="53" spans="1:75" x14ac:dyDescent="0.2">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1.1381916980106412</v>
      </c>
      <c r="AG53" s="27">
        <f>SUM('Net zero emission reductions'!M1531:M1546)</f>
        <v>1.1560242056612529</v>
      </c>
      <c r="AH53" s="27">
        <f>SUM('Net zero emission reductions'!N1531:N1546)</f>
        <v>1.1644338155648368</v>
      </c>
      <c r="AI53" s="27">
        <f>SUM('Net zero emission reductions'!O1531:O1546)</f>
        <v>1.1668147538350468</v>
      </c>
      <c r="AJ53" s="27">
        <f>SUM('Net zero emission reductions'!P1531:P1546)</f>
        <v>1.1631491557292368</v>
      </c>
      <c r="AK53" s="27">
        <f>SUM('Net zero emission reductions'!Q1531:Q1546)</f>
        <v>1.164779548726063</v>
      </c>
      <c r="AL53" s="27">
        <f>SUM('Net zero emission reductions'!R1531:R1546)</f>
        <v>1.1674495942945493</v>
      </c>
      <c r="AM53" s="27">
        <f>SUM('Net zero emission reductions'!S1531:S1546)</f>
        <v>1.0761236171422923</v>
      </c>
      <c r="AN53" s="27">
        <f>SUM('Net zero emission reductions'!T1531:T1546)</f>
        <v>1.104453608963246</v>
      </c>
      <c r="AO53" s="27">
        <f>SUM('Net zero emission reductions'!U1531:U1546)</f>
        <v>1.1251195902914528</v>
      </c>
      <c r="AP53" s="27">
        <f>SUM('Net zero emission reductions'!V1531:V1546)</f>
        <v>1.1439896311238014</v>
      </c>
      <c r="AQ53" s="27">
        <f>SUM('Net zero emission reductions'!W1531:W1546)</f>
        <v>1.1665988130261182</v>
      </c>
      <c r="AR53" s="27">
        <f>SUM('Net zero emission reductions'!X1531:X1546)</f>
        <v>1.1876041820930889</v>
      </c>
      <c r="AS53" s="27">
        <f>SUM('Net zero emission reductions'!Y1531:Y1546)</f>
        <v>1.2059319387903964</v>
      </c>
      <c r="AT53" s="27">
        <f>SUM('Net zero emission reductions'!Z1531:Z1546)</f>
        <v>1.2233042096089204</v>
      </c>
      <c r="AU53" s="27">
        <f>SUM('Net zero emission reductions'!AA1531:AA1546)</f>
        <v>1.239233655394562</v>
      </c>
      <c r="AV53" s="27">
        <f>SUM('Net zero emission reductions'!AB1531:AB1546)</f>
        <v>1.2611993677695867</v>
      </c>
      <c r="AW53" s="27">
        <f>SUM('Net zero emission reductions'!AC1531:AC1546)</f>
        <v>1.282735625650627</v>
      </c>
      <c r="AX53" s="27">
        <f>SUM('Net zero emission reductions'!AD1531:AD1546)</f>
        <v>1.3073372642627858</v>
      </c>
      <c r="AY53" s="27">
        <f>SUM('Net zero emission reductions'!AE1531:AE1546)</f>
        <v>1.3379213523083164</v>
      </c>
      <c r="AZ53" s="27">
        <f>SUM('Net zero emission reductions'!AF1531:AF1546)</f>
        <v>1.3714823514047674</v>
      </c>
      <c r="BA53" s="27">
        <f>SUM('Net zero emission reductions'!AG1531:AG1546)</f>
        <v>1.4115354851349253</v>
      </c>
      <c r="BB53" s="27">
        <f>SUM('Net zero emission reductions'!AH1531:AH1546)</f>
        <v>1.4421574763291181</v>
      </c>
      <c r="BC53" s="27">
        <f>SUM('Net zero emission reductions'!AI1531:AI1546)</f>
        <v>1.4716580590618142</v>
      </c>
      <c r="BD53" s="27">
        <f>SUM('Net zero emission reductions'!AJ1531:AJ1546)</f>
        <v>1.5045438485723652</v>
      </c>
      <c r="BE53" s="27">
        <f>SUM('Net zero emission reductions'!AK1531:AK1546)</f>
        <v>1.5362882888215859</v>
      </c>
      <c r="BF53" s="27">
        <f>SUM('Net zero emission reductions'!AL1531:AL1546)</f>
        <v>1.5699895907859134</v>
      </c>
      <c r="BG53" s="27">
        <f>SUM('Net zero emission reductions'!AM1531:AM1546)</f>
        <v>1.6040653746778539</v>
      </c>
      <c r="BH53" s="27">
        <f>SUM('Net zero emission reductions'!AN1531:AN1546)</f>
        <v>1.6430402094947785</v>
      </c>
      <c r="BI53" s="27">
        <f>SUM('Net zero emission reductions'!AO1531:AO1546)</f>
        <v>1.6804284844666579</v>
      </c>
      <c r="BJ53" s="27">
        <f>SUM('Net zero emission reductions'!AP1531:AP1546)</f>
        <v>1.7186110831357069</v>
      </c>
      <c r="BK53" s="27">
        <f>SUM('Net zero emission reductions'!AQ1531:AQ1546)</f>
        <v>1.7582137601968606</v>
      </c>
      <c r="BL53" s="27">
        <f>SUM('Net zero emission reductions'!AR1531:AR1546)</f>
        <v>1.7994820763481507</v>
      </c>
      <c r="BM53" s="27">
        <f>SUM('Net zero emission reductions'!AS1531:AS1546)</f>
        <v>1.847078351860576</v>
      </c>
      <c r="BN53" s="27">
        <f>SUM('Net zero emission reductions'!AT1531:AT1546)</f>
        <v>1.8789571827241729</v>
      </c>
      <c r="BO53" s="27">
        <f>SUM('Net zero emission reductions'!AU1531:AU1546)</f>
        <v>1.9099489075574065</v>
      </c>
      <c r="BP53" s="27">
        <f>SUM('Net zero emission reductions'!AV1531:AV1546)</f>
        <v>1.9417656837231279</v>
      </c>
      <c r="BQ53" s="27">
        <f>SUM('Net zero emission reductions'!AW1531:AW1546)</f>
        <v>1.9736892246448989</v>
      </c>
    </row>
    <row r="54" spans="1:75" x14ac:dyDescent="0.2">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v>
      </c>
      <c r="AF54" s="27">
        <f>SUM('Net zero emission reductions'!L1547:L1562)</f>
        <v>0.37327117365733298</v>
      </c>
      <c r="AG54" s="27">
        <f>SUM('Net zero emission reductions'!M1547:M1562)</f>
        <v>0.37773946921333246</v>
      </c>
      <c r="AH54" s="27">
        <f>SUM('Net zero emission reductions'!N1547:N1562)</f>
        <v>0.37920211456407454</v>
      </c>
      <c r="AI54" s="27">
        <f>SUM('Net zero emission reductions'!O1547:O1562)</f>
        <v>0.3787683109573875</v>
      </c>
      <c r="AJ54" s="27">
        <f>SUM('Net zero emission reductions'!P1547:P1562)</f>
        <v>0.3764568081387864</v>
      </c>
      <c r="AK54" s="27">
        <f>SUM('Net zero emission reductions'!Q1547:Q1562)</f>
        <v>0.37582739107542651</v>
      </c>
      <c r="AL54" s="27">
        <f>SUM('Net zero emission reductions'!R1547:R1562)</f>
        <v>0.37553459659710137</v>
      </c>
      <c r="AM54" s="27">
        <f>SUM('Net zero emission reductions'!S1547:S1562)</f>
        <v>0.34612922520179656</v>
      </c>
      <c r="AN54" s="27">
        <f>SUM('Net zero emission reductions'!T1547:T1562)</f>
        <v>0.35443135010572491</v>
      </c>
      <c r="AO54" s="27">
        <f>SUM('Net zero emission reductions'!U1547:U1562)</f>
        <v>0.36034303394641054</v>
      </c>
      <c r="AP54" s="27">
        <f>SUM('Net zero emission reductions'!V1547:V1562)</f>
        <v>0.36568568895460557</v>
      </c>
      <c r="AQ54" s="27">
        <f>SUM('Net zero emission reductions'!W1547:W1562)</f>
        <v>0.37216399322932403</v>
      </c>
      <c r="AR54" s="27">
        <f>SUM('Net zero emission reductions'!X1547:X1562)</f>
        <v>0.3781321464393661</v>
      </c>
      <c r="AS54" s="27">
        <f>SUM('Net zero emission reductions'!Y1547:Y1562)</f>
        <v>0.3832278832865495</v>
      </c>
      <c r="AT54" s="27">
        <f>SUM('Net zero emission reductions'!Z1547:Z1562)</f>
        <v>0.38801873550214505</v>
      </c>
      <c r="AU54" s="27">
        <f>SUM('Net zero emission reductions'!AA1547:AA1562)</f>
        <v>0.39235770059276953</v>
      </c>
      <c r="AV54" s="27">
        <f>SUM('Net zero emission reductions'!AB1547:AB1562)</f>
        <v>0.39852459797986278</v>
      </c>
      <c r="AW54" s="27">
        <f>SUM('Net zero emission reductions'!AC1547:AC1562)</f>
        <v>0.40454413965429309</v>
      </c>
      <c r="AX54" s="27">
        <f>SUM('Net zero emission reductions'!AD1547:AD1562)</f>
        <v>0.41095185597127659</v>
      </c>
      <c r="AY54" s="27">
        <f>SUM('Net zero emission reductions'!AE1547:AE1562)</f>
        <v>0.41912997807146557</v>
      </c>
      <c r="AZ54" s="27">
        <f>SUM('Net zero emission reductions'!AF1547:AF1562)</f>
        <v>0.42815689661551209</v>
      </c>
      <c r="BA54" s="27">
        <f>SUM('Net zero emission reductions'!AG1547:AG1562)</f>
        <v>0.43907938054062812</v>
      </c>
      <c r="BB54" s="27">
        <f>SUM('Net zero emission reductions'!AH1547:AH1562)</f>
        <v>0.44711705204782815</v>
      </c>
      <c r="BC54" s="27">
        <f>SUM('Net zero emission reductions'!AI1547:AI1562)</f>
        <v>0.45474896808339133</v>
      </c>
      <c r="BD54" s="27">
        <f>SUM('Net zero emission reductions'!AJ1547:AJ1562)</f>
        <v>0.463344423783494</v>
      </c>
      <c r="BE54" s="27">
        <f>SUM('Net zero emission reductions'!AK1547:AK1562)</f>
        <v>0.4715533678041583</v>
      </c>
      <c r="BF54" s="27">
        <f>SUM('Net zero emission reductions'!AL1547:AL1562)</f>
        <v>0.48029472233123127</v>
      </c>
      <c r="BG54" s="27">
        <f>SUM('Net zero emission reductions'!AM1547:AM1562)</f>
        <v>0.48909778014954863</v>
      </c>
      <c r="BH54" s="27">
        <f>SUM('Net zero emission reductions'!AN1547:AN1562)</f>
        <v>0.49957217300974055</v>
      </c>
      <c r="BI54" s="27">
        <f>SUM('Net zero emission reductions'!AO1547:AO1562)</f>
        <v>0.50953786280358004</v>
      </c>
      <c r="BJ54" s="27">
        <f>SUM('Net zero emission reductions'!AP1547:AP1562)</f>
        <v>0.51969482296499059</v>
      </c>
      <c r="BK54" s="27">
        <f>SUM('Net zero emission reductions'!AQ1547:AQ1562)</f>
        <v>0.53022449011825235</v>
      </c>
      <c r="BL54" s="27">
        <f>SUM('Net zero emission reductions'!AR1547:AR1562)</f>
        <v>0.54119598424864424</v>
      </c>
      <c r="BM54" s="27">
        <f>SUM('Net zero emission reductions'!AS1547:AS1562)</f>
        <v>0.55393730086773452</v>
      </c>
      <c r="BN54" s="27">
        <f>SUM('Net zero emission reductions'!AT1547:AT1562)</f>
        <v>0.56207200657171263</v>
      </c>
      <c r="BO54" s="27">
        <f>SUM('Net zero emission reductions'!AU1547:AU1562)</f>
        <v>0.56991898249116435</v>
      </c>
      <c r="BP54" s="27">
        <f>SUM('Net zero emission reductions'!AV1547:AV1562)</f>
        <v>0.57797419618500734</v>
      </c>
      <c r="BQ54" s="27">
        <f>SUM('Net zero emission reductions'!AW1547:AW1562)</f>
        <v>0.5860296734101651</v>
      </c>
    </row>
    <row r="55" spans="1:75" x14ac:dyDescent="0.2">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2">
      <c r="AE56">
        <f>AE55-AE47</f>
        <v>0.14320397099078264</v>
      </c>
      <c r="AF56">
        <f t="shared" ref="AF56:BQ56" si="43">AF55-AF47</f>
        <v>0.23284707853218833</v>
      </c>
      <c r="AG56">
        <f t="shared" si="43"/>
        <v>-1.2251905141624775E-4</v>
      </c>
      <c r="AH56">
        <f t="shared" si="43"/>
        <v>-0.15877072903014522</v>
      </c>
      <c r="AI56">
        <f t="shared" si="43"/>
        <v>-0.29567157165921998</v>
      </c>
      <c r="AJ56">
        <f t="shared" si="43"/>
        <v>-0.15084611458040342</v>
      </c>
      <c r="AK56">
        <f t="shared" si="43"/>
        <v>-0.17785149009184664</v>
      </c>
      <c r="AL56">
        <f t="shared" si="43"/>
        <v>-0.26363626302885734</v>
      </c>
      <c r="AM56">
        <f t="shared" si="43"/>
        <v>-0.51824099690063008</v>
      </c>
      <c r="AN56">
        <f t="shared" si="43"/>
        <v>-0.62751127731688428</v>
      </c>
      <c r="AO56">
        <f t="shared" si="43"/>
        <v>-0.58285442573059498</v>
      </c>
      <c r="AP56">
        <f t="shared" si="43"/>
        <v>-0.49109736902851253</v>
      </c>
      <c r="AQ56">
        <f t="shared" si="43"/>
        <v>-0.49424045612297007</v>
      </c>
      <c r="AR56">
        <f t="shared" si="43"/>
        <v>-0.43814106760439131</v>
      </c>
      <c r="AS56">
        <f t="shared" si="43"/>
        <v>-0.2225701476355546</v>
      </c>
      <c r="AT56">
        <f t="shared" si="43"/>
        <v>2.5869930211150916E-3</v>
      </c>
      <c r="AU56">
        <f t="shared" si="43"/>
        <v>0.27901953345943653</v>
      </c>
      <c r="AV56">
        <f t="shared" si="43"/>
        <v>0.45493950573727204</v>
      </c>
      <c r="AW56">
        <f t="shared" si="43"/>
        <v>0.65743699726201754</v>
      </c>
      <c r="AX56">
        <f t="shared" si="43"/>
        <v>0.81555710130892578</v>
      </c>
      <c r="AY56">
        <f t="shared" si="43"/>
        <v>0.82609945872946255</v>
      </c>
      <c r="AZ56">
        <f t="shared" si="43"/>
        <v>0.85605503324604015</v>
      </c>
      <c r="BA56">
        <f t="shared" si="43"/>
        <v>0.82278367817852782</v>
      </c>
      <c r="BB56">
        <f t="shared" si="43"/>
        <v>0.99530795919151061</v>
      </c>
      <c r="BC56">
        <f t="shared" si="43"/>
        <v>1.2030852085469945</v>
      </c>
      <c r="BD56">
        <f t="shared" si="43"/>
        <v>1.3784404486557271</v>
      </c>
      <c r="BE56">
        <f t="shared" si="43"/>
        <v>1.5724299487571933</v>
      </c>
      <c r="BF56">
        <f t="shared" si="43"/>
        <v>1.7569547919376696</v>
      </c>
      <c r="BG56">
        <f t="shared" si="43"/>
        <v>1.9720161096741649</v>
      </c>
      <c r="BH56">
        <f t="shared" si="43"/>
        <v>2.1468837262338027</v>
      </c>
      <c r="BI56">
        <f t="shared" si="43"/>
        <v>2.3691476816079096</v>
      </c>
      <c r="BJ56">
        <f t="shared" si="43"/>
        <v>2.6007831301657269</v>
      </c>
      <c r="BK56">
        <f t="shared" si="43"/>
        <v>2.8367772284561532</v>
      </c>
      <c r="BL56">
        <f t="shared" si="43"/>
        <v>3.0917528701287544</v>
      </c>
      <c r="BM56">
        <f t="shared" si="43"/>
        <v>3.2990476014623447</v>
      </c>
      <c r="BN56">
        <f t="shared" si="43"/>
        <v>3.735133173581147</v>
      </c>
      <c r="BO56">
        <f t="shared" si="43"/>
        <v>4.1701436069577866</v>
      </c>
      <c r="BP56">
        <f t="shared" si="43"/>
        <v>4.6179446489563674</v>
      </c>
      <c r="BQ56">
        <f t="shared" si="43"/>
        <v>5.0886375588326587</v>
      </c>
    </row>
    <row r="57" spans="1:75" s="19" customFormat="1" ht="16" x14ac:dyDescent="0.2">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2">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24596.567437021022</v>
      </c>
      <c r="AF58" s="22">
        <f t="shared" si="45"/>
        <v>24497.747310072355</v>
      </c>
      <c r="AG58" s="22">
        <f t="shared" si="45"/>
        <v>24503.520525013522</v>
      </c>
      <c r="AH58" s="22">
        <f t="shared" si="45"/>
        <v>24330.600675717971</v>
      </c>
      <c r="AI58" s="22">
        <f t="shared" si="45"/>
        <v>24050.505209418399</v>
      </c>
      <c r="AJ58" s="22">
        <f t="shared" si="45"/>
        <v>23669.383405227258</v>
      </c>
      <c r="AK58" s="22">
        <f t="shared" si="45"/>
        <v>23387.298701141393</v>
      </c>
      <c r="AL58" s="22">
        <f t="shared" si="45"/>
        <v>23126.61405950896</v>
      </c>
      <c r="AM58" s="22">
        <f t="shared" si="45"/>
        <v>21313.144688128854</v>
      </c>
      <c r="AN58" s="22">
        <f t="shared" si="45"/>
        <v>21476.43848253235</v>
      </c>
      <c r="AO58" s="22">
        <f t="shared" si="45"/>
        <v>21448.080260439456</v>
      </c>
      <c r="AP58" s="22">
        <f t="shared" si="45"/>
        <v>21326.978028834899</v>
      </c>
      <c r="AQ58" s="22">
        <f t="shared" si="45"/>
        <v>21199.425310322698</v>
      </c>
      <c r="AR58" s="22">
        <f t="shared" si="45"/>
        <v>20982.178150304731</v>
      </c>
      <c r="AS58" s="22">
        <f t="shared" si="45"/>
        <v>20654.212977005071</v>
      </c>
      <c r="AT58" s="22">
        <f t="shared" si="45"/>
        <v>20251.950327874663</v>
      </c>
      <c r="AU58" s="22">
        <f t="shared" si="45"/>
        <v>19771.050805301311</v>
      </c>
      <c r="AV58" s="22">
        <f t="shared" si="45"/>
        <v>19310.006649210372</v>
      </c>
      <c r="AW58" s="22">
        <f t="shared" si="45"/>
        <v>18780.725559616032</v>
      </c>
      <c r="AX58" s="22">
        <f t="shared" si="45"/>
        <v>18678.230814519393</v>
      </c>
      <c r="AY58" s="22">
        <f t="shared" si="45"/>
        <v>18633.179386507334</v>
      </c>
      <c r="AZ58" s="22">
        <f t="shared" si="45"/>
        <v>18606.357876329104</v>
      </c>
      <c r="BA58" s="22">
        <f t="shared" si="45"/>
        <v>18633.590369141479</v>
      </c>
      <c r="BB58" s="22">
        <f t="shared" si="45"/>
        <v>18540.491265559616</v>
      </c>
      <c r="BC58" s="22">
        <f t="shared" si="45"/>
        <v>18416.815936755418</v>
      </c>
      <c r="BD58" s="22">
        <f t="shared" si="45"/>
        <v>18313.821173545581</v>
      </c>
      <c r="BE58" s="22">
        <f t="shared" si="45"/>
        <v>18184.939775956242</v>
      </c>
      <c r="BF58" s="22">
        <f t="shared" si="45"/>
        <v>18060.598761443245</v>
      </c>
      <c r="BG58" s="22">
        <f t="shared" si="45"/>
        <v>17925.02084662738</v>
      </c>
      <c r="BH58" s="22">
        <f t="shared" si="45"/>
        <v>17937.638187955763</v>
      </c>
      <c r="BI58" s="22">
        <f t="shared" si="45"/>
        <v>17922.365708277495</v>
      </c>
      <c r="BJ58" s="22">
        <f t="shared" si="45"/>
        <v>17900.545667522056</v>
      </c>
      <c r="BK58" s="22">
        <f t="shared" si="45"/>
        <v>17877.040682352697</v>
      </c>
      <c r="BL58" s="22">
        <f t="shared" si="45"/>
        <v>17853.149360272939</v>
      </c>
      <c r="BM58" s="22">
        <f t="shared" si="45"/>
        <v>17860.491287535166</v>
      </c>
      <c r="BN58" s="22">
        <f t="shared" si="45"/>
        <v>17731.628038275532</v>
      </c>
      <c r="BO58" s="22">
        <f t="shared" si="45"/>
        <v>17586.346546915564</v>
      </c>
      <c r="BP58" s="22">
        <f t="shared" si="45"/>
        <v>17437.718316603845</v>
      </c>
      <c r="BQ58" s="22">
        <f t="shared" si="45"/>
        <v>17280.40046791275</v>
      </c>
    </row>
    <row r="59" spans="1:75" x14ac:dyDescent="0.2">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773.63480085759136</v>
      </c>
      <c r="AF59" s="22">
        <f t="shared" si="47"/>
        <v>773.31898688850049</v>
      </c>
      <c r="AG59" s="22">
        <f t="shared" si="47"/>
        <v>776.88427336337372</v>
      </c>
      <c r="AH59" s="22">
        <f t="shared" si="47"/>
        <v>774.23176934583194</v>
      </c>
      <c r="AI59" s="22">
        <f t="shared" si="47"/>
        <v>767.78252613822394</v>
      </c>
      <c r="AJ59" s="22">
        <f t="shared" si="47"/>
        <v>757.64554116954969</v>
      </c>
      <c r="AK59" s="22">
        <f t="shared" si="47"/>
        <v>751.16163519220845</v>
      </c>
      <c r="AL59" s="22">
        <f t="shared" si="47"/>
        <v>745.51728762401785</v>
      </c>
      <c r="AM59" s="22">
        <f t="shared" si="47"/>
        <v>681.46558648486609</v>
      </c>
      <c r="AN59" s="22">
        <f t="shared" si="47"/>
        <v>643.13663390564193</v>
      </c>
      <c r="AO59" s="22">
        <f t="shared" si="47"/>
        <v>599.3960805553329</v>
      </c>
      <c r="AP59" s="22">
        <f t="shared" si="47"/>
        <v>554.18313746356432</v>
      </c>
      <c r="AQ59" s="22">
        <f t="shared" si="47"/>
        <v>510.18420024275844</v>
      </c>
      <c r="AR59" s="22">
        <f t="shared" si="47"/>
        <v>464.83456920457371</v>
      </c>
      <c r="AS59" s="22">
        <f t="shared" si="47"/>
        <v>418.01195440347163</v>
      </c>
      <c r="AT59" s="22">
        <f t="shared" si="47"/>
        <v>370.60942921614577</v>
      </c>
      <c r="AU59" s="22">
        <f t="shared" si="47"/>
        <v>322.6370176406287</v>
      </c>
      <c r="AV59" s="22">
        <f t="shared" si="47"/>
        <v>275.99136244360608</v>
      </c>
      <c r="AW59" s="22">
        <f t="shared" si="47"/>
        <v>228.76683176612659</v>
      </c>
      <c r="AX59" s="22">
        <f t="shared" si="47"/>
        <v>219.37354548978729</v>
      </c>
      <c r="AY59" s="22">
        <f t="shared" si="47"/>
        <v>210.76068254388309</v>
      </c>
      <c r="AZ59" s="22">
        <f t="shared" si="47"/>
        <v>202.28369688087039</v>
      </c>
      <c r="BA59" s="22">
        <f t="shared" si="47"/>
        <v>194.39395281732632</v>
      </c>
      <c r="BB59" s="22">
        <f t="shared" si="47"/>
        <v>184.70041772967997</v>
      </c>
      <c r="BC59" s="22">
        <f t="shared" si="47"/>
        <v>174.58819538090538</v>
      </c>
      <c r="BD59" s="22">
        <f t="shared" si="47"/>
        <v>164.62754032317886</v>
      </c>
      <c r="BE59" s="22">
        <f t="shared" si="47"/>
        <v>154.23190442171767</v>
      </c>
      <c r="BF59" s="22">
        <f t="shared" si="47"/>
        <v>143.76674813295227</v>
      </c>
      <c r="BG59" s="22">
        <f t="shared" si="47"/>
        <v>133.04478157059518</v>
      </c>
      <c r="BH59" s="22">
        <f t="shared" si="47"/>
        <v>136.57506946457949</v>
      </c>
      <c r="BI59" s="22">
        <f t="shared" si="47"/>
        <v>139.94452261565735</v>
      </c>
      <c r="BJ59" s="22">
        <f t="shared" si="47"/>
        <v>143.3802230147646</v>
      </c>
      <c r="BK59" s="22">
        <f t="shared" si="47"/>
        <v>146.94147305442607</v>
      </c>
      <c r="BL59" s="22">
        <f t="shared" si="47"/>
        <v>150.65121966652958</v>
      </c>
      <c r="BM59" s="22">
        <f t="shared" si="47"/>
        <v>154.97376197713066</v>
      </c>
      <c r="BN59" s="22">
        <f t="shared" si="47"/>
        <v>157.79515111862597</v>
      </c>
      <c r="BO59" s="22">
        <f t="shared" si="47"/>
        <v>160.52443752563059</v>
      </c>
      <c r="BP59" s="22">
        <f t="shared" si="47"/>
        <v>163.32389105755715</v>
      </c>
      <c r="BQ59" s="22">
        <f t="shared" si="47"/>
        <v>166.12540648763053</v>
      </c>
    </row>
    <row r="60" spans="1:75" x14ac:dyDescent="0.2">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1611.8202237640571</v>
      </c>
      <c r="AF60" s="22">
        <f t="shared" si="49"/>
        <v>1628.349845404995</v>
      </c>
      <c r="AG60" s="22">
        <f t="shared" si="49"/>
        <v>1654.3267410473245</v>
      </c>
      <c r="AH60" s="22">
        <f t="shared" si="49"/>
        <v>1663.6384309182044</v>
      </c>
      <c r="AI60" s="22">
        <f t="shared" si="49"/>
        <v>1662.3021398559861</v>
      </c>
      <c r="AJ60" s="22">
        <f t="shared" si="49"/>
        <v>1650.3976769413116</v>
      </c>
      <c r="AK60" s="22">
        <f t="shared" si="49"/>
        <v>1647.5009704288248</v>
      </c>
      <c r="AL60" s="22">
        <f t="shared" si="49"/>
        <v>1646.2684747308624</v>
      </c>
      <c r="AM60" s="22">
        <f t="shared" si="49"/>
        <v>1485.0672239967832</v>
      </c>
      <c r="AN60" s="22">
        <f t="shared" si="49"/>
        <v>1531.7678337568175</v>
      </c>
      <c r="AO60" s="22">
        <f t="shared" si="49"/>
        <v>1565.2797135794174</v>
      </c>
      <c r="AP60" s="22">
        <f t="shared" si="49"/>
        <v>1595.5977309339771</v>
      </c>
      <c r="AQ60" s="22">
        <f t="shared" si="49"/>
        <v>1632.1146503587709</v>
      </c>
      <c r="AR60" s="22">
        <f t="shared" si="49"/>
        <v>1665.7737581151644</v>
      </c>
      <c r="AS60" s="22">
        <f t="shared" si="49"/>
        <v>1695.0546053993332</v>
      </c>
      <c r="AT60" s="22">
        <f t="shared" si="49"/>
        <v>1722.606278767714</v>
      </c>
      <c r="AU60" s="22">
        <f t="shared" si="49"/>
        <v>1747.6145266122355</v>
      </c>
      <c r="AV60" s="22">
        <f t="shared" si="49"/>
        <v>1782.7040059062331</v>
      </c>
      <c r="AW60" s="22">
        <f t="shared" si="49"/>
        <v>1816.9551645589017</v>
      </c>
      <c r="AX60" s="22">
        <f t="shared" si="49"/>
        <v>1853.8651522635487</v>
      </c>
      <c r="AY60" s="22">
        <f t="shared" si="49"/>
        <v>1900.6148321123671</v>
      </c>
      <c r="AZ60" s="22">
        <f t="shared" si="49"/>
        <v>1952.1111580596387</v>
      </c>
      <c r="BA60" s="22">
        <f t="shared" si="49"/>
        <v>2014.1969847431008</v>
      </c>
      <c r="BB60" s="22">
        <f t="shared" si="49"/>
        <v>2060.2706197803477</v>
      </c>
      <c r="BC60" s="22">
        <f t="shared" si="49"/>
        <v>2104.4830447343411</v>
      </c>
      <c r="BD60" s="22">
        <f t="shared" si="49"/>
        <v>2154.1067837727705</v>
      </c>
      <c r="BE60" s="22">
        <f t="shared" si="49"/>
        <v>2201.6153246846625</v>
      </c>
      <c r="BF60" s="22">
        <f t="shared" si="49"/>
        <v>2252.1439705293146</v>
      </c>
      <c r="BG60" s="22">
        <f t="shared" si="49"/>
        <v>2303.0675778776113</v>
      </c>
      <c r="BH60" s="22">
        <f t="shared" si="49"/>
        <v>2363.6430162981173</v>
      </c>
      <c r="BI60" s="22">
        <f t="shared" si="49"/>
        <v>2421.4281026600174</v>
      </c>
      <c r="BJ60" s="22">
        <f t="shared" si="49"/>
        <v>2480.3458467715691</v>
      </c>
      <c r="BK60" s="22">
        <f t="shared" si="49"/>
        <v>2541.419721005976</v>
      </c>
      <c r="BL60" s="22">
        <f t="shared" si="49"/>
        <v>2605.045094325405</v>
      </c>
      <c r="BM60" s="22">
        <f t="shared" si="49"/>
        <v>2679.0543822771356</v>
      </c>
      <c r="BN60" s="22">
        <f t="shared" si="49"/>
        <v>2727.2018300434552</v>
      </c>
      <c r="BO60" s="22">
        <f t="shared" si="49"/>
        <v>2773.7739329888864</v>
      </c>
      <c r="BP60" s="22">
        <f t="shared" si="49"/>
        <v>2821.5666216112859</v>
      </c>
      <c r="BQ60" s="22">
        <f t="shared" si="49"/>
        <v>2869.4090203291116</v>
      </c>
    </row>
    <row r="61" spans="1:75" x14ac:dyDescent="0.2">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2">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2">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892.99961042800624</v>
      </c>
      <c r="AO63" s="22">
        <f t="shared" si="54"/>
        <v>897.66502434733229</v>
      </c>
      <c r="AP63" s="22">
        <f t="shared" si="54"/>
        <v>901.31677957229135</v>
      </c>
      <c r="AQ63" s="22">
        <f t="shared" si="54"/>
        <v>904.69718143729835</v>
      </c>
      <c r="AR63" s="22">
        <f t="shared" si="54"/>
        <v>908.47574920758507</v>
      </c>
      <c r="AS63" s="22">
        <f t="shared" si="54"/>
        <v>912.00886230682897</v>
      </c>
      <c r="AT63" s="22">
        <f t="shared" si="54"/>
        <v>915.15522281701794</v>
      </c>
      <c r="AU63" s="22">
        <f t="shared" si="54"/>
        <v>918.14911339193043</v>
      </c>
      <c r="AV63" s="22">
        <f t="shared" si="54"/>
        <v>920.93862378014114</v>
      </c>
      <c r="AW63" s="22">
        <f t="shared" si="54"/>
        <v>924.38117404713842</v>
      </c>
      <c r="AX63" s="22">
        <f t="shared" si="54"/>
        <v>927.72886456057699</v>
      </c>
      <c r="AY63" s="22">
        <f t="shared" si="54"/>
        <v>931.30044289181558</v>
      </c>
      <c r="AZ63" s="22">
        <f t="shared" si="54"/>
        <v>935.47463981104102</v>
      </c>
      <c r="BA63" s="22">
        <f t="shared" si="54"/>
        <v>939.89945345474598</v>
      </c>
      <c r="BB63" s="22">
        <f t="shared" si="54"/>
        <v>944.93069992096457</v>
      </c>
      <c r="BC63" s="22">
        <f t="shared" si="54"/>
        <v>948.88651159106837</v>
      </c>
      <c r="BD63" s="22">
        <f t="shared" si="54"/>
        <v>952.65045566979234</v>
      </c>
      <c r="BE63" s="22">
        <f t="shared" si="54"/>
        <v>956.69732285696261</v>
      </c>
      <c r="BF63" s="22">
        <f t="shared" si="54"/>
        <v>960.56505395961551</v>
      </c>
      <c r="BG63" s="22">
        <f t="shared" si="54"/>
        <v>964.56260681029062</v>
      </c>
      <c r="BH63" s="22">
        <f t="shared" si="54"/>
        <v>968.53102991020114</v>
      </c>
      <c r="BI63" s="22">
        <f t="shared" si="54"/>
        <v>972.91815093223238</v>
      </c>
      <c r="BJ63" s="22">
        <f t="shared" si="54"/>
        <v>977.08221160435949</v>
      </c>
      <c r="BK63" s="22">
        <f t="shared" si="54"/>
        <v>981.24968371542741</v>
      </c>
      <c r="BL63" s="22">
        <f t="shared" si="54"/>
        <v>985.47496417545995</v>
      </c>
      <c r="BM63" s="22">
        <f t="shared" si="54"/>
        <v>989.77519860882489</v>
      </c>
      <c r="BN63" s="22">
        <f t="shared" si="54"/>
        <v>994.53641231240658</v>
      </c>
      <c r="BO63" s="22">
        <f t="shared" si="54"/>
        <v>997.87560728554854</v>
      </c>
      <c r="BP63" s="22">
        <f t="shared" si="54"/>
        <v>1001.0952288876074</v>
      </c>
      <c r="BQ63" s="22">
        <f t="shared" ref="BQ63:BQ64" si="55">BQ41</f>
        <v>1004.3409499737036</v>
      </c>
    </row>
    <row r="64" spans="1:75" x14ac:dyDescent="0.2">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469.9309125855201</v>
      </c>
      <c r="AO64" s="22">
        <f t="shared" si="54"/>
        <v>469.81336359291407</v>
      </c>
      <c r="AP64" s="22">
        <f t="shared" si="54"/>
        <v>469.7213545760593</v>
      </c>
      <c r="AQ64" s="22">
        <f t="shared" si="54"/>
        <v>469.63618253329815</v>
      </c>
      <c r="AR64" s="22">
        <f t="shared" si="54"/>
        <v>469.54097836865776</v>
      </c>
      <c r="AS64" s="22">
        <f t="shared" si="54"/>
        <v>469.45195863905593</v>
      </c>
      <c r="AT64" s="22">
        <f t="shared" si="54"/>
        <v>469.37268346331723</v>
      </c>
      <c r="AU64" s="22">
        <f t="shared" si="54"/>
        <v>469.29724989469105</v>
      </c>
      <c r="AV64" s="22">
        <f t="shared" si="54"/>
        <v>469.22696585523204</v>
      </c>
      <c r="AW64" s="22">
        <f t="shared" si="54"/>
        <v>469.14022793167828</v>
      </c>
      <c r="AX64" s="22">
        <f t="shared" si="54"/>
        <v>469.05588007868687</v>
      </c>
      <c r="AY64" s="22">
        <f t="shared" si="54"/>
        <v>468.96589118550173</v>
      </c>
      <c r="AZ64" s="22">
        <f t="shared" si="54"/>
        <v>468.86071881467279</v>
      </c>
      <c r="BA64" s="22">
        <f t="shared" si="54"/>
        <v>468.74923194656606</v>
      </c>
      <c r="BB64" s="22">
        <f t="shared" si="54"/>
        <v>468.62246549799733</v>
      </c>
      <c r="BC64" s="22">
        <f t="shared" si="54"/>
        <v>468.5227955255574</v>
      </c>
      <c r="BD64" s="22">
        <f t="shared" si="54"/>
        <v>468.42795981701568</v>
      </c>
      <c r="BE64" s="22">
        <f t="shared" si="54"/>
        <v>468.325995624923</v>
      </c>
      <c r="BF64" s="22">
        <f t="shared" si="54"/>
        <v>468.22854491580057</v>
      </c>
      <c r="BG64" s="22">
        <f t="shared" si="54"/>
        <v>468.12782323952234</v>
      </c>
      <c r="BH64" s="22">
        <f t="shared" si="54"/>
        <v>468.02783551159615</v>
      </c>
      <c r="BI64" s="22">
        <f t="shared" si="54"/>
        <v>467.91729834051165</v>
      </c>
      <c r="BJ64" s="22">
        <f t="shared" si="54"/>
        <v>467.81238136087751</v>
      </c>
      <c r="BK64" s="22">
        <f t="shared" si="54"/>
        <v>467.70737842719552</v>
      </c>
      <c r="BL64" s="22">
        <f t="shared" si="54"/>
        <v>467.60091896397466</v>
      </c>
      <c r="BM64" s="22">
        <f t="shared" si="54"/>
        <v>467.49257097291689</v>
      </c>
      <c r="BN64" s="22">
        <f t="shared" si="54"/>
        <v>467.37260822489156</v>
      </c>
      <c r="BO64" s="22">
        <f t="shared" si="54"/>
        <v>467.28847442411939</v>
      </c>
      <c r="BP64" s="22">
        <f t="shared" si="54"/>
        <v>467.20735337410349</v>
      </c>
      <c r="BQ64" s="22">
        <f t="shared" si="55"/>
        <v>467.12557472583177</v>
      </c>
    </row>
    <row r="65" spans="1:75" x14ac:dyDescent="0.2">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17151.705697759648</v>
      </c>
      <c r="AF65" s="22">
        <f t="shared" si="56"/>
        <v>17093.826915551952</v>
      </c>
      <c r="AG65" s="22">
        <f t="shared" si="56"/>
        <v>17091.396392844264</v>
      </c>
      <c r="AH65" s="22">
        <f t="shared" si="56"/>
        <v>16996.523789335217</v>
      </c>
      <c r="AI65" s="22">
        <f t="shared" si="56"/>
        <v>16845.135916251194</v>
      </c>
      <c r="AJ65" s="22">
        <f t="shared" si="56"/>
        <v>16640.888084222788</v>
      </c>
      <c r="AK65" s="22">
        <f t="shared" si="56"/>
        <v>16487.529960272332</v>
      </c>
      <c r="AL65" s="22">
        <f t="shared" si="56"/>
        <v>16345.805129696333</v>
      </c>
      <c r="AM65" s="22">
        <f t="shared" si="56"/>
        <v>15401.51338572641</v>
      </c>
      <c r="AN65" s="22">
        <f t="shared" si="56"/>
        <v>15451.429277188088</v>
      </c>
      <c r="AO65" s="22">
        <f t="shared" si="56"/>
        <v>15444.013044931879</v>
      </c>
      <c r="AP65" s="22">
        <f t="shared" si="56"/>
        <v>15418.042965982191</v>
      </c>
      <c r="AQ65" s="22">
        <f t="shared" si="56"/>
        <v>15418.823391866934</v>
      </c>
      <c r="AR65" s="22">
        <f t="shared" si="56"/>
        <v>15403.798613889499</v>
      </c>
      <c r="AS65" s="22">
        <f t="shared" si="56"/>
        <v>15360.595108607627</v>
      </c>
      <c r="AT65" s="22">
        <f t="shared" si="56"/>
        <v>15307.758701507968</v>
      </c>
      <c r="AU65" s="22">
        <f t="shared" si="56"/>
        <v>15242.39035156084</v>
      </c>
      <c r="AV65" s="22">
        <f t="shared" si="56"/>
        <v>15218.753439989052</v>
      </c>
      <c r="AW65" s="22">
        <f t="shared" si="56"/>
        <v>15189.597564412634</v>
      </c>
      <c r="AX65" s="22">
        <f t="shared" si="56"/>
        <v>15151.347113172771</v>
      </c>
      <c r="AY65" s="22">
        <f t="shared" si="56"/>
        <v>15148.119745802336</v>
      </c>
      <c r="AZ65" s="22">
        <f t="shared" si="56"/>
        <v>15157.815595384967</v>
      </c>
      <c r="BA65" s="22">
        <f t="shared" si="56"/>
        <v>15201.428120761328</v>
      </c>
      <c r="BB65" s="22">
        <f t="shared" si="56"/>
        <v>15176.81623197453</v>
      </c>
      <c r="BC65" s="22">
        <f t="shared" si="56"/>
        <v>15134.53602695573</v>
      </c>
      <c r="BD65" s="22">
        <f t="shared" si="56"/>
        <v>15106.004118059518</v>
      </c>
      <c r="BE65" s="22">
        <f t="shared" si="56"/>
        <v>15063.925188250392</v>
      </c>
      <c r="BF65" s="22">
        <f t="shared" si="56"/>
        <v>15026.096665453306</v>
      </c>
      <c r="BG65" s="22">
        <f t="shared" si="56"/>
        <v>14983.310316850302</v>
      </c>
      <c r="BH65" s="22">
        <f t="shared" si="56"/>
        <v>15053.060389975262</v>
      </c>
      <c r="BI65" s="22">
        <f t="shared" si="56"/>
        <v>15108.752090405907</v>
      </c>
      <c r="BJ65" s="22">
        <f t="shared" si="56"/>
        <v>15162.862299383341</v>
      </c>
      <c r="BK65" s="22">
        <f t="shared" si="56"/>
        <v>15218.64875797377</v>
      </c>
      <c r="BL65" s="22">
        <f t="shared" si="56"/>
        <v>15277.073600226046</v>
      </c>
      <c r="BM65" s="22">
        <f t="shared" si="56"/>
        <v>15357.900355093701</v>
      </c>
      <c r="BN65" s="22">
        <f t="shared" si="56"/>
        <v>15356.027441479322</v>
      </c>
      <c r="BO65" s="22">
        <f t="shared" si="56"/>
        <v>15344.750077794395</v>
      </c>
      <c r="BP65" s="22">
        <f t="shared" si="56"/>
        <v>15333.436490679413</v>
      </c>
      <c r="BQ65" s="22">
        <f t="shared" si="56"/>
        <v>15318.775897395566</v>
      </c>
    </row>
    <row r="66" spans="1:75" x14ac:dyDescent="0.2">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2037.2818538590109</v>
      </c>
      <c r="AI66" s="22">
        <f t="shared" si="58"/>
        <v>2020.7416492119837</v>
      </c>
      <c r="AJ66" s="22">
        <f t="shared" si="58"/>
        <v>1997.8167979558436</v>
      </c>
      <c r="AK66" s="22">
        <f t="shared" si="58"/>
        <v>1981.3182233351415</v>
      </c>
      <c r="AL66" s="22">
        <f t="shared" si="58"/>
        <v>1966.2827775921453</v>
      </c>
      <c r="AM66" s="22">
        <f t="shared" si="58"/>
        <v>1851.1201579223073</v>
      </c>
      <c r="AN66" s="22">
        <f t="shared" si="58"/>
        <v>1863.1453758784701</v>
      </c>
      <c r="AO66" s="22">
        <f t="shared" si="58"/>
        <v>1866.9167993726135</v>
      </c>
      <c r="AP66" s="22">
        <f t="shared" si="58"/>
        <v>1868.4848427256377</v>
      </c>
      <c r="AQ66" s="22">
        <f t="shared" si="58"/>
        <v>1873.5112777038596</v>
      </c>
      <c r="AR66" s="22">
        <f t="shared" si="58"/>
        <v>1876.5478194193372</v>
      </c>
      <c r="AS66" s="22">
        <f t="shared" si="58"/>
        <v>1875.8026553533111</v>
      </c>
      <c r="AT66" s="22">
        <f t="shared" si="58"/>
        <v>1873.8528855065576</v>
      </c>
      <c r="AU66" s="22">
        <f t="shared" si="58"/>
        <v>1870.2840795813302</v>
      </c>
      <c r="AV66" s="22">
        <f t="shared" si="58"/>
        <v>1872.1240631897333</v>
      </c>
      <c r="AW66" s="22">
        <f t="shared" si="58"/>
        <v>1873.2016638935022</v>
      </c>
      <c r="AX66" s="22">
        <f t="shared" si="58"/>
        <v>1870.2080863465742</v>
      </c>
      <c r="AY66" s="22">
        <f t="shared" si="58"/>
        <v>1871.7813206568092</v>
      </c>
      <c r="AZ66" s="22">
        <f t="shared" si="58"/>
        <v>1875.010514365197</v>
      </c>
      <c r="BA66" s="22">
        <f t="shared" si="58"/>
        <v>1882.6817932821086</v>
      </c>
      <c r="BB66" s="22">
        <f t="shared" si="58"/>
        <v>1881.3706974609693</v>
      </c>
      <c r="BC66" s="22">
        <f t="shared" si="58"/>
        <v>1877.6688413587203</v>
      </c>
      <c r="BD66" s="22">
        <f t="shared" si="58"/>
        <v>1875.7854640816845</v>
      </c>
      <c r="BE66" s="22">
        <f t="shared" si="58"/>
        <v>1872.0878217201243</v>
      </c>
      <c r="BF66" s="22">
        <f t="shared" si="58"/>
        <v>1868.9546526486934</v>
      </c>
      <c r="BG66" s="22">
        <f t="shared" si="58"/>
        <v>1865.1429104689585</v>
      </c>
      <c r="BH66" s="22">
        <f t="shared" si="58"/>
        <v>1876.9266426047004</v>
      </c>
      <c r="BI66" s="22">
        <f t="shared" si="58"/>
        <v>1886.8973470501098</v>
      </c>
      <c r="BJ66" s="22">
        <f t="shared" si="58"/>
        <v>1896.7575898080834</v>
      </c>
      <c r="BK66" s="22">
        <f t="shared" si="58"/>
        <v>1906.9215998548536</v>
      </c>
      <c r="BL66" s="22">
        <f t="shared" si="58"/>
        <v>1917.5162350341961</v>
      </c>
      <c r="BM66" s="22">
        <f t="shared" si="58"/>
        <v>1931.0529665360659</v>
      </c>
      <c r="BN66" s="22">
        <f t="shared" si="58"/>
        <v>1933.5222340561663</v>
      </c>
      <c r="BO66" s="22">
        <f t="shared" si="58"/>
        <v>1934.8928861947084</v>
      </c>
      <c r="BP66" s="22">
        <f t="shared" si="58"/>
        <v>1936.3072823817645</v>
      </c>
      <c r="BQ66" s="22">
        <f t="shared" si="58"/>
        <v>1937.3036048431147</v>
      </c>
    </row>
    <row r="67" spans="1:75" x14ac:dyDescent="0.2">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468.55349021707195</v>
      </c>
      <c r="AG67" s="22">
        <f t="shared" si="60"/>
        <v>475.46673921112142</v>
      </c>
      <c r="AH67" s="22">
        <f t="shared" si="60"/>
        <v>478.52713833996251</v>
      </c>
      <c r="AI67" s="22">
        <f t="shared" si="60"/>
        <v>479.1307500856546</v>
      </c>
      <c r="AJ67" s="22">
        <f t="shared" si="60"/>
        <v>477.27784879908722</v>
      </c>
      <c r="AK67" s="22">
        <f t="shared" si="60"/>
        <v>477.58815133846173</v>
      </c>
      <c r="AL67" s="22">
        <f t="shared" si="60"/>
        <v>478.3250991764117</v>
      </c>
      <c r="AM67" s="22">
        <f t="shared" si="60"/>
        <v>440.89838112666757</v>
      </c>
      <c r="AN67" s="22">
        <f t="shared" si="60"/>
        <v>452.25433731138094</v>
      </c>
      <c r="AO67" s="22">
        <f t="shared" si="60"/>
        <v>460.49341351373761</v>
      </c>
      <c r="AP67" s="22">
        <f t="shared" si="60"/>
        <v>467.99934922430617</v>
      </c>
      <c r="AQ67" s="22">
        <f t="shared" si="60"/>
        <v>477.01646993918706</v>
      </c>
      <c r="AR67" s="22">
        <f t="shared" si="60"/>
        <v>485.37826184506105</v>
      </c>
      <c r="AS67" s="22">
        <f t="shared" si="60"/>
        <v>492.63954484385323</v>
      </c>
      <c r="AT67" s="22">
        <f t="shared" si="60"/>
        <v>499.51011298443024</v>
      </c>
      <c r="AU67" s="22">
        <f t="shared" si="60"/>
        <v>505.79332035607274</v>
      </c>
      <c r="AV67" s="22">
        <f t="shared" si="60"/>
        <v>514.51442938232935</v>
      </c>
      <c r="AW67" s="22">
        <f t="shared" si="60"/>
        <v>523.05672724452518</v>
      </c>
      <c r="AX67" s="22">
        <f t="shared" si="60"/>
        <v>532.66962727255941</v>
      </c>
      <c r="AY67" s="22">
        <f t="shared" si="60"/>
        <v>544.68591241773242</v>
      </c>
      <c r="AZ67" s="22">
        <f t="shared" si="60"/>
        <v>557.88816688628663</v>
      </c>
      <c r="BA67" s="22">
        <f t="shared" si="60"/>
        <v>573.69060835942162</v>
      </c>
      <c r="BB67" s="22">
        <f t="shared" si="60"/>
        <v>585.67510379685325</v>
      </c>
      <c r="BC67" s="22">
        <f t="shared" si="60"/>
        <v>597.18617841501373</v>
      </c>
      <c r="BD67" s="22">
        <f t="shared" si="60"/>
        <v>610.04536443031634</v>
      </c>
      <c r="BE67" s="22">
        <f t="shared" si="60"/>
        <v>622.43091355398064</v>
      </c>
      <c r="BF67" s="22">
        <f t="shared" si="60"/>
        <v>635.58813706631486</v>
      </c>
      <c r="BG67" s="22">
        <f t="shared" si="60"/>
        <v>648.88057799649482</v>
      </c>
      <c r="BH67" s="22">
        <f t="shared" si="60"/>
        <v>664.2098385764009</v>
      </c>
      <c r="BI67" s="22">
        <f t="shared" si="60"/>
        <v>678.88956765377372</v>
      </c>
      <c r="BJ67" s="22">
        <f t="shared" si="60"/>
        <v>693.87483089121622</v>
      </c>
      <c r="BK67" s="22">
        <f t="shared" si="60"/>
        <v>709.41585759768498</v>
      </c>
      <c r="BL67" s="22">
        <f t="shared" si="60"/>
        <v>725.61019878500633</v>
      </c>
      <c r="BM67" s="22">
        <f t="shared" si="60"/>
        <v>744.31485234577633</v>
      </c>
      <c r="BN67" s="22">
        <f t="shared" si="60"/>
        <v>756.71904868172453</v>
      </c>
      <c r="BO67" s="22">
        <f t="shared" si="60"/>
        <v>768.75904591505696</v>
      </c>
      <c r="BP67" s="22">
        <f t="shared" si="60"/>
        <v>781.11936277152188</v>
      </c>
      <c r="BQ67" s="22">
        <f t="shared" si="60"/>
        <v>793.51285839706986</v>
      </c>
    </row>
    <row r="70" spans="1:75" s="19" customFormat="1" ht="16" x14ac:dyDescent="0.2">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2">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26982.022461642671</v>
      </c>
      <c r="AF71" s="22">
        <f t="shared" si="61"/>
        <v>26899.416142365852</v>
      </c>
      <c r="AG71" s="22">
        <f t="shared" si="61"/>
        <v>26934.731539424221</v>
      </c>
      <c r="AH71" s="22">
        <f t="shared" si="61"/>
        <v>26768.470875982006</v>
      </c>
      <c r="AI71" s="22">
        <f t="shared" si="61"/>
        <v>26480.58987541261</v>
      </c>
      <c r="AJ71" s="22">
        <f t="shared" si="61"/>
        <v>26077.42662333812</v>
      </c>
      <c r="AK71" s="22">
        <f t="shared" si="61"/>
        <v>25785.961306762427</v>
      </c>
      <c r="AL71" s="22">
        <f t="shared" si="61"/>
        <v>25518.399821863841</v>
      </c>
      <c r="AM71" s="22">
        <f t="shared" si="61"/>
        <v>23479.677498610501</v>
      </c>
      <c r="AN71" s="22">
        <f t="shared" si="61"/>
        <v>23651.342950194809</v>
      </c>
      <c r="AO71" s="22">
        <f t="shared" si="61"/>
        <v>23612.756054574205</v>
      </c>
      <c r="AP71" s="22">
        <f t="shared" si="61"/>
        <v>23476.758897232441</v>
      </c>
      <c r="AQ71" s="22">
        <f t="shared" si="61"/>
        <v>23341.724160924226</v>
      </c>
      <c r="AR71" s="22">
        <f t="shared" si="61"/>
        <v>23112.786477624468</v>
      </c>
      <c r="AS71" s="22">
        <f t="shared" si="61"/>
        <v>22767.279536807877</v>
      </c>
      <c r="AT71" s="22">
        <f t="shared" si="61"/>
        <v>22345.166035858525</v>
      </c>
      <c r="AU71" s="22">
        <f t="shared" si="61"/>
        <v>21841.302349554175</v>
      </c>
      <c r="AV71" s="22">
        <f t="shared" si="61"/>
        <v>21368.702017560212</v>
      </c>
      <c r="AW71" s="22">
        <f t="shared" si="61"/>
        <v>20826.44755594106</v>
      </c>
      <c r="AX71" s="22">
        <f t="shared" si="61"/>
        <v>20751.469512272728</v>
      </c>
      <c r="AY71" s="22">
        <f t="shared" si="61"/>
        <v>20744.554901163581</v>
      </c>
      <c r="AZ71" s="22">
        <f t="shared" si="61"/>
        <v>20760.752731269611</v>
      </c>
      <c r="BA71" s="22">
        <f t="shared" si="61"/>
        <v>20842.181306701903</v>
      </c>
      <c r="BB71" s="22">
        <f t="shared" si="61"/>
        <v>20785.462303069646</v>
      </c>
      <c r="BC71" s="22">
        <f t="shared" si="61"/>
        <v>20695.887176870663</v>
      </c>
      <c r="BD71" s="22">
        <f t="shared" si="61"/>
        <v>20632.55549764153</v>
      </c>
      <c r="BE71" s="22">
        <f t="shared" si="61"/>
        <v>20540.787005062622</v>
      </c>
      <c r="BF71" s="22">
        <f t="shared" si="61"/>
        <v>20456.509480105513</v>
      </c>
      <c r="BG71" s="22">
        <f t="shared" si="61"/>
        <v>20361.133206075589</v>
      </c>
      <c r="BH71" s="22">
        <f t="shared" si="61"/>
        <v>20437.856273718458</v>
      </c>
      <c r="BI71" s="22">
        <f t="shared" si="61"/>
        <v>20483.73833355317</v>
      </c>
      <c r="BJ71" s="22">
        <f t="shared" si="61"/>
        <v>20524.271737308387</v>
      </c>
      <c r="BK71" s="22">
        <f t="shared" si="61"/>
        <v>20565.4018764131</v>
      </c>
      <c r="BL71" s="22">
        <f t="shared" si="61"/>
        <v>20608.84567426487</v>
      </c>
      <c r="BM71" s="22">
        <f t="shared" si="61"/>
        <v>20694.519431789431</v>
      </c>
      <c r="BN71" s="22">
        <f t="shared" si="61"/>
        <v>20616.625019437612</v>
      </c>
      <c r="BO71" s="22">
        <f t="shared" si="61"/>
        <v>20520.64491743008</v>
      </c>
      <c r="BP71" s="22">
        <f t="shared" si="61"/>
        <v>20422.608829272685</v>
      </c>
      <c r="BQ71" s="22">
        <f t="shared" si="61"/>
        <v>20315.934894729493</v>
      </c>
    </row>
    <row r="72" spans="1:75" x14ac:dyDescent="0.2">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22916.931601602213</v>
      </c>
      <c r="AG72" s="22">
        <f t="shared" si="62"/>
        <v>22902.965793483334</v>
      </c>
      <c r="AH72" s="22">
        <f t="shared" si="62"/>
        <v>22783.717172728906</v>
      </c>
      <c r="AI72" s="22">
        <f t="shared" si="62"/>
        <v>22638.455195046372</v>
      </c>
      <c r="AJ72" s="22">
        <f t="shared" si="62"/>
        <v>22428.717383211704</v>
      </c>
      <c r="AK72" s="22">
        <f t="shared" si="62"/>
        <v>22266.130401341314</v>
      </c>
      <c r="AL72" s="22">
        <f t="shared" si="62"/>
        <v>22119.9220695435</v>
      </c>
      <c r="AM72" s="22">
        <f t="shared" si="62"/>
        <v>21032.929380221634</v>
      </c>
      <c r="AN72" s="22">
        <f t="shared" si="62"/>
        <v>21104.935878720804</v>
      </c>
      <c r="AO72" s="22">
        <f t="shared" si="62"/>
        <v>21122.437482948917</v>
      </c>
      <c r="AP72" s="22">
        <f t="shared" si="62"/>
        <v>21117.460601132025</v>
      </c>
      <c r="AQ72" s="22">
        <f t="shared" si="62"/>
        <v>21143.939284393218</v>
      </c>
      <c r="AR72" s="22">
        <f t="shared" si="62"/>
        <v>21152.355675503884</v>
      </c>
      <c r="AS72" s="22">
        <f t="shared" si="62"/>
        <v>21127.471854385523</v>
      </c>
      <c r="AT72" s="22">
        <f t="shared" si="62"/>
        <v>21090.982802775237</v>
      </c>
      <c r="AU72" s="22">
        <f t="shared" si="62"/>
        <v>21039.606783141913</v>
      </c>
      <c r="AV72" s="22">
        <f t="shared" si="62"/>
        <v>21037.609662414638</v>
      </c>
      <c r="AW72" s="22">
        <f t="shared" si="62"/>
        <v>21029.78896960873</v>
      </c>
      <c r="AX72" s="22">
        <f t="shared" si="62"/>
        <v>21009.435386035751</v>
      </c>
      <c r="AY72" s="22">
        <f t="shared" si="62"/>
        <v>21031.29333008411</v>
      </c>
      <c r="AZ72" s="22">
        <f t="shared" si="62"/>
        <v>21069.50385491741</v>
      </c>
      <c r="BA72" s="22">
        <f t="shared" si="62"/>
        <v>21148.917629984746</v>
      </c>
      <c r="BB72" s="22">
        <f t="shared" si="62"/>
        <v>21147.897823357223</v>
      </c>
      <c r="BC72" s="22">
        <f t="shared" si="62"/>
        <v>21125.297181077331</v>
      </c>
      <c r="BD72" s="22">
        <f t="shared" si="62"/>
        <v>21119.424391814897</v>
      </c>
      <c r="BE72" s="22">
        <f t="shared" si="62"/>
        <v>21097.992474288287</v>
      </c>
      <c r="BF72" s="22">
        <f t="shared" si="62"/>
        <v>21081.453791523978</v>
      </c>
      <c r="BG72" s="22">
        <f t="shared" si="62"/>
        <v>21059.54047804416</v>
      </c>
      <c r="BH72" s="22">
        <f t="shared" si="62"/>
        <v>21167.767484455097</v>
      </c>
      <c r="BI72" s="22">
        <f t="shared" si="62"/>
        <v>21259.881707457818</v>
      </c>
      <c r="BJ72" s="22">
        <f t="shared" si="62"/>
        <v>21350.392071321505</v>
      </c>
      <c r="BK72" s="22">
        <f t="shared" si="62"/>
        <v>21443.441541040902</v>
      </c>
      <c r="BL72" s="22">
        <f t="shared" si="62"/>
        <v>21540.269685855001</v>
      </c>
      <c r="BM72" s="22">
        <f t="shared" si="62"/>
        <v>21665.025217425948</v>
      </c>
      <c r="BN72" s="22">
        <f t="shared" si="62"/>
        <v>21690.162523821517</v>
      </c>
      <c r="BO72" s="22">
        <f t="shared" si="62"/>
        <v>21703.046375879181</v>
      </c>
      <c r="BP72" s="22">
        <f t="shared" si="62"/>
        <v>21716.141507558106</v>
      </c>
      <c r="BQ72" s="22">
        <f t="shared" si="62"/>
        <v>21725.530179997328</v>
      </c>
    </row>
    <row r="73" spans="1:75" x14ac:dyDescent="0.2">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49879.47752199055</v>
      </c>
      <c r="AF73" s="22">
        <f t="shared" si="63"/>
        <v>49816.347743968065</v>
      </c>
      <c r="AG73" s="22">
        <f t="shared" si="63"/>
        <v>49837.697332907555</v>
      </c>
      <c r="AH73" s="22">
        <f t="shared" si="63"/>
        <v>49552.188048710916</v>
      </c>
      <c r="AI73" s="22">
        <f t="shared" si="63"/>
        <v>49119.045070458982</v>
      </c>
      <c r="AJ73" s="22">
        <f t="shared" si="63"/>
        <v>48506.144006549825</v>
      </c>
      <c r="AK73" s="22">
        <f t="shared" si="63"/>
        <v>48052.091708103741</v>
      </c>
      <c r="AL73" s="22">
        <f t="shared" si="63"/>
        <v>47638.321891407337</v>
      </c>
      <c r="AM73" s="22">
        <f t="shared" si="63"/>
        <v>44512.606878832135</v>
      </c>
      <c r="AN73" s="22">
        <f t="shared" si="63"/>
        <v>44756.278828915616</v>
      </c>
      <c r="AO73" s="22">
        <f t="shared" si="63"/>
        <v>44735.193537523126</v>
      </c>
      <c r="AP73" s="22">
        <f t="shared" si="63"/>
        <v>44594.219498364466</v>
      </c>
      <c r="AQ73" s="22">
        <f t="shared" si="63"/>
        <v>44485.663445317448</v>
      </c>
      <c r="AR73" s="22">
        <f t="shared" si="63"/>
        <v>44265.142153128356</v>
      </c>
      <c r="AS73" s="22">
        <f t="shared" si="63"/>
        <v>43894.7513911934</v>
      </c>
      <c r="AT73" s="22">
        <f t="shared" si="63"/>
        <v>43436.148838633759</v>
      </c>
      <c r="AU73" s="22">
        <f t="shared" si="63"/>
        <v>42880.909132696092</v>
      </c>
      <c r="AV73" s="22">
        <f t="shared" si="63"/>
        <v>42406.311679974853</v>
      </c>
      <c r="AW73" s="22">
        <f t="shared" si="63"/>
        <v>41856.236525549786</v>
      </c>
      <c r="AX73" s="22">
        <f t="shared" si="63"/>
        <v>41760.904898308479</v>
      </c>
      <c r="AY73" s="22">
        <f t="shared" si="63"/>
        <v>41775.848231247692</v>
      </c>
      <c r="AZ73" s="22">
        <f t="shared" si="63"/>
        <v>41830.256586187024</v>
      </c>
      <c r="BA73" s="22">
        <f t="shared" si="63"/>
        <v>41991.098936686649</v>
      </c>
      <c r="BB73" s="22">
        <f t="shared" si="63"/>
        <v>41933.360126426865</v>
      </c>
      <c r="BC73" s="22">
        <f t="shared" si="63"/>
        <v>41821.18435794799</v>
      </c>
      <c r="BD73" s="22">
        <f t="shared" si="63"/>
        <v>41751.97988945643</v>
      </c>
      <c r="BE73" s="22">
        <f t="shared" si="63"/>
        <v>41638.779479350909</v>
      </c>
      <c r="BF73" s="22">
        <f t="shared" si="63"/>
        <v>41537.963271629487</v>
      </c>
      <c r="BG73" s="22">
        <f t="shared" si="63"/>
        <v>41420.673684119749</v>
      </c>
      <c r="BH73" s="22">
        <f t="shared" si="63"/>
        <v>41605.623758173555</v>
      </c>
      <c r="BI73" s="22">
        <f t="shared" si="63"/>
        <v>41743.620041010989</v>
      </c>
      <c r="BJ73" s="22">
        <f t="shared" si="63"/>
        <v>41874.663808629892</v>
      </c>
      <c r="BK73" s="22">
        <f t="shared" si="63"/>
        <v>42008.843417454002</v>
      </c>
      <c r="BL73" s="22">
        <f t="shared" si="63"/>
        <v>42149.115360119875</v>
      </c>
      <c r="BM73" s="22">
        <f t="shared" si="63"/>
        <v>42359.544649215379</v>
      </c>
      <c r="BN73" s="22">
        <f t="shared" si="63"/>
        <v>42306.787543259125</v>
      </c>
      <c r="BO73" s="22">
        <f t="shared" si="63"/>
        <v>42223.691293309261</v>
      </c>
      <c r="BP73" s="22">
        <f t="shared" si="63"/>
        <v>42138.750336830795</v>
      </c>
      <c r="BQ73" s="22">
        <f t="shared" si="63"/>
        <v>42041.465074726817</v>
      </c>
    </row>
    <row r="74" spans="1:75" x14ac:dyDescent="0.2">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2">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2">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2">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2">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2">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2">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-6.1935530488763726E-2</v>
      </c>
      <c r="AF80" s="49">
        <f t="shared" si="65"/>
        <v>-0.10492348978691524</v>
      </c>
      <c r="AG80" s="49">
        <f t="shared" si="65"/>
        <v>-0.10668169536314459</v>
      </c>
      <c r="AH80" s="49">
        <f t="shared" si="65"/>
        <v>-9.4260107799290047E-2</v>
      </c>
      <c r="AI80" s="49">
        <f t="shared" si="65"/>
        <v>-5.0716244593026455E-2</v>
      </c>
      <c r="AJ80" s="49">
        <f t="shared" si="65"/>
        <v>-6.1361920390597957E-2</v>
      </c>
    </row>
    <row r="113" spans="1:75" s="19" customFormat="1" ht="16" x14ac:dyDescent="0.2">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2">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2">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2">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2">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2">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2">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2">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2">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2">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2">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2">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2">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2">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2">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tabSelected="1" workbookViewId="0">
      <selection activeCell="K4" sqref="K4:AN4"/>
    </sheetView>
  </sheetViews>
  <sheetFormatPr baseColWidth="10" defaultColWidth="8.83203125" defaultRowHeight="15" x14ac:dyDescent="0.2"/>
  <cols>
    <col min="1" max="1" width="34.5" customWidth="1"/>
    <col min="2" max="7" width="9.6640625" customWidth="1"/>
    <col min="8" max="8" width="9.5" customWidth="1"/>
    <col min="23" max="24" width="9.5" customWidth="1"/>
    <col min="25" max="25" width="9.6640625" customWidth="1"/>
  </cols>
  <sheetData>
    <row r="1" spans="1:46" ht="19" x14ac:dyDescent="0.2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6" x14ac:dyDescent="0.2">
      <c r="A2" s="19" t="s">
        <v>937</v>
      </c>
      <c r="B2" s="19"/>
      <c r="C2" s="19"/>
      <c r="D2" s="19"/>
    </row>
    <row r="3" spans="1:46" s="19" customFormat="1" ht="16" x14ac:dyDescent="0.2">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2">
      <c r="A4" t="s">
        <v>938</v>
      </c>
      <c r="B4" s="79">
        <f>'Emissions summary'!AB73</f>
        <v>49879.47357031166</v>
      </c>
      <c r="C4" s="79">
        <f>'Emissions summary'!AC73</f>
        <v>49816.343766362697</v>
      </c>
      <c r="D4" s="79">
        <f>'Emissions summary'!AD73</f>
        <v>49837.693321354207</v>
      </c>
      <c r="E4" s="79">
        <f>'Emissions summary'!AE73</f>
        <v>49552.184012065802</v>
      </c>
      <c r="F4" s="79">
        <f>'Emissions summary'!AF73</f>
        <v>49119.041014062779</v>
      </c>
      <c r="G4" s="79">
        <f>'Emissions summary'!AG73</f>
        <v>48506.139935969455</v>
      </c>
      <c r="H4" s="79">
        <f>'Emissions summary'!AH73</f>
        <v>48052.087616742072</v>
      </c>
      <c r="I4" s="79">
        <f>'Emissions summary'!AI73</f>
        <v>47638.317777423887</v>
      </c>
      <c r="J4" s="79">
        <f>'Emissions summary'!AJ73</f>
        <v>44512.602851293035</v>
      </c>
      <c r="K4" s="79">
        <f>'Emissions summary'!AK73</f>
        <v>45090.691836681362</v>
      </c>
      <c r="L4" s="79">
        <f>'Emissions summary'!AL73</f>
        <v>45466.186337572122</v>
      </c>
      <c r="M4" s="79">
        <f>'Emissions summary'!AM73</f>
        <v>45782.369234292666</v>
      </c>
      <c r="N4" s="79">
        <f>'Emissions summary'!AN73</f>
        <v>46195.796389102165</v>
      </c>
      <c r="O4" s="79">
        <f>'Emissions summary'!AO73</f>
        <v>46557.680557078638</v>
      </c>
      <c r="P4" s="79">
        <f>'Emissions summary'!AP73</f>
        <v>46825.109074294232</v>
      </c>
      <c r="Q4" s="79">
        <f>'Emissions summary'!AQ73</f>
        <v>47060.345313480255</v>
      </c>
      <c r="R4" s="79">
        <f>'Emissions summary'!AR73</f>
        <v>47251.562980523551</v>
      </c>
      <c r="S4" s="79">
        <f>'Emissions summary'!AS73</f>
        <v>47597.516173282886</v>
      </c>
      <c r="T4" s="79">
        <f>'Emissions summary'!AT73</f>
        <v>47925.810783218549</v>
      </c>
      <c r="U4" s="79">
        <f>'Emissions summary'!AU73</f>
        <v>48111.445257916232</v>
      </c>
      <c r="V4" s="79">
        <f>'Emissions summary'!AV73</f>
        <v>48433.306663496289</v>
      </c>
      <c r="W4" s="79">
        <f>'Emissions summary'!AW73</f>
        <v>48809.839410212458</v>
      </c>
      <c r="X4" s="79">
        <f>'Emissions summary'!AX73</f>
        <v>49322.962353914379</v>
      </c>
      <c r="Y4" s="79">
        <f>'Emissions summary'!AY73</f>
        <v>49582.432140478704</v>
      </c>
      <c r="Z4" s="79">
        <f>'Emissions summary'!AZ73</f>
        <v>49783.844998873734</v>
      </c>
      <c r="AA4" s="79">
        <f>'Emissions summary'!BA73</f>
        <v>50045.091943923006</v>
      </c>
      <c r="AB4" s="79">
        <f>'Emissions summary'!BB73</f>
        <v>50259.78753025092</v>
      </c>
      <c r="AC4" s="79">
        <f>'Emissions summary'!BC73</f>
        <v>50497.740486010385</v>
      </c>
      <c r="AD4" s="79">
        <f>'Emissions summary'!BD73</f>
        <v>50723.075800585633</v>
      </c>
      <c r="AE4" s="79">
        <f>'Emissions summary'!BE73</f>
        <v>51149.254791762738</v>
      </c>
      <c r="AF4" s="79">
        <f>'Emissions summary'!BF73</f>
        <v>51522.858330715608</v>
      </c>
      <c r="AG4" s="79">
        <f>'Emissions summary'!BG73</f>
        <v>51894.705673539167</v>
      </c>
      <c r="AH4" s="79">
        <f>'Emissions summary'!BH73</f>
        <v>52277.733449845786</v>
      </c>
      <c r="AI4" s="79">
        <f>'Emissions summary'!BI73</f>
        <v>52676.031694604171</v>
      </c>
      <c r="AJ4" s="79">
        <f>'Emissions summary'!BJ73</f>
        <v>53173.889805030063</v>
      </c>
      <c r="AK4" s="79">
        <f>'Emissions summary'!BK73</f>
        <v>53335.926284604386</v>
      </c>
      <c r="AL4" s="79">
        <f>'Emissions summary'!BL73</f>
        <v>53464.160474886499</v>
      </c>
      <c r="AM4" s="79">
        <f>'Emissions summary'!BM73</f>
        <v>53595.002303518384</v>
      </c>
      <c r="AN4" s="79">
        <f>'Emissions summary'!BN73</f>
        <v>53714.453207546954</v>
      </c>
    </row>
    <row r="5" spans="1:46" x14ac:dyDescent="0.2">
      <c r="A5" t="s">
        <v>939</v>
      </c>
      <c r="B5" s="79">
        <f>'Net zero emission summary'!AE73</f>
        <v>49879.47752199055</v>
      </c>
      <c r="C5" s="79">
        <f>'Net zero emission summary'!AF73</f>
        <v>49816.347743968065</v>
      </c>
      <c r="D5" s="79">
        <f>'Net zero emission summary'!AG73</f>
        <v>49837.697332907555</v>
      </c>
      <c r="E5" s="79">
        <f>'Net zero emission summary'!AH73</f>
        <v>49552.188048710916</v>
      </c>
      <c r="F5" s="79">
        <f>'Net zero emission summary'!AI73</f>
        <v>49119.045070458982</v>
      </c>
      <c r="G5" s="79">
        <f>'Net zero emission summary'!AJ73</f>
        <v>48506.144006549825</v>
      </c>
      <c r="H5" s="79">
        <f>'Net zero emission summary'!AK73</f>
        <v>48052.091708103741</v>
      </c>
      <c r="I5" s="79">
        <f>'Net zero emission summary'!AL73</f>
        <v>47638.321891407337</v>
      </c>
      <c r="J5" s="79">
        <f>'Net zero emission summary'!AM73</f>
        <v>44512.606878832135</v>
      </c>
      <c r="K5" s="79">
        <f>'Net zero emission summary'!AN73</f>
        <v>44756.278828915616</v>
      </c>
      <c r="L5" s="79">
        <f>'Net zero emission summary'!AO73</f>
        <v>44735.193537523126</v>
      </c>
      <c r="M5" s="79">
        <f>'Net zero emission summary'!AP73</f>
        <v>44594.219498364466</v>
      </c>
      <c r="N5" s="79">
        <f>'Net zero emission summary'!AQ73</f>
        <v>44485.663445317448</v>
      </c>
      <c r="O5" s="79">
        <f>'Net zero emission summary'!AR73</f>
        <v>44265.142153128356</v>
      </c>
      <c r="P5" s="79">
        <f>'Net zero emission summary'!AS73</f>
        <v>43894.7513911934</v>
      </c>
      <c r="Q5" s="79">
        <f>'Net zero emission summary'!AT73</f>
        <v>43436.148838633759</v>
      </c>
      <c r="R5" s="79">
        <f>'Net zero emission summary'!AU73</f>
        <v>42880.909132696092</v>
      </c>
      <c r="S5" s="79">
        <f>'Net zero emission summary'!AV73</f>
        <v>42406.311679974853</v>
      </c>
      <c r="T5" s="79">
        <f>'Net zero emission summary'!AW73</f>
        <v>41856.236525549786</v>
      </c>
      <c r="U5" s="79">
        <f>'Net zero emission summary'!AX73</f>
        <v>41760.904898308479</v>
      </c>
      <c r="V5" s="79">
        <f>'Net zero emission summary'!AY73</f>
        <v>41775.848231247692</v>
      </c>
      <c r="W5" s="79">
        <f>'Net zero emission summary'!AZ73</f>
        <v>41830.256586187024</v>
      </c>
      <c r="X5" s="79">
        <f>'Net zero emission summary'!BA73</f>
        <v>41991.098936686649</v>
      </c>
      <c r="Y5" s="79">
        <f>'Net zero emission summary'!BB73</f>
        <v>41933.360126426865</v>
      </c>
      <c r="Z5" s="79">
        <f>'Net zero emission summary'!BC73</f>
        <v>41821.18435794799</v>
      </c>
      <c r="AA5" s="79">
        <f>'Net zero emission summary'!BD73</f>
        <v>41751.97988945643</v>
      </c>
      <c r="AB5" s="79">
        <f>'Net zero emission summary'!BE73</f>
        <v>41638.779479350909</v>
      </c>
      <c r="AC5" s="79">
        <f>'Net zero emission summary'!BF73</f>
        <v>41537.963271629487</v>
      </c>
      <c r="AD5" s="79">
        <f>'Net zero emission summary'!BG73</f>
        <v>41420.673684119749</v>
      </c>
      <c r="AE5" s="79">
        <f>'Net zero emission summary'!BH73</f>
        <v>41605.623758173555</v>
      </c>
      <c r="AF5" s="79">
        <f>'Net zero emission summary'!BI73</f>
        <v>41743.620041010989</v>
      </c>
      <c r="AG5" s="79">
        <f>'Net zero emission summary'!BJ73</f>
        <v>41874.663808629892</v>
      </c>
      <c r="AH5" s="79">
        <f>'Net zero emission summary'!BK73</f>
        <v>42008.843417454002</v>
      </c>
      <c r="AI5" s="79">
        <f>'Net zero emission summary'!BL73</f>
        <v>42149.115360119875</v>
      </c>
      <c r="AJ5" s="79">
        <f>'Net zero emission summary'!BM73</f>
        <v>42359.544649215379</v>
      </c>
      <c r="AK5" s="79">
        <f>'Net zero emission summary'!BN73</f>
        <v>42306.787543259125</v>
      </c>
      <c r="AL5" s="79">
        <f>'Net zero emission summary'!BO73</f>
        <v>42223.691293309261</v>
      </c>
      <c r="AM5" s="79">
        <f>'Net zero emission summary'!BP73</f>
        <v>42138.750336830795</v>
      </c>
      <c r="AN5" s="79">
        <f>'Net zero emission summary'!BQ73</f>
        <v>42041.465074726817</v>
      </c>
    </row>
    <row r="6" spans="1:46" x14ac:dyDescent="0.2">
      <c r="B6" s="79">
        <f t="shared" ref="B6" si="0">B4-B5</f>
        <v>-3.9516788892797194E-3</v>
      </c>
      <c r="C6" s="79">
        <f t="shared" ref="C6" si="1">C4-C5</f>
        <v>-3.9776053672540002E-3</v>
      </c>
      <c r="D6" s="79">
        <f t="shared" ref="D6" si="2">D4-D5</f>
        <v>-4.0115533483913168E-3</v>
      </c>
      <c r="E6" s="79">
        <f t="shared" ref="E6:J6" si="3">E4-E5</f>
        <v>-4.0366451139561832E-3</v>
      </c>
      <c r="F6" s="79">
        <f t="shared" si="3"/>
        <v>-4.0563962029409595E-3</v>
      </c>
      <c r="G6" s="79">
        <f t="shared" si="3"/>
        <v>-4.0705803694436327E-3</v>
      </c>
      <c r="H6" s="79">
        <f t="shared" si="3"/>
        <v>-4.0913616685429588E-3</v>
      </c>
      <c r="I6" s="79">
        <f t="shared" si="3"/>
        <v>-4.1139834502246231E-3</v>
      </c>
      <c r="J6" s="79">
        <f t="shared" si="3"/>
        <v>-4.0275391002069227E-3</v>
      </c>
      <c r="K6" s="79">
        <f>K4-K5</f>
        <v>334.41300776574644</v>
      </c>
      <c r="L6" s="79">
        <f t="shared" ref="L6:AN6" si="4">L4-L5</f>
        <v>730.99280004899629</v>
      </c>
      <c r="M6" s="79">
        <f t="shared" si="4"/>
        <v>1188.1497359282002</v>
      </c>
      <c r="N6" s="79">
        <f t="shared" si="4"/>
        <v>1710.1329437847162</v>
      </c>
      <c r="O6" s="79">
        <f t="shared" si="4"/>
        <v>2292.5384039502824</v>
      </c>
      <c r="P6" s="79">
        <f t="shared" si="4"/>
        <v>2930.3576831008322</v>
      </c>
      <c r="Q6" s="79">
        <f t="shared" si="4"/>
        <v>3624.1964748464961</v>
      </c>
      <c r="R6" s="79">
        <f t="shared" si="4"/>
        <v>4370.6538478274597</v>
      </c>
      <c r="S6" s="79">
        <f t="shared" si="4"/>
        <v>5191.2044933080324</v>
      </c>
      <c r="T6" s="79">
        <f t="shared" si="4"/>
        <v>6069.5742576687626</v>
      </c>
      <c r="U6" s="79">
        <f t="shared" si="4"/>
        <v>6350.5403596077522</v>
      </c>
      <c r="V6" s="79">
        <f t="shared" si="4"/>
        <v>6657.4584322485971</v>
      </c>
      <c r="W6" s="79">
        <f t="shared" si="4"/>
        <v>6979.5828240254341</v>
      </c>
      <c r="X6" s="79">
        <f t="shared" si="4"/>
        <v>7331.8634172277307</v>
      </c>
      <c r="Y6" s="79">
        <f t="shared" si="4"/>
        <v>7649.0720140518388</v>
      </c>
      <c r="Z6" s="79">
        <f t="shared" si="4"/>
        <v>7962.6606409257438</v>
      </c>
      <c r="AA6" s="79">
        <f t="shared" si="4"/>
        <v>8293.1120544665755</v>
      </c>
      <c r="AB6" s="79">
        <f t="shared" si="4"/>
        <v>8621.0080509000109</v>
      </c>
      <c r="AC6" s="79">
        <f t="shared" si="4"/>
        <v>8959.7772143808979</v>
      </c>
      <c r="AD6" s="79">
        <f t="shared" si="4"/>
        <v>9302.4021164658843</v>
      </c>
      <c r="AE6" s="79">
        <f t="shared" si="4"/>
        <v>9543.6310335891831</v>
      </c>
      <c r="AF6" s="79">
        <f t="shared" si="4"/>
        <v>9779.2382897046191</v>
      </c>
      <c r="AG6" s="79">
        <f t="shared" si="4"/>
        <v>10020.041864909275</v>
      </c>
      <c r="AH6" s="79">
        <f t="shared" si="4"/>
        <v>10268.890032391784</v>
      </c>
      <c r="AI6" s="79">
        <f t="shared" si="4"/>
        <v>10526.916334484296</v>
      </c>
      <c r="AJ6" s="79">
        <f t="shared" si="4"/>
        <v>10814.345155814684</v>
      </c>
      <c r="AK6" s="79">
        <f t="shared" si="4"/>
        <v>11029.138741345261</v>
      </c>
      <c r="AL6" s="79">
        <f t="shared" si="4"/>
        <v>11240.469181577238</v>
      </c>
      <c r="AM6" s="79">
        <f t="shared" si="4"/>
        <v>11456.251966687589</v>
      </c>
      <c r="AN6" s="79">
        <f t="shared" si="4"/>
        <v>11672.988132820137</v>
      </c>
    </row>
    <row r="7" spans="1:46" x14ac:dyDescent="0.2">
      <c r="T7" s="49">
        <f>T6/'Emissions summary'!AT58</f>
        <v>0.2624615056975807</v>
      </c>
      <c r="AN7" s="49">
        <f>AN6/'Emissions summary'!BN58</f>
        <v>0.45309091712564731</v>
      </c>
    </row>
    <row r="8" spans="1:46" x14ac:dyDescent="0.2">
      <c r="T8" s="49">
        <f>(T4-T5)/T4</f>
        <v>0.12664520763400527</v>
      </c>
      <c r="AN8" s="49">
        <f>(AN4-AN5)/AN4</f>
        <v>0.21731559079112187</v>
      </c>
    </row>
    <row r="9" spans="1:46" x14ac:dyDescent="0.2">
      <c r="T9">
        <f>(T4-T5)/G4</f>
        <v>0.12513001994553485</v>
      </c>
      <c r="AN9">
        <f>0.4*AN4</f>
        <v>21485.781283018783</v>
      </c>
    </row>
    <row r="10" spans="1:46" x14ac:dyDescent="0.2">
      <c r="AN10">
        <f>0.75*AN4</f>
        <v>40285.839905660214</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baseColWidth="10" defaultColWidth="8.83203125" defaultRowHeight="15" x14ac:dyDescent="0.2"/>
  <sheetData>
    <row r="1" spans="1:13" x14ac:dyDescent="0.2">
      <c r="A1" t="s">
        <v>960</v>
      </c>
      <c r="C1" t="s">
        <v>960</v>
      </c>
      <c r="E1" t="s">
        <v>960</v>
      </c>
      <c r="G1" t="s">
        <v>960</v>
      </c>
      <c r="I1" t="s">
        <v>960</v>
      </c>
      <c r="K1" t="s">
        <v>960</v>
      </c>
      <c r="M1" t="s">
        <v>960</v>
      </c>
    </row>
    <row r="2" spans="1:13" x14ac:dyDescent="0.2">
      <c r="A2" t="s">
        <v>959</v>
      </c>
      <c r="C2" t="s">
        <v>982</v>
      </c>
      <c r="E2" t="s">
        <v>995</v>
      </c>
      <c r="G2" t="s">
        <v>996</v>
      </c>
      <c r="I2" t="s">
        <v>997</v>
      </c>
      <c r="K2" t="s">
        <v>998</v>
      </c>
      <c r="M2" t="s">
        <v>999</v>
      </c>
    </row>
    <row r="3" spans="1:13" x14ac:dyDescent="0.2">
      <c r="A3" t="s">
        <v>961</v>
      </c>
      <c r="C3" t="s">
        <v>943</v>
      </c>
      <c r="E3" t="s">
        <v>983</v>
      </c>
      <c r="G3" t="s">
        <v>987</v>
      </c>
      <c r="I3" t="s">
        <v>989</v>
      </c>
      <c r="K3" t="s">
        <v>991</v>
      </c>
      <c r="M3" t="s">
        <v>993</v>
      </c>
    </row>
    <row r="4" spans="1:13" x14ac:dyDescent="0.2">
      <c r="A4" t="s">
        <v>962</v>
      </c>
      <c r="C4" t="s">
        <v>944</v>
      </c>
      <c r="E4" t="s">
        <v>984</v>
      </c>
      <c r="G4" t="s">
        <v>988</v>
      </c>
      <c r="I4" t="s">
        <v>990</v>
      </c>
      <c r="K4" t="s">
        <v>992</v>
      </c>
      <c r="M4" t="s">
        <v>994</v>
      </c>
    </row>
    <row r="5" spans="1:13" x14ac:dyDescent="0.2">
      <c r="A5" t="s">
        <v>963</v>
      </c>
      <c r="C5" t="s">
        <v>945</v>
      </c>
      <c r="E5" t="s">
        <v>985</v>
      </c>
    </row>
    <row r="6" spans="1:13" x14ac:dyDescent="0.2">
      <c r="A6" t="s">
        <v>964</v>
      </c>
      <c r="C6" t="s">
        <v>946</v>
      </c>
      <c r="E6" t="s">
        <v>986</v>
      </c>
    </row>
    <row r="7" spans="1:13" x14ac:dyDescent="0.2">
      <c r="A7" t="s">
        <v>965</v>
      </c>
    </row>
    <row r="8" spans="1:13" x14ac:dyDescent="0.2">
      <c r="A8" t="s">
        <v>966</v>
      </c>
    </row>
    <row r="9" spans="1:13" x14ac:dyDescent="0.2">
      <c r="A9" t="s">
        <v>967</v>
      </c>
    </row>
    <row r="10" spans="1:13" x14ac:dyDescent="0.2">
      <c r="A10" t="s">
        <v>968</v>
      </c>
      <c r="C10" t="s">
        <v>960</v>
      </c>
      <c r="F10" t="s">
        <v>1003</v>
      </c>
      <c r="H10" t="s">
        <v>1004</v>
      </c>
      <c r="I10">
        <f>IF('Net zero activities &amp; levers'!C5="On",1,"Baseline")</f>
        <v>1</v>
      </c>
    </row>
    <row r="11" spans="1:13" x14ac:dyDescent="0.2">
      <c r="A11" t="s">
        <v>969</v>
      </c>
      <c r="C11" t="s">
        <v>12</v>
      </c>
      <c r="F11" t="s">
        <v>944</v>
      </c>
      <c r="H11" t="s">
        <v>961</v>
      </c>
      <c r="I11" t="e">
        <f>IF('Net zero activities &amp; levers'!#REF!="On",2,"Baseline")</f>
        <v>#REF!</v>
      </c>
    </row>
    <row r="12" spans="1:13" x14ac:dyDescent="0.2">
      <c r="A12" t="s">
        <v>970</v>
      </c>
      <c r="C12" t="s">
        <v>13</v>
      </c>
      <c r="F12" t="s">
        <v>945</v>
      </c>
      <c r="H12" t="s">
        <v>962</v>
      </c>
      <c r="I12">
        <f>IF('Net zero activities &amp; levers'!C6="On",3,"Baseline")</f>
        <v>3</v>
      </c>
    </row>
    <row r="13" spans="1:13" x14ac:dyDescent="0.2">
      <c r="A13" t="s">
        <v>971</v>
      </c>
      <c r="C13" t="s">
        <v>14</v>
      </c>
      <c r="F13" t="s">
        <v>946</v>
      </c>
      <c r="H13" t="s">
        <v>963</v>
      </c>
      <c r="I13" t="e">
        <f>IF('Net zero activities &amp; levers'!#REF!="On",4,"Baseline")</f>
        <v>#REF!</v>
      </c>
    </row>
    <row r="14" spans="1:13" x14ac:dyDescent="0.2">
      <c r="A14" t="s">
        <v>972</v>
      </c>
      <c r="F14" t="s">
        <v>983</v>
      </c>
      <c r="H14" t="s">
        <v>1021</v>
      </c>
      <c r="I14">
        <f>IF('Net zero activities &amp; levers'!C7="On",5,"Baseline")</f>
        <v>5</v>
      </c>
    </row>
    <row r="15" spans="1:13" x14ac:dyDescent="0.2">
      <c r="A15" t="s">
        <v>973</v>
      </c>
      <c r="F15" t="s">
        <v>984</v>
      </c>
    </row>
    <row r="16" spans="1:13" x14ac:dyDescent="0.2">
      <c r="A16" t="s">
        <v>974</v>
      </c>
      <c r="C16" t="s">
        <v>960</v>
      </c>
      <c r="F16" t="s">
        <v>985</v>
      </c>
      <c r="H16" t="s">
        <v>966</v>
      </c>
      <c r="I16" t="e">
        <f>IF('Net zero activities &amp; levers'!#REF!="On",6,"Baseline")</f>
        <v>#REF!</v>
      </c>
    </row>
    <row r="17" spans="1:14" x14ac:dyDescent="0.2">
      <c r="A17" t="s">
        <v>975</v>
      </c>
      <c r="C17" t="s">
        <v>1000</v>
      </c>
      <c r="F17" t="s">
        <v>986</v>
      </c>
      <c r="H17" t="s">
        <v>967</v>
      </c>
      <c r="I17" t="e">
        <f>IF('Net zero activities &amp; levers'!#REF!="On",7,"Baseline")</f>
        <v>#REF!</v>
      </c>
    </row>
    <row r="18" spans="1:14" x14ac:dyDescent="0.2">
      <c r="A18" t="s">
        <v>976</v>
      </c>
      <c r="C18" t="s">
        <v>1001</v>
      </c>
      <c r="F18" t="s">
        <v>987</v>
      </c>
      <c r="H18" t="s">
        <v>968</v>
      </c>
      <c r="I18">
        <f>IF('Net zero activities &amp; levers'!C8="On",8,"Baseline")</f>
        <v>8</v>
      </c>
    </row>
    <row r="19" spans="1:14" x14ac:dyDescent="0.2">
      <c r="A19" t="s">
        <v>977</v>
      </c>
    </row>
    <row r="20" spans="1:14" x14ac:dyDescent="0.2">
      <c r="A20" t="s">
        <v>978</v>
      </c>
    </row>
    <row r="21" spans="1:14" x14ac:dyDescent="0.2">
      <c r="A21" t="s">
        <v>979</v>
      </c>
    </row>
    <row r="22" spans="1:14" x14ac:dyDescent="0.2">
      <c r="A22" t="s">
        <v>980</v>
      </c>
      <c r="L22" t="s">
        <v>1004</v>
      </c>
    </row>
    <row r="23" spans="1:14" x14ac:dyDescent="0.2">
      <c r="A23" t="s">
        <v>981</v>
      </c>
      <c r="L23" t="s">
        <v>962</v>
      </c>
      <c r="N23" t="str">
        <f>$L$22&amp;L23</f>
        <v>FSFA</v>
      </c>
    </row>
    <row r="24" spans="1:14" x14ac:dyDescent="0.2">
      <c r="L24" t="s">
        <v>1021</v>
      </c>
      <c r="N24" t="str">
        <f t="shared" ref="N24:N28" si="0">$L$22&amp;L24</f>
        <v>FSGS</v>
      </c>
    </row>
    <row r="25" spans="1:14" x14ac:dyDescent="0.2">
      <c r="L25" t="s">
        <v>968</v>
      </c>
      <c r="N25" t="str">
        <f t="shared" si="0"/>
        <v>FSPQ</v>
      </c>
    </row>
    <row r="26" spans="1:14" x14ac:dyDescent="0.2">
      <c r="L26" t="s">
        <v>969</v>
      </c>
      <c r="N26" t="str">
        <f t="shared" si="0"/>
        <v>FSNI</v>
      </c>
    </row>
    <row r="27" spans="1:14" x14ac:dyDescent="0.2">
      <c r="L27" t="s">
        <v>972</v>
      </c>
      <c r="N27" t="str">
        <f t="shared" si="0"/>
        <v>FSAD</v>
      </c>
    </row>
    <row r="28" spans="1:14" x14ac:dyDescent="0.2">
      <c r="B28" t="s">
        <v>1379</v>
      </c>
      <c r="L28" t="s">
        <v>1322</v>
      </c>
      <c r="N28" t="str">
        <f t="shared" si="0"/>
        <v>FSCM</v>
      </c>
    </row>
    <row r="29" spans="1:14" x14ac:dyDescent="0.2">
      <c r="B29" t="s">
        <v>1380</v>
      </c>
      <c r="N29" t="str">
        <f>$L$23&amp;L22</f>
        <v>FAFS</v>
      </c>
    </row>
    <row r="30" spans="1:14" x14ac:dyDescent="0.2">
      <c r="N30" t="str">
        <f>$L$23&amp;L24</f>
        <v>FAGS</v>
      </c>
    </row>
    <row r="31" spans="1:14" x14ac:dyDescent="0.2">
      <c r="B31" t="s">
        <v>1001</v>
      </c>
      <c r="N31" t="str">
        <f t="shared" ref="N31:N34" si="1">$L$23&amp;L25</f>
        <v>FAPQ</v>
      </c>
    </row>
    <row r="32" spans="1:14" x14ac:dyDescent="0.2">
      <c r="B32" t="s">
        <v>1381</v>
      </c>
      <c r="N32" t="str">
        <f t="shared" si="1"/>
        <v>FANI</v>
      </c>
    </row>
    <row r="33" spans="2:14" x14ac:dyDescent="0.2">
      <c r="B33" t="s">
        <v>1378</v>
      </c>
      <c r="N33" t="str">
        <f>$L$23&amp;L27</f>
        <v>FAAD</v>
      </c>
    </row>
    <row r="34" spans="2:14" x14ac:dyDescent="0.2">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Andrew Marquard</cp:lastModifiedBy>
  <cp:revision/>
  <dcterms:created xsi:type="dcterms:W3CDTF">2017-04-05T21:08:35Z</dcterms:created>
  <dcterms:modified xsi:type="dcterms:W3CDTF">2022-06-22T19:54:31Z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